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5180" windowHeight="7560" firstSheet="3" activeTab="10"/>
  </bookViews>
  <sheets>
    <sheet name="Exhibit No._(JRS-10)" sheetId="1" r:id="rId1"/>
    <sheet name="Exhibit No._(JRS-11) p1-9" sheetId="2" r:id="rId2"/>
    <sheet name="Exhibit No._(JRS-11) p10" sheetId="3" r:id="rId3"/>
    <sheet name="Exhibit No._(JRS-11) p11" sheetId="4" r:id="rId4"/>
    <sheet name="Exhibit No._(JRS-12) p1" sheetId="5" r:id="rId5"/>
    <sheet name="Exhibit No._(JRS-12) p2" sheetId="6" r:id="rId6"/>
    <sheet name="Exhibit No._(JRS-12) p3" sheetId="7" r:id="rId7"/>
    <sheet name="Exhibit No._(JRS-12) p4" sheetId="8" r:id="rId8"/>
    <sheet name="Exhibit No._(JRS-12) p5" sheetId="9" r:id="rId9"/>
    <sheet name="Exhibit No._(JRS-12) p6" sheetId="10" r:id="rId10"/>
    <sheet name="Exhibit No._(JRS-12) p7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2">[1]Jan!#REF!</definedName>
    <definedName name="\0" localSheetId="4">[1]Jan!#REF!</definedName>
    <definedName name="\0">[1]Jan!#REF!</definedName>
    <definedName name="\A" localSheetId="2">#REF!</definedName>
    <definedName name="\A" localSheetId="4">#REF!</definedName>
    <definedName name="\A">#REF!</definedName>
    <definedName name="\B" localSheetId="2">#REF!</definedName>
    <definedName name="\B" localSheetId="4">#REF!</definedName>
    <definedName name="\B">#REF!</definedName>
    <definedName name="\BACK1" localSheetId="2">#REF!</definedName>
    <definedName name="\BACK1" localSheetId="4">#REF!</definedName>
    <definedName name="\BACK1">#REF!</definedName>
    <definedName name="\BLOCK" localSheetId="2">#REF!</definedName>
    <definedName name="\BLOCK" localSheetId="4">#REF!</definedName>
    <definedName name="\BLOCK">#REF!</definedName>
    <definedName name="\BLOCKT" localSheetId="2">#REF!</definedName>
    <definedName name="\BLOCKT" localSheetId="4">#REF!</definedName>
    <definedName name="\BLOCKT">#REF!</definedName>
    <definedName name="\C" localSheetId="2">#REF!</definedName>
    <definedName name="\C" localSheetId="4">#REF!</definedName>
    <definedName name="\C">#REF!</definedName>
    <definedName name="\COMP" localSheetId="2">#REF!</definedName>
    <definedName name="\COMP" localSheetId="4">#REF!</definedName>
    <definedName name="\COMP">#REF!</definedName>
    <definedName name="\COMPT" localSheetId="2">#REF!</definedName>
    <definedName name="\COMPT" localSheetId="4">#REF!</definedName>
    <definedName name="\COMPT">#REF!</definedName>
    <definedName name="\G" localSheetId="2">#REF!</definedName>
    <definedName name="\G" localSheetId="4">#REF!</definedName>
    <definedName name="\G">#REF!</definedName>
    <definedName name="\I" localSheetId="2">#REF!</definedName>
    <definedName name="\I" localSheetId="4">#REF!</definedName>
    <definedName name="\I">#REF!</definedName>
    <definedName name="\K" localSheetId="2">#REF!</definedName>
    <definedName name="\K" localSheetId="4">#REF!</definedName>
    <definedName name="\K">#REF!</definedName>
    <definedName name="\L" localSheetId="2">#REF!</definedName>
    <definedName name="\L" localSheetId="4">#REF!</definedName>
    <definedName name="\L">#REF!</definedName>
    <definedName name="\M" localSheetId="2">#REF!</definedName>
    <definedName name="\M" localSheetId="4">#REF!</definedName>
    <definedName name="\M">#REF!</definedName>
    <definedName name="\P" localSheetId="2">#REF!</definedName>
    <definedName name="\P" localSheetId="4">#REF!</definedName>
    <definedName name="\P">#REF!</definedName>
    <definedName name="\Q" localSheetId="2">[2]Actual!#REF!</definedName>
    <definedName name="\Q" localSheetId="4">[2]Actual!#REF!</definedName>
    <definedName name="\Q">[2]Actual!#REF!</definedName>
    <definedName name="\R" localSheetId="2">#REF!</definedName>
    <definedName name="\R" localSheetId="4">#REF!</definedName>
    <definedName name="\R">#REF!</definedName>
    <definedName name="\S" localSheetId="2">#REF!</definedName>
    <definedName name="\S" localSheetId="4">#REF!</definedName>
    <definedName name="\S">#REF!</definedName>
    <definedName name="\TABLE1" localSheetId="2">#REF!</definedName>
    <definedName name="\TABLE1" localSheetId="4">#REF!</definedName>
    <definedName name="\TABLE1">#REF!</definedName>
    <definedName name="\TABLE2" localSheetId="2">#REF!</definedName>
    <definedName name="\TABLE2" localSheetId="4">#REF!</definedName>
    <definedName name="\TABLE2">#REF!</definedName>
    <definedName name="\TABLEA" localSheetId="2">#REF!</definedName>
    <definedName name="\TABLEA" localSheetId="4">#REF!</definedName>
    <definedName name="\TABLEA">#REF!</definedName>
    <definedName name="\TBL2" localSheetId="2">#REF!</definedName>
    <definedName name="\TBL2" localSheetId="4">#REF!</definedName>
    <definedName name="\TBL2">#REF!</definedName>
    <definedName name="\TBL3" localSheetId="2">#REF!</definedName>
    <definedName name="\TBL3" localSheetId="4">#REF!</definedName>
    <definedName name="\TBL3">#REF!</definedName>
    <definedName name="\TBL4" localSheetId="2">#REF!</definedName>
    <definedName name="\TBL4" localSheetId="4">#REF!</definedName>
    <definedName name="\TBL4">#REF!</definedName>
    <definedName name="\TBL5" localSheetId="2">#REF!</definedName>
    <definedName name="\TBL5" localSheetId="4">#REF!</definedName>
    <definedName name="\TBL5">#REF!</definedName>
    <definedName name="\W" localSheetId="2">#REF!</definedName>
    <definedName name="\W" localSheetId="4">#REF!</definedName>
    <definedName name="\W">#REF!</definedName>
    <definedName name="\WORK1" localSheetId="2">#REF!</definedName>
    <definedName name="\WORK1" localSheetId="4">#REF!</definedName>
    <definedName name="\WORK1">#REF!</definedName>
    <definedName name="\X" localSheetId="2">#REF!</definedName>
    <definedName name="\X" localSheetId="4">#REF!</definedName>
    <definedName name="\X">#REF!</definedName>
    <definedName name="\Z" localSheetId="2">#REF!</definedName>
    <definedName name="\Z" localSheetId="4">#REF!</definedName>
    <definedName name="\Z">#REF!</definedName>
    <definedName name="__123Graph_A" localSheetId="0" hidden="1">[3]Inputs!#REF!</definedName>
    <definedName name="__123Graph_A" localSheetId="2" hidden="1">[4]Inputs!#REF!</definedName>
    <definedName name="__123Graph_A" localSheetId="1" hidden="1">[5]Inputs!#REF!</definedName>
    <definedName name="__123Graph_A" localSheetId="4" hidden="1">[6]Inputs!#REF!</definedName>
    <definedName name="__123Graph_A" localSheetId="5" hidden="1">[6]Inputs!#REF!</definedName>
    <definedName name="__123Graph_A" localSheetId="6" hidden="1">[6]Inputs!#REF!</definedName>
    <definedName name="__123Graph_A" localSheetId="7" hidden="1">[6]Inputs!#REF!</definedName>
    <definedName name="__123Graph_A" localSheetId="8" hidden="1">[6]Inputs!#REF!</definedName>
    <definedName name="__123Graph_A" localSheetId="9" hidden="1">[6]Inputs!#REF!</definedName>
    <definedName name="__123Graph_A" localSheetId="10" hidden="1">[6]Inputs!#REF!</definedName>
    <definedName name="__123Graph_A" hidden="1">[4]Inputs!#REF!</definedName>
    <definedName name="__123Graph_B" localSheetId="0" hidden="1">[3]Inputs!#REF!</definedName>
    <definedName name="__123Graph_B" localSheetId="2" hidden="1">[4]Inputs!#REF!</definedName>
    <definedName name="__123Graph_B" localSheetId="1" hidden="1">[5]Inputs!#REF!</definedName>
    <definedName name="__123Graph_B" localSheetId="4" hidden="1">[6]Inputs!#REF!</definedName>
    <definedName name="__123Graph_B" localSheetId="5" hidden="1">[6]Inputs!#REF!</definedName>
    <definedName name="__123Graph_B" localSheetId="6" hidden="1">[6]Inputs!#REF!</definedName>
    <definedName name="__123Graph_B" localSheetId="7" hidden="1">[6]Inputs!#REF!</definedName>
    <definedName name="__123Graph_B" localSheetId="8" hidden="1">[6]Inputs!#REF!</definedName>
    <definedName name="__123Graph_B" localSheetId="9" hidden="1">[6]Inputs!#REF!</definedName>
    <definedName name="__123Graph_B" localSheetId="10" hidden="1">[6]Inputs!#REF!</definedName>
    <definedName name="__123Graph_B" hidden="1">[4]Inputs!#REF!</definedName>
    <definedName name="__123Graph_D" localSheetId="0" hidden="1">[3]Inputs!#REF!</definedName>
    <definedName name="__123Graph_D" localSheetId="2" hidden="1">[4]Inputs!#REF!</definedName>
    <definedName name="__123Graph_D" localSheetId="1" hidden="1">[5]Inputs!#REF!</definedName>
    <definedName name="__123Graph_D" localSheetId="4" hidden="1">[6]Inputs!#REF!</definedName>
    <definedName name="__123Graph_D" localSheetId="5" hidden="1">[6]Inputs!#REF!</definedName>
    <definedName name="__123Graph_D" localSheetId="6" hidden="1">[6]Inputs!#REF!</definedName>
    <definedName name="__123Graph_D" localSheetId="7" hidden="1">[6]Inputs!#REF!</definedName>
    <definedName name="__123Graph_D" localSheetId="8" hidden="1">[6]Inputs!#REF!</definedName>
    <definedName name="__123Graph_D" localSheetId="9" hidden="1">[6]Inputs!#REF!</definedName>
    <definedName name="__123Graph_D" localSheetId="10" hidden="1">[6]Inputs!#REF!</definedName>
    <definedName name="__123Graph_D" hidden="1">[4]Inputs!#REF!</definedName>
    <definedName name="_1Price_Ta" localSheetId="2">#REF!</definedName>
    <definedName name="_1Price_Ta" localSheetId="4">#REF!</definedName>
    <definedName name="_1Price_Ta">#REF!</definedName>
    <definedName name="_2Price_Ta" localSheetId="2">#REF!</definedName>
    <definedName name="_2Price_Ta" localSheetId="4">#REF!</definedName>
    <definedName name="_2Price_Ta">#REF!</definedName>
    <definedName name="_B" localSheetId="2">'[7]Rate Design'!#REF!</definedName>
    <definedName name="_B" localSheetId="4">'[7]Rate Design'!#REF!</definedName>
    <definedName name="_B">'[7]Rate Design'!#REF!</definedName>
    <definedName name="_Fill" localSheetId="2" hidden="1">#REF!</definedName>
    <definedName name="_Fill" localSheetId="4" hidden="1">#REF!</definedName>
    <definedName name="_Fill" hidden="1">#REF!</definedName>
    <definedName name="_Key1" localSheetId="2" hidden="1">#REF!</definedName>
    <definedName name="_Key1" localSheetId="4" hidden="1">#REF!</definedName>
    <definedName name="_Key1" hidden="1">#REF!</definedName>
    <definedName name="_Key2" localSheetId="2" hidden="1">#REF!</definedName>
    <definedName name="_Key2" localSheetId="4" hidden="1">#REF!</definedName>
    <definedName name="_Key2" hidden="1">#REF!</definedName>
    <definedName name="_MEN2" localSheetId="2">[1]Jan!#REF!</definedName>
    <definedName name="_MEN2" localSheetId="4">[1]Jan!#REF!</definedName>
    <definedName name="_MEN2">[1]Jan!#REF!</definedName>
    <definedName name="_MEN3" localSheetId="2">[1]Jan!#REF!</definedName>
    <definedName name="_MEN3" localSheetId="4">[1]Jan!#REF!</definedName>
    <definedName name="_MEN3">[1]Jan!#REF!</definedName>
    <definedName name="_Order1" hidden="1">0</definedName>
    <definedName name="_Order2" hidden="1">0</definedName>
    <definedName name="_P" localSheetId="2">#REF!</definedName>
    <definedName name="_P" localSheetId="4">#REF!</definedName>
    <definedName name="_P">#REF!</definedName>
    <definedName name="_Sort" localSheetId="2" hidden="1">#REF!</definedName>
    <definedName name="_Sort" localSheetId="4" hidden="1">#REF!</definedName>
    <definedName name="_Sort" hidden="1">#REF!</definedName>
    <definedName name="_TOP1" localSheetId="2">[1]Jan!#REF!</definedName>
    <definedName name="_TOP1" localSheetId="4">[1]Jan!#REF!</definedName>
    <definedName name="_TOP1">[1]Jan!#REF!</definedName>
    <definedName name="a" localSheetId="0" hidden="1">#REF!</definedName>
    <definedName name="a" localSheetId="1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hidden="1">'[4]DSM Output'!$J$21:$J$23</definedName>
    <definedName name="Acct108364" localSheetId="2">'[8]Func Study'!#REF!</definedName>
    <definedName name="Acct108364" localSheetId="4">'[8]Func Study'!#REF!</definedName>
    <definedName name="Acct108364">'[8]Func Study'!#REF!</definedName>
    <definedName name="Acct108364S" localSheetId="2">'[8]Func Study'!#REF!</definedName>
    <definedName name="Acct108364S" localSheetId="4">'[8]Func Study'!#REF!</definedName>
    <definedName name="Acct108364S">'[8]Func Study'!#REF!</definedName>
    <definedName name="Acct228.42TROJD" localSheetId="2">'[9]Func Study'!#REF!</definedName>
    <definedName name="Acct228.42TROJD" localSheetId="4">'[9]Func Study'!#REF!</definedName>
    <definedName name="Acct228.42TROJD">'[9]Func Study'!#REF!</definedName>
    <definedName name="Acct2281SO">'[10]Func Study'!$H$2190</definedName>
    <definedName name="Acct2283SO">'[10]Func Study'!$H$2198</definedName>
    <definedName name="Acct22842TROJD" localSheetId="2">'[9]Func Study'!#REF!</definedName>
    <definedName name="Acct22842TROJD" localSheetId="4">'[9]Func Study'!#REF!</definedName>
    <definedName name="Acct22842TROJD">'[9]Func Study'!#REF!</definedName>
    <definedName name="Acct228SO">'[10]Func Study'!$H$2194</definedName>
    <definedName name="Acct350">'[10]Func Study'!$H$1628</definedName>
    <definedName name="Acct352">'[10]Func Study'!$H$1635</definedName>
    <definedName name="Acct353">'[10]Func Study'!$H$1641</definedName>
    <definedName name="Acct354">'[10]Func Study'!$H$1647</definedName>
    <definedName name="Acct355">'[10]Func Study'!$H$1654</definedName>
    <definedName name="Acct356">'[10]Func Study'!$H$1660</definedName>
    <definedName name="Acct357">'[10]Func Study'!$H$1666</definedName>
    <definedName name="Acct358">'[10]Func Study'!$H$1672</definedName>
    <definedName name="Acct359">'[10]Func Study'!$H$1678</definedName>
    <definedName name="Acct360">'[10]Func Study'!$H$1698</definedName>
    <definedName name="Acct361">'[10]Func Study'!$H$1704</definedName>
    <definedName name="Acct362">'[10]Func Study'!$H$1710</definedName>
    <definedName name="Acct364">'[10]Func Study'!$H$1717</definedName>
    <definedName name="Acct365">'[10]Func Study'!$H$1724</definedName>
    <definedName name="Acct366">'[10]Func Study'!$H$1731</definedName>
    <definedName name="Acct367">'[10]Func Study'!$H$1738</definedName>
    <definedName name="Acct368">'[10]Func Study'!$H$1744</definedName>
    <definedName name="Acct369">'[10]Func Study'!$H$1751</definedName>
    <definedName name="Acct370">'[10]Func Study'!$H$1762</definedName>
    <definedName name="Acct371">'[10]Func Study'!$H$1769</definedName>
    <definedName name="Acct372">'[10]Func Study'!$H$1776</definedName>
    <definedName name="Acct372A">'[10]Func Study'!$H$1775</definedName>
    <definedName name="Acct372DP">'[10]Func Study'!$H$1773</definedName>
    <definedName name="Acct372DS">'[10]Func Study'!$H$1774</definedName>
    <definedName name="Acct373">'[10]Func Study'!$H$1782</definedName>
    <definedName name="Acct41011" localSheetId="2">'[11]Functional Study'!#REF!</definedName>
    <definedName name="Acct41011" localSheetId="4">'[11]Functional Study'!#REF!</definedName>
    <definedName name="Acct41011">'[11]Functional Study'!#REF!</definedName>
    <definedName name="Acct41011BADDEBT" localSheetId="2">'[11]Functional Study'!#REF!</definedName>
    <definedName name="Acct41011BADDEBT" localSheetId="4">'[11]Functional Study'!#REF!</definedName>
    <definedName name="Acct41011BADDEBT">'[11]Functional Study'!#REF!</definedName>
    <definedName name="Acct41011DITEXP" localSheetId="2">'[11]Functional Study'!#REF!</definedName>
    <definedName name="Acct41011DITEXP" localSheetId="4">'[11]Functional Study'!#REF!</definedName>
    <definedName name="Acct41011DITEXP">'[11]Functional Study'!#REF!</definedName>
    <definedName name="Acct41011S" localSheetId="2">'[11]Functional Study'!#REF!</definedName>
    <definedName name="Acct41011S" localSheetId="4">'[11]Functional Study'!#REF!</definedName>
    <definedName name="Acct41011S">'[11]Functional Study'!#REF!</definedName>
    <definedName name="Acct41011SE" localSheetId="2">'[11]Functional Study'!#REF!</definedName>
    <definedName name="Acct41011SE" localSheetId="4">'[11]Functional Study'!#REF!</definedName>
    <definedName name="Acct41011SE">'[11]Functional Study'!#REF!</definedName>
    <definedName name="Acct41011SG1" localSheetId="2">'[11]Functional Study'!#REF!</definedName>
    <definedName name="Acct41011SG1" localSheetId="4">'[11]Functional Study'!#REF!</definedName>
    <definedName name="Acct41011SG1">'[11]Functional Study'!#REF!</definedName>
    <definedName name="Acct41011SG2" localSheetId="2">'[11]Functional Study'!#REF!</definedName>
    <definedName name="Acct41011SG2" localSheetId="4">'[11]Functional Study'!#REF!</definedName>
    <definedName name="Acct41011SG2">'[11]Functional Study'!#REF!</definedName>
    <definedName name="ACCT41011SGCT" localSheetId="2">'[11]Functional Study'!#REF!</definedName>
    <definedName name="ACCT41011SGCT" localSheetId="4">'[11]Functional Study'!#REF!</definedName>
    <definedName name="ACCT41011SGCT">'[11]Functional Study'!#REF!</definedName>
    <definedName name="Acct41011SGPP" localSheetId="2">'[11]Functional Study'!#REF!</definedName>
    <definedName name="Acct41011SGPP" localSheetId="4">'[11]Functional Study'!#REF!</definedName>
    <definedName name="Acct41011SGPP">'[11]Functional Study'!#REF!</definedName>
    <definedName name="Acct41011SNP" localSheetId="2">'[11]Functional Study'!#REF!</definedName>
    <definedName name="Acct41011SNP" localSheetId="4">'[11]Functional Study'!#REF!</definedName>
    <definedName name="Acct41011SNP">'[11]Functional Study'!#REF!</definedName>
    <definedName name="ACCT41011SNPD" localSheetId="2">'[11]Functional Study'!#REF!</definedName>
    <definedName name="ACCT41011SNPD" localSheetId="4">'[11]Functional Study'!#REF!</definedName>
    <definedName name="ACCT41011SNPD">'[11]Functional Study'!#REF!</definedName>
    <definedName name="Acct41011SO" localSheetId="2">'[11]Functional Study'!#REF!</definedName>
    <definedName name="Acct41011SO" localSheetId="4">'[11]Functional Study'!#REF!</definedName>
    <definedName name="Acct41011SO">'[11]Functional Study'!#REF!</definedName>
    <definedName name="Acct41011TROJP" localSheetId="2">'[11]Functional Study'!#REF!</definedName>
    <definedName name="Acct41011TROJP" localSheetId="4">'[11]Functional Study'!#REF!</definedName>
    <definedName name="Acct41011TROJP">'[11]Functional Study'!#REF!</definedName>
    <definedName name="Acct41111" localSheetId="2">'[11]Functional Study'!#REF!</definedName>
    <definedName name="Acct41111" localSheetId="4">'[11]Functional Study'!#REF!</definedName>
    <definedName name="Acct41111">'[11]Functional Study'!#REF!</definedName>
    <definedName name="Acct41111BADDEBT" localSheetId="2">'[11]Functional Study'!#REF!</definedName>
    <definedName name="Acct41111BADDEBT" localSheetId="4">'[11]Functional Study'!#REF!</definedName>
    <definedName name="Acct41111BADDEBT">'[11]Functional Study'!#REF!</definedName>
    <definedName name="Acct41111DITEXP" localSheetId="2">'[11]Functional Study'!#REF!</definedName>
    <definedName name="Acct41111DITEXP" localSheetId="4">'[11]Functional Study'!#REF!</definedName>
    <definedName name="Acct41111DITEXP">'[11]Functional Study'!#REF!</definedName>
    <definedName name="Acct41111S" localSheetId="2">'[11]Functional Study'!#REF!</definedName>
    <definedName name="Acct41111S" localSheetId="4">'[11]Functional Study'!#REF!</definedName>
    <definedName name="Acct41111S">'[11]Functional Study'!#REF!</definedName>
    <definedName name="Acct41111SE" localSheetId="2">'[11]Functional Study'!#REF!</definedName>
    <definedName name="Acct41111SE" localSheetId="4">'[11]Functional Study'!#REF!</definedName>
    <definedName name="Acct41111SE">'[11]Functional Study'!#REF!</definedName>
    <definedName name="Acct41111SG1" localSheetId="2">'[11]Functional Study'!#REF!</definedName>
    <definedName name="Acct41111SG1" localSheetId="4">'[11]Functional Study'!#REF!</definedName>
    <definedName name="Acct41111SG1">'[11]Functional Study'!#REF!</definedName>
    <definedName name="Acct41111SG2" localSheetId="2">'[11]Functional Study'!#REF!</definedName>
    <definedName name="Acct41111SG2" localSheetId="4">'[11]Functional Study'!#REF!</definedName>
    <definedName name="Acct41111SG2">'[11]Functional Study'!#REF!</definedName>
    <definedName name="Acct41111SG3" localSheetId="2">'[11]Functional Study'!#REF!</definedName>
    <definedName name="Acct41111SG3" localSheetId="4">'[11]Functional Study'!#REF!</definedName>
    <definedName name="Acct41111SG3">'[11]Functional Study'!#REF!</definedName>
    <definedName name="Acct41111SGPP" localSheetId="2">'[11]Functional Study'!#REF!</definedName>
    <definedName name="Acct41111SGPP" localSheetId="4">'[11]Functional Study'!#REF!</definedName>
    <definedName name="Acct41111SGPP">'[11]Functional Study'!#REF!</definedName>
    <definedName name="Acct41111SNP" localSheetId="2">'[11]Functional Study'!#REF!</definedName>
    <definedName name="Acct41111SNP" localSheetId="4">'[11]Functional Study'!#REF!</definedName>
    <definedName name="Acct41111SNP">'[11]Functional Study'!#REF!</definedName>
    <definedName name="Acct41111SNTP" localSheetId="2">'[11]Functional Study'!#REF!</definedName>
    <definedName name="Acct41111SNTP" localSheetId="4">'[11]Functional Study'!#REF!</definedName>
    <definedName name="Acct41111SNTP">'[11]Functional Study'!#REF!</definedName>
    <definedName name="Acct41111SO" localSheetId="2">'[11]Functional Study'!#REF!</definedName>
    <definedName name="Acct41111SO" localSheetId="4">'[11]Functional Study'!#REF!</definedName>
    <definedName name="Acct41111SO">'[11]Functional Study'!#REF!</definedName>
    <definedName name="Acct41111TROJP" localSheetId="2">'[11]Functional Study'!#REF!</definedName>
    <definedName name="Acct41111TROJP" localSheetId="4">'[11]Functional Study'!#REF!</definedName>
    <definedName name="Acct41111TROJP">'[11]Functional Study'!#REF!</definedName>
    <definedName name="Acct411BADDEBT" localSheetId="2">'[11]Functional Study'!#REF!</definedName>
    <definedName name="Acct411BADDEBT" localSheetId="4">'[11]Functional Study'!#REF!</definedName>
    <definedName name="Acct411BADDEBT">'[11]Functional Study'!#REF!</definedName>
    <definedName name="Acct411DGP" localSheetId="2">'[11]Functional Study'!#REF!</definedName>
    <definedName name="Acct411DGP" localSheetId="4">'[11]Functional Study'!#REF!</definedName>
    <definedName name="Acct411DGP">'[11]Functional Study'!#REF!</definedName>
    <definedName name="Acct411DGU" localSheetId="2">'[11]Functional Study'!#REF!</definedName>
    <definedName name="Acct411DGU" localSheetId="4">'[11]Functional Study'!#REF!</definedName>
    <definedName name="Acct411DGU">'[11]Functional Study'!#REF!</definedName>
    <definedName name="Acct411DITEXP" localSheetId="2">'[11]Functional Study'!#REF!</definedName>
    <definedName name="Acct411DITEXP" localSheetId="4">'[11]Functional Study'!#REF!</definedName>
    <definedName name="Acct411DITEXP">'[11]Functional Study'!#REF!</definedName>
    <definedName name="Acct411DNPP" localSheetId="2">'[11]Functional Study'!#REF!</definedName>
    <definedName name="Acct411DNPP" localSheetId="4">'[11]Functional Study'!#REF!</definedName>
    <definedName name="Acct411DNPP">'[11]Functional Study'!#REF!</definedName>
    <definedName name="Acct411DNPTP" localSheetId="2">'[11]Functional Study'!#REF!</definedName>
    <definedName name="Acct411DNPTP" localSheetId="4">'[11]Functional Study'!#REF!</definedName>
    <definedName name="Acct411DNPTP">'[11]Functional Study'!#REF!</definedName>
    <definedName name="Acct411S" localSheetId="2">'[11]Functional Study'!#REF!</definedName>
    <definedName name="Acct411S" localSheetId="4">'[11]Functional Study'!#REF!</definedName>
    <definedName name="Acct411S">'[11]Functional Study'!#REF!</definedName>
    <definedName name="Acct411SE" localSheetId="2">'[11]Functional Study'!#REF!</definedName>
    <definedName name="Acct411SE" localSheetId="4">'[11]Functional Study'!#REF!</definedName>
    <definedName name="Acct411SE">'[11]Functional Study'!#REF!</definedName>
    <definedName name="Acct411SG" localSheetId="2">'[11]Functional Study'!#REF!</definedName>
    <definedName name="Acct411SG" localSheetId="4">'[11]Functional Study'!#REF!</definedName>
    <definedName name="Acct411SG">'[11]Functional Study'!#REF!</definedName>
    <definedName name="Acct411SGPP" localSheetId="2">'[11]Functional Study'!#REF!</definedName>
    <definedName name="Acct411SGPP" localSheetId="4">'[11]Functional Study'!#REF!</definedName>
    <definedName name="Acct411SGPP">'[11]Functional Study'!#REF!</definedName>
    <definedName name="Acct411SO" localSheetId="2">'[11]Functional Study'!#REF!</definedName>
    <definedName name="Acct411SO" localSheetId="4">'[11]Functional Study'!#REF!</definedName>
    <definedName name="Acct411SO">'[11]Functional Study'!#REF!</definedName>
    <definedName name="Acct411TROJP" localSheetId="2">'[11]Functional Study'!#REF!</definedName>
    <definedName name="Acct411TROJP" localSheetId="4">'[11]Functional Study'!#REF!</definedName>
    <definedName name="Acct411TROJP">'[11]Functional Study'!#REF!</definedName>
    <definedName name="Acct447DGU" localSheetId="2">'[9]Func Study'!#REF!</definedName>
    <definedName name="Acct447DGU" localSheetId="4">'[9]Func Study'!#REF!</definedName>
    <definedName name="Acct447DGU">'[9]Func Study'!#REF!</definedName>
    <definedName name="Acct448S">'[10]Func Study'!$H$274</definedName>
    <definedName name="Acct450S">'[10]Func Study'!$H$302</definedName>
    <definedName name="Acct451S">'[10]Func Study'!$H$307</definedName>
    <definedName name="Acct454S">'[10]Func Study'!$H$318</definedName>
    <definedName name="Acct456S">'[10]Func Study'!$H$325</definedName>
    <definedName name="Acct510" localSheetId="4">'[10]Func Study'!#REF!</definedName>
    <definedName name="Acct510">'[10]Func Study'!#REF!</definedName>
    <definedName name="Acct510DNPPSU" localSheetId="4">'[10]Func Study'!#REF!</definedName>
    <definedName name="Acct510DNPPSU">'[10]Func Study'!#REF!</definedName>
    <definedName name="ACCT510JBG" localSheetId="4">'[10]Func Study'!#REF!</definedName>
    <definedName name="ACCT510JBG">'[10]Func Study'!#REF!</definedName>
    <definedName name="ACCT510SSGCH" localSheetId="4">'[10]Func Study'!#REF!</definedName>
    <definedName name="ACCT510SSGCH">'[10]Func Study'!#REF!</definedName>
    <definedName name="ACCT557CAGE">'[10]Func Study'!$H$683</definedName>
    <definedName name="Acct557CT">'[10]Func Study'!$H$681</definedName>
    <definedName name="Acct580">'[10]Func Study'!$H$791</definedName>
    <definedName name="Acct581">'[10]Func Study'!$H$796</definedName>
    <definedName name="Acct582">'[10]Func Study'!$H$801</definedName>
    <definedName name="Acct583">'[10]Func Study'!$H$806</definedName>
    <definedName name="Acct584">'[10]Func Study'!$H$811</definedName>
    <definedName name="Acct585">'[10]Func Study'!$H$816</definedName>
    <definedName name="Acct586">'[10]Func Study'!$H$821</definedName>
    <definedName name="Acct587">'[10]Func Study'!$H$826</definedName>
    <definedName name="Acct588">'[10]Func Study'!$H$831</definedName>
    <definedName name="Acct589">'[10]Func Study'!$H$836</definedName>
    <definedName name="Acct590">'[10]Func Study'!$H$841</definedName>
    <definedName name="Acct591">'[10]Func Study'!$H$846</definedName>
    <definedName name="Acct592">'[10]Func Study'!$H$851</definedName>
    <definedName name="Acct593">'[10]Func Study'!$H$856</definedName>
    <definedName name="Acct594">'[10]Func Study'!$H$861</definedName>
    <definedName name="Acct595">'[10]Func Study'!$H$866</definedName>
    <definedName name="Acct596">'[10]Func Study'!$H$876</definedName>
    <definedName name="Acct597">'[10]Func Study'!$H$881</definedName>
    <definedName name="Acct598">'[10]Func Study'!$H$886</definedName>
    <definedName name="ACCT904SG" localSheetId="2">'[12]Functional Study'!#REF!</definedName>
    <definedName name="ACCT904SG" localSheetId="4">'[12]Functional Study'!#REF!</definedName>
    <definedName name="ACCT904SG">'[12]Functional Study'!#REF!</definedName>
    <definedName name="AcctAGA">'[10]Func Study'!$H$296</definedName>
    <definedName name="AcctDFAD" localSheetId="4">'[10]Func Study'!#REF!</definedName>
    <definedName name="AcctDFAD">'[10]Func Study'!#REF!</definedName>
    <definedName name="AcctDFAP" localSheetId="4">'[10]Func Study'!#REF!</definedName>
    <definedName name="AcctDFAP">'[10]Func Study'!#REF!</definedName>
    <definedName name="AcctDFAT" localSheetId="4">'[10]Func Study'!#REF!</definedName>
    <definedName name="AcctDFAT">'[10]Func Study'!#REF!</definedName>
    <definedName name="AcctTable">[13]Variables!$AK$42:$AK$396</definedName>
    <definedName name="AcctTS0">'[10]Func Study'!$H$1686</definedName>
    <definedName name="ActualROR">'[9]G+T+D+R+M'!$H$61</definedName>
    <definedName name="Adjs2avg">[14]Inputs!$L$255:'[14]Inputs'!$T$505</definedName>
    <definedName name="APR" localSheetId="2">[15]Backup!#REF!</definedName>
    <definedName name="APR" localSheetId="1">#REF!</definedName>
    <definedName name="APR" localSheetId="4">[15]Backup!#REF!</definedName>
    <definedName name="APR">[15]Backup!#REF!</definedName>
    <definedName name="APRT" localSheetId="2">#REF!</definedName>
    <definedName name="APRT" localSheetId="4">#REF!</definedName>
    <definedName name="APRT">#REF!</definedName>
    <definedName name="AUG" localSheetId="2">[15]Backup!#REF!</definedName>
    <definedName name="AUG" localSheetId="1">#REF!</definedName>
    <definedName name="AUG" localSheetId="4">[15]Backup!#REF!</definedName>
    <definedName name="AUG">[15]Backup!#REF!</definedName>
    <definedName name="AUGT" localSheetId="2">#REF!</definedName>
    <definedName name="AUGT" localSheetId="4">#REF!</definedName>
    <definedName name="AUGT">#REF!</definedName>
    <definedName name="AvgFactors">[13]Factors!$B$3:$P$99</definedName>
    <definedName name="BACK1" localSheetId="2">#REF!</definedName>
    <definedName name="BACK1" localSheetId="4">#REF!</definedName>
    <definedName name="BACK1">#REF!</definedName>
    <definedName name="BACK2" localSheetId="2">#REF!</definedName>
    <definedName name="BACK2" localSheetId="4">#REF!</definedName>
    <definedName name="BACK2">#REF!</definedName>
    <definedName name="BACK3" localSheetId="2">#REF!</definedName>
    <definedName name="BACK3" localSheetId="4">#REF!</definedName>
    <definedName name="BACK3">#REF!</definedName>
    <definedName name="BACKUP1" localSheetId="2">#REF!</definedName>
    <definedName name="BACKUP1" localSheetId="4">#REF!</definedName>
    <definedName name="BACKUP1">#REF!</definedName>
    <definedName name="BOOKADJ" localSheetId="2">#REF!</definedName>
    <definedName name="BOOKADJ" localSheetId="4">#REF!</definedName>
    <definedName name="BOOKADJ">#REF!</definedName>
    <definedName name="cap">[16]Readings!$B$2</definedName>
    <definedName name="Check" localSheetId="2">#REF!</definedName>
    <definedName name="Check" localSheetId="4">#REF!</definedName>
    <definedName name="Check">#REF!</definedName>
    <definedName name="Classification">'[10]Func Study'!$AB$251</definedName>
    <definedName name="COMADJ" localSheetId="2">#REF!</definedName>
    <definedName name="COMADJ" localSheetId="4">#REF!</definedName>
    <definedName name="COMADJ">#REF!</definedName>
    <definedName name="COMP" localSheetId="2">#REF!</definedName>
    <definedName name="COMP" localSheetId="4">#REF!</definedName>
    <definedName name="COMP">#REF!</definedName>
    <definedName name="COMPACTUAL" localSheetId="2">#REF!</definedName>
    <definedName name="COMPACTUAL" localSheetId="4">#REF!</definedName>
    <definedName name="COMPACTUAL">#REF!</definedName>
    <definedName name="COMPT" localSheetId="2">#REF!</definedName>
    <definedName name="COMPT" localSheetId="4">#REF!</definedName>
    <definedName name="COMPT">#REF!</definedName>
    <definedName name="COMPWEATHER" localSheetId="2">#REF!</definedName>
    <definedName name="COMPWEATHER" localSheetId="4">#REF!</definedName>
    <definedName name="COMPWEATHER">#REF!</definedName>
    <definedName name="COSFacVal">[10]Inputs!$R$5</definedName>
    <definedName name="_xlnm.Database" localSheetId="2">[17]Invoice!#REF!</definedName>
    <definedName name="_xlnm.Database" localSheetId="4">[17]Invoice!#REF!</definedName>
    <definedName name="_xlnm.Database">[17]Invoice!#REF!</definedName>
    <definedName name="DATE" localSheetId="2">[18]Jan!#REF!</definedName>
    <definedName name="DATE" localSheetId="4">[18]Jan!#REF!</definedName>
    <definedName name="DATE">[18]Jan!#REF!</definedName>
    <definedName name="DEC" localSheetId="2">[15]Backup!#REF!</definedName>
    <definedName name="DEC" localSheetId="1">#REF!</definedName>
    <definedName name="DEC" localSheetId="4">[15]Backup!#REF!</definedName>
    <definedName name="DEC">[15]Backup!#REF!</definedName>
    <definedName name="DECT" localSheetId="2">#REF!</definedName>
    <definedName name="DECT" localSheetId="4">#REF!</definedName>
    <definedName name="DECT">#REF!</definedName>
    <definedName name="Demand">[9]Inputs!$D$8</definedName>
    <definedName name="Demand2">[19]Inputs!$D$11</definedName>
    <definedName name="Dis">'[10]Func Study'!$AB$250</definedName>
    <definedName name="DisFac">'[10]Func Dist Factor Table'!$A$11:$G$25</definedName>
    <definedName name="Dist_factor" localSheetId="2">#REF!</definedName>
    <definedName name="Dist_factor" localSheetId="4">#REF!</definedName>
    <definedName name="Dist_factor">#REF!</definedName>
    <definedName name="DistPeakMethod" localSheetId="2">[12]Inputs!#REF!</definedName>
    <definedName name="DistPeakMethod" localSheetId="4">[12]Inputs!#REF!</definedName>
    <definedName name="DistPeakMethod">[12]Inputs!#REF!</definedName>
    <definedName name="DUDE" localSheetId="2" hidden="1">#REF!</definedName>
    <definedName name="DUDE" localSheetId="4" hidden="1">#REF!</definedName>
    <definedName name="DUDE" hidden="1">#REF!</definedName>
    <definedName name="energy">[16]Readings!$B$3</definedName>
    <definedName name="Engy">[9]Inputs!$D$9</definedName>
    <definedName name="Engy2">[19]Inputs!$D$12</definedName>
    <definedName name="f101top" localSheetId="2">#REF!</definedName>
    <definedName name="f101top" localSheetId="4">#REF!</definedName>
    <definedName name="f101top">#REF!</definedName>
    <definedName name="f104top" localSheetId="2">#REF!</definedName>
    <definedName name="f104top" localSheetId="4">#REF!</definedName>
    <definedName name="f104top">#REF!</definedName>
    <definedName name="f138top" localSheetId="2">#REF!</definedName>
    <definedName name="f138top" localSheetId="4">#REF!</definedName>
    <definedName name="f138top">#REF!</definedName>
    <definedName name="f140top" localSheetId="2">#REF!</definedName>
    <definedName name="f140top" localSheetId="4">#REF!</definedName>
    <definedName name="f140top">#REF!</definedName>
    <definedName name="Factorck">'[10]COS Factor Table'!$O$15:$O$113</definedName>
    <definedName name="FactorType">[13]Variables!$AK$2:$AL$12</definedName>
    <definedName name="FACTP" localSheetId="2">#REF!</definedName>
    <definedName name="FACTP" localSheetId="4">#REF!</definedName>
    <definedName name="FACTP">#REF!</definedName>
    <definedName name="FactSum">'[10]COS Factor Table'!$A$14:$O$113</definedName>
    <definedName name="FEB" localSheetId="2">[15]Backup!#REF!</definedName>
    <definedName name="FEB" localSheetId="1">#REF!</definedName>
    <definedName name="FEB" localSheetId="4">[15]Backup!#REF!</definedName>
    <definedName name="FEB">[15]Backup!#REF!</definedName>
    <definedName name="FEBT" localSheetId="2">#REF!</definedName>
    <definedName name="FEBT" localSheetId="4">#REF!</definedName>
    <definedName name="FEBT">#REF!</definedName>
    <definedName name="FranchiseTax">[14]Variables!$D$26</definedName>
    <definedName name="Func">'[10]Func Factor Table'!$A$10:$H$77</definedName>
    <definedName name="Func_Ftrs" localSheetId="2">#REF!</definedName>
    <definedName name="Func_Ftrs" localSheetId="4">#REF!</definedName>
    <definedName name="Func_Ftrs">#REF!</definedName>
    <definedName name="Func_GTD_Percents" localSheetId="2">#REF!</definedName>
    <definedName name="Func_GTD_Percents" localSheetId="4">#REF!</definedName>
    <definedName name="Func_GTD_Percents">#REF!</definedName>
    <definedName name="Func_MC" localSheetId="2">#REF!</definedName>
    <definedName name="Func_MC" localSheetId="4">#REF!</definedName>
    <definedName name="Func_MC">#REF!</definedName>
    <definedName name="Func_Percents" localSheetId="2">#REF!</definedName>
    <definedName name="Func_Percents" localSheetId="4">#REF!</definedName>
    <definedName name="Func_Percents">#REF!</definedName>
    <definedName name="Func_Rev_Req1" localSheetId="2">#REF!</definedName>
    <definedName name="Func_Rev_Req1" localSheetId="4">#REF!</definedName>
    <definedName name="Func_Rev_Req1">#REF!</definedName>
    <definedName name="Func_Rev_Req2" localSheetId="2">#REF!</definedName>
    <definedName name="Func_Rev_Req2" localSheetId="4">#REF!</definedName>
    <definedName name="Func_Rev_Req2">#REF!</definedName>
    <definedName name="Func_Revenue" localSheetId="2">#REF!</definedName>
    <definedName name="Func_Revenue" localSheetId="4">#REF!</definedName>
    <definedName name="Func_Revenue">#REF!</definedName>
    <definedName name="Function">'[10]Func Study'!$AB$250</definedName>
    <definedName name="GREATER10MW" localSheetId="2">#REF!</definedName>
    <definedName name="GREATER10MW" localSheetId="4">#REF!</definedName>
    <definedName name="GREATER10MW">#REF!</definedName>
    <definedName name="GTD_Percents" localSheetId="2">#REF!</definedName>
    <definedName name="GTD_Percents" localSheetId="4">#REF!</definedName>
    <definedName name="GTD_Percents">#REF!</definedName>
    <definedName name="HEIGHT" localSheetId="2">#REF!</definedName>
    <definedName name="HEIGHT" localSheetId="4">#REF!</definedName>
    <definedName name="HEIGHT">#REF!</definedName>
    <definedName name="ID_0303_RVN_data" localSheetId="2">#REF!</definedName>
    <definedName name="ID_0303_RVN_data" localSheetId="4">#REF!</definedName>
    <definedName name="ID_0303_RVN_data">#REF!</definedName>
    <definedName name="IDcontractsRVN" localSheetId="2">#REF!</definedName>
    <definedName name="IDcontractsRVN" localSheetId="4">#REF!</definedName>
    <definedName name="IDcontractsRVN">#REF!</definedName>
    <definedName name="INDADJ" localSheetId="2">#REF!</definedName>
    <definedName name="INDADJ" localSheetId="4">#REF!</definedName>
    <definedName name="INDADJ">#REF!</definedName>
    <definedName name="INPUT" localSheetId="2">[20]Summary!#REF!</definedName>
    <definedName name="INPUT" localSheetId="4">[20]Summary!#REF!</definedName>
    <definedName name="INPUT">[20]Summary!#REF!</definedName>
    <definedName name="Instructions" localSheetId="2">#REF!</definedName>
    <definedName name="Instructions" localSheetId="4">#REF!</definedName>
    <definedName name="Instructions">#REF!</definedName>
    <definedName name="JAN" localSheetId="2">[15]Backup!#REF!</definedName>
    <definedName name="JAN" localSheetId="1">#REF!</definedName>
    <definedName name="JAN" localSheetId="4">[15]Backup!#REF!</definedName>
    <definedName name="JAN">[15]Backup!#REF!</definedName>
    <definedName name="JANT" localSheetId="2">#REF!</definedName>
    <definedName name="JANT" localSheetId="4">#REF!</definedName>
    <definedName name="JANT">#REF!</definedName>
    <definedName name="jjj" localSheetId="2">[21]Inputs!$N$18</definedName>
    <definedName name="jjj">[21]Inputs!$N$18</definedName>
    <definedName name="JUL" localSheetId="2">[15]Backup!#REF!</definedName>
    <definedName name="JUL" localSheetId="1">#REF!</definedName>
    <definedName name="JUL" localSheetId="4">[15]Backup!#REF!</definedName>
    <definedName name="JUL">[15]Backup!#REF!</definedName>
    <definedName name="JULT" localSheetId="2">#REF!</definedName>
    <definedName name="JULT" localSheetId="4">#REF!</definedName>
    <definedName name="JULT">#REF!</definedName>
    <definedName name="JUN" localSheetId="2">[15]Backup!#REF!</definedName>
    <definedName name="JUN" localSheetId="1">#REF!</definedName>
    <definedName name="JUN" localSheetId="4">[15]Backup!#REF!</definedName>
    <definedName name="JUN">[15]Backup!#REF!</definedName>
    <definedName name="JUNT" localSheetId="2">#REF!</definedName>
    <definedName name="JUNT" localSheetId="4">#REF!</definedName>
    <definedName name="JUNT">#REF!</definedName>
    <definedName name="Jurisdiction">[13]Variables!$AK$15</definedName>
    <definedName name="JurisNumber">[13]Variables!$AL$15</definedName>
    <definedName name="LABORMOD" localSheetId="2">#REF!</definedName>
    <definedName name="LABORMOD" localSheetId="4">#REF!</definedName>
    <definedName name="LABORMOD">#REF!</definedName>
    <definedName name="LABORROLL" localSheetId="2">#REF!</definedName>
    <definedName name="LABORROLL" localSheetId="4">#REF!</definedName>
    <definedName name="LABORROLL">#REF!</definedName>
    <definedName name="limcount" hidden="1">1</definedName>
    <definedName name="Line_Ext_Credit" localSheetId="2">#REF!</definedName>
    <definedName name="Line_Ext_Credit" localSheetId="4">#REF!</definedName>
    <definedName name="Line_Ext_Credit">#REF!</definedName>
    <definedName name="LinkCos">'[10]JAM Download'!$K$4</definedName>
    <definedName name="LOG" localSheetId="2">[15]Backup!#REF!</definedName>
    <definedName name="LOG" localSheetId="4">[15]Backup!#REF!</definedName>
    <definedName name="LOG">[15]Backup!#REF!</definedName>
    <definedName name="LOSS" localSheetId="2">[15]Backup!#REF!</definedName>
    <definedName name="LOSS" localSheetId="4">[15]Backup!#REF!</definedName>
    <definedName name="LOSS">[15]Backup!#REF!</definedName>
    <definedName name="MACTIT" localSheetId="2">#REF!</definedName>
    <definedName name="MACTIT" localSheetId="4">#REF!</definedName>
    <definedName name="MACTIT">#REF!</definedName>
    <definedName name="MAR" localSheetId="2">[15]Backup!#REF!</definedName>
    <definedName name="MAR" localSheetId="1">#REF!</definedName>
    <definedName name="MAR" localSheetId="4">[15]Backup!#REF!</definedName>
    <definedName name="MAR">[15]Backup!#REF!</definedName>
    <definedName name="MART" localSheetId="2">#REF!</definedName>
    <definedName name="MART" localSheetId="4">#REF!</definedName>
    <definedName name="MART">#REF!</definedName>
    <definedName name="MAY" localSheetId="2">[15]Backup!#REF!</definedName>
    <definedName name="MAY" localSheetId="1">#REF!</definedName>
    <definedName name="MAY" localSheetId="4">[15]Backup!#REF!</definedName>
    <definedName name="MAY">[15]Backup!#REF!</definedName>
    <definedName name="MAYT" localSheetId="2">#REF!</definedName>
    <definedName name="MAYT" localSheetId="4">#REF!</definedName>
    <definedName name="MAYT">#REF!</definedName>
    <definedName name="MCtoREV" localSheetId="2">#REF!</definedName>
    <definedName name="MCtoREV" localSheetId="4">#REF!</definedName>
    <definedName name="MCtoREV">#REF!</definedName>
    <definedName name="MEN" localSheetId="2">[1]Jan!#REF!</definedName>
    <definedName name="MEN" localSheetId="4">[1]Jan!#REF!</definedName>
    <definedName name="MEN">[1]Jan!#REF!</definedName>
    <definedName name="Menu_Begin" localSheetId="2">#REF!</definedName>
    <definedName name="Menu_Begin" localSheetId="4">#REF!</definedName>
    <definedName name="Menu_Begin">#REF!</definedName>
    <definedName name="Menu_Caption" localSheetId="2">#REF!</definedName>
    <definedName name="Menu_Caption" localSheetId="4">#REF!</definedName>
    <definedName name="Menu_Caption">#REF!</definedName>
    <definedName name="Menu_Large" localSheetId="2">#REF!</definedName>
    <definedName name="Menu_Large" localSheetId="4">#REF!</definedName>
    <definedName name="Menu_Large">#REF!</definedName>
    <definedName name="Menu_Name" localSheetId="2">#REF!</definedName>
    <definedName name="Menu_Name" localSheetId="4">#REF!</definedName>
    <definedName name="Menu_Name">#REF!</definedName>
    <definedName name="Menu_OnAction" localSheetId="2">#REF!</definedName>
    <definedName name="Menu_OnAction" localSheetId="4">#REF!</definedName>
    <definedName name="Menu_OnAction">#REF!</definedName>
    <definedName name="Menu_Parent" localSheetId="2">#REF!</definedName>
    <definedName name="Menu_Parent" localSheetId="4">#REF!</definedName>
    <definedName name="Menu_Parent">#REF!</definedName>
    <definedName name="Menu_Small" localSheetId="2">#REF!</definedName>
    <definedName name="Menu_Small" localSheetId="4">#REF!</definedName>
    <definedName name="Menu_Small">#REF!</definedName>
    <definedName name="Method">[9]Inputs!$C$6</definedName>
    <definedName name="MONTH" localSheetId="2">[15]Backup!#REF!</definedName>
    <definedName name="MONTH" localSheetId="4">[15]Backup!#REF!</definedName>
    <definedName name="MONTH">[15]Backup!#REF!</definedName>
    <definedName name="monthlist">[22]Table!$R$2:$S$13</definedName>
    <definedName name="monthtotals">'[22]WA SBC'!$D$40:$O$40</definedName>
    <definedName name="MTKWH" localSheetId="2">#REF!</definedName>
    <definedName name="MTKWH" localSheetId="4">#REF!</definedName>
    <definedName name="MTKWH">#REF!</definedName>
    <definedName name="MTR_YR3">[23]Variables!$E$14</definedName>
    <definedName name="MTREV" localSheetId="2">#REF!</definedName>
    <definedName name="MTREV" localSheetId="4">#REF!</definedName>
    <definedName name="MTREV">#REF!</definedName>
    <definedName name="MULT" localSheetId="2">#REF!</definedName>
    <definedName name="MULT" localSheetId="4">#REF!</definedName>
    <definedName name="MULT">#REF!</definedName>
    <definedName name="Net_to_Gross_Factor">[10]Inputs!$G$8</definedName>
    <definedName name="NetToGross">[14]Variables!$D$23</definedName>
    <definedName name="NEWMO1" localSheetId="2">[1]Jan!#REF!</definedName>
    <definedName name="NEWMO1" localSheetId="4">[1]Jan!#REF!</definedName>
    <definedName name="NEWMO1">[1]Jan!#REF!</definedName>
    <definedName name="NEWMO2" localSheetId="2">[1]Jan!#REF!</definedName>
    <definedName name="NEWMO2" localSheetId="4">[1]Jan!#REF!</definedName>
    <definedName name="NEWMO2">[1]Jan!#REF!</definedName>
    <definedName name="NEWMONTH" localSheetId="2">[1]Jan!#REF!</definedName>
    <definedName name="NEWMONTH" localSheetId="4">[1]Jan!#REF!</definedName>
    <definedName name="NEWMONTH">[1]Jan!#REF!</definedName>
    <definedName name="NORMALIZE" localSheetId="2">#REF!</definedName>
    <definedName name="NORMALIZE" localSheetId="4">#REF!</definedName>
    <definedName name="NORMALIZE">#REF!</definedName>
    <definedName name="NOV" localSheetId="2">[15]Backup!#REF!</definedName>
    <definedName name="NOV" localSheetId="1">#REF!</definedName>
    <definedName name="NOV" localSheetId="4">[15]Backup!#REF!</definedName>
    <definedName name="NOV">[15]Backup!#REF!</definedName>
    <definedName name="NOVT" localSheetId="2">#REF!</definedName>
    <definedName name="NOVT" localSheetId="4">#REF!</definedName>
    <definedName name="NOVT">#REF!</definedName>
    <definedName name="NPC" localSheetId="2">[12]Inputs!$N$18</definedName>
    <definedName name="NPC">[12]Inputs!$N$18</definedName>
    <definedName name="NUM" localSheetId="2">#REF!</definedName>
    <definedName name="NUM" localSheetId="4">#REF!</definedName>
    <definedName name="NUM">#REF!</definedName>
    <definedName name="OCT" localSheetId="2">[15]Backup!#REF!</definedName>
    <definedName name="OCT" localSheetId="1">#REF!</definedName>
    <definedName name="OCT" localSheetId="4">[15]Backup!#REF!</definedName>
    <definedName name="OCT">[15]Backup!#REF!</definedName>
    <definedName name="OCTT" localSheetId="2">#REF!</definedName>
    <definedName name="OCTT" localSheetId="4">#REF!</definedName>
    <definedName name="OCTT">#REF!</definedName>
    <definedName name="ONE" localSheetId="2">[1]Jan!#REF!</definedName>
    <definedName name="ONE" localSheetId="4">[1]Jan!#REF!</definedName>
    <definedName name="ONE">[1]Jan!#REF!</definedName>
    <definedName name="option">'[24]Dist Misc'!$F$120</definedName>
    <definedName name="Page1" localSheetId="2">#REF!</definedName>
    <definedName name="Page1" localSheetId="4">#REF!</definedName>
    <definedName name="Page1">#REF!</definedName>
    <definedName name="Page110" localSheetId="2">#REF!</definedName>
    <definedName name="Page110" localSheetId="4">#REF!</definedName>
    <definedName name="Page110">#REF!</definedName>
    <definedName name="Page120" localSheetId="2">#REF!</definedName>
    <definedName name="Page120" localSheetId="4">#REF!</definedName>
    <definedName name="Page120">#REF!</definedName>
    <definedName name="Page2" localSheetId="2">#REF!</definedName>
    <definedName name="Page2" localSheetId="4">#REF!</definedName>
    <definedName name="Page2">#REF!</definedName>
    <definedName name="PAGE3" localSheetId="2">#REF!</definedName>
    <definedName name="PAGE3" localSheetId="4">#REF!</definedName>
    <definedName name="PAGE3">#REF!</definedName>
    <definedName name="Page4" localSheetId="2">#REF!</definedName>
    <definedName name="Page4" localSheetId="4">#REF!</definedName>
    <definedName name="Page4">#REF!</definedName>
    <definedName name="Page5" localSheetId="2">#REF!</definedName>
    <definedName name="Page5" localSheetId="4">#REF!</definedName>
    <definedName name="Page5">#REF!</definedName>
    <definedName name="Page6" localSheetId="2">#REF!</definedName>
    <definedName name="Page6" localSheetId="4">#REF!</definedName>
    <definedName name="Page6">#REF!</definedName>
    <definedName name="Page62" localSheetId="2">[25]TransInvest!#REF!</definedName>
    <definedName name="Page62" localSheetId="4">[25]TransInvest!#REF!</definedName>
    <definedName name="Page62">[25]TransInvest!#REF!</definedName>
    <definedName name="page65" localSheetId="2">#REF!</definedName>
    <definedName name="page65" localSheetId="4">#REF!</definedName>
    <definedName name="page65">#REF!</definedName>
    <definedName name="page66" localSheetId="2">#REF!</definedName>
    <definedName name="page66" localSheetId="4">#REF!</definedName>
    <definedName name="page66">#REF!</definedName>
    <definedName name="page67" localSheetId="2">#REF!</definedName>
    <definedName name="page67" localSheetId="4">#REF!</definedName>
    <definedName name="page67">#REF!</definedName>
    <definedName name="page68" localSheetId="2">#REF!</definedName>
    <definedName name="page68" localSheetId="4">#REF!</definedName>
    <definedName name="page68">#REF!</definedName>
    <definedName name="page69" localSheetId="2">#REF!</definedName>
    <definedName name="page69" localSheetId="4">#REF!</definedName>
    <definedName name="page69">#REF!</definedName>
    <definedName name="Page7" localSheetId="2">#REF!</definedName>
    <definedName name="Page7" localSheetId="4">#REF!</definedName>
    <definedName name="Page7">#REF!</definedName>
    <definedName name="page8" localSheetId="2">#REF!</definedName>
    <definedName name="page8" localSheetId="4">#REF!</definedName>
    <definedName name="page8">#REF!</definedName>
    <definedName name="PALL" localSheetId="2">#REF!</definedName>
    <definedName name="PALL" localSheetId="4">#REF!</definedName>
    <definedName name="PALL">#REF!</definedName>
    <definedName name="PBLOCK" localSheetId="2">#REF!</definedName>
    <definedName name="PBLOCK" localSheetId="4">#REF!</definedName>
    <definedName name="PBLOCK">#REF!</definedName>
    <definedName name="PBLOCKWZ" localSheetId="2">#REF!</definedName>
    <definedName name="PBLOCKWZ" localSheetId="4">#REF!</definedName>
    <definedName name="PBLOCKWZ">#REF!</definedName>
    <definedName name="PCOMP" localSheetId="2">#REF!</definedName>
    <definedName name="PCOMP" localSheetId="4">#REF!</definedName>
    <definedName name="PCOMP">#REF!</definedName>
    <definedName name="PCOMPOSITES" localSheetId="2">#REF!</definedName>
    <definedName name="PCOMPOSITES" localSheetId="4">#REF!</definedName>
    <definedName name="PCOMPOSITES">#REF!</definedName>
    <definedName name="PCOMPWZ" localSheetId="2">#REF!</definedName>
    <definedName name="PCOMPWZ" localSheetId="4">#REF!</definedName>
    <definedName name="PCOMPWZ">#REF!</definedName>
    <definedName name="PeakMethod">[9]Inputs!$T$5</definedName>
    <definedName name="PMAC" localSheetId="2">[15]Backup!#REF!</definedName>
    <definedName name="PMAC" localSheetId="4">[15]Backup!#REF!</definedName>
    <definedName name="PMAC">[15]Backup!#REF!</definedName>
    <definedName name="PRESENT" localSheetId="2">#REF!</definedName>
    <definedName name="PRESENT" localSheetId="4">#REF!</definedName>
    <definedName name="PRESENT">#REF!</definedName>
    <definedName name="PRICCHNG" localSheetId="2">#REF!</definedName>
    <definedName name="PRICCHNG" localSheetId="4">#REF!</definedName>
    <definedName name="PRICCHNG">#REF!</definedName>
    <definedName name="_xlnm.Print_Area" localSheetId="0">'Exhibit No._(JRS-10)'!$A$1:$AF$49</definedName>
    <definedName name="_xlnm.Print_Area" localSheetId="2">'Exhibit No._(JRS-11) p10'!$A$1:$J$48</definedName>
    <definedName name="_xlnm.Print_Area" localSheetId="3">'Exhibit No._(JRS-11) p11'!$A$1:$F$11</definedName>
    <definedName name="_xlnm.Print_Area" localSheetId="1">'Exhibit No._(JRS-11) p1-9'!$A$1:$L$1247</definedName>
    <definedName name="_xlnm.Print_Area" localSheetId="4">'Exhibit No._(JRS-12) p1'!$B$3:$P$40</definedName>
    <definedName name="_xlnm.Print_Area" localSheetId="5">'Exhibit No._(JRS-12) p2'!$B$3:$U$35</definedName>
    <definedName name="_xlnm.Print_Area" localSheetId="6">'Exhibit No._(JRS-12) p3'!$B$3:$K$44</definedName>
    <definedName name="_xlnm.Print_Area" localSheetId="7">'Exhibit No._(JRS-12) p4'!$B$2:$Q$39</definedName>
    <definedName name="_xlnm.Print_Area" localSheetId="8">'Exhibit No._(JRS-12) p5'!$B$2:$K$34</definedName>
    <definedName name="_xlnm.Print_Area" localSheetId="9">'Exhibit No._(JRS-12) p6'!$B$2:$K$34</definedName>
    <definedName name="_xlnm.Print_Area" localSheetId="10">'Exhibit No._(JRS-12) p7'!$B$2:$K$34</definedName>
    <definedName name="_xlnm.Print_Titles" localSheetId="1">'Exhibit No._(JRS-11) p1-9'!$1:$11</definedName>
    <definedName name="PTABLES" localSheetId="2">#REF!</definedName>
    <definedName name="PTABLES" localSheetId="4">#REF!</definedName>
    <definedName name="PTABLES">#REF!</definedName>
    <definedName name="PTDMOD" localSheetId="2">#REF!</definedName>
    <definedName name="PTDMOD" localSheetId="4">#REF!</definedName>
    <definedName name="PTDMOD">#REF!</definedName>
    <definedName name="PTDROLL" localSheetId="2">#REF!</definedName>
    <definedName name="PTDROLL" localSheetId="4">#REF!</definedName>
    <definedName name="PTDROLL">#REF!</definedName>
    <definedName name="PTMOD" localSheetId="2">#REF!</definedName>
    <definedName name="PTMOD" localSheetId="4">#REF!</definedName>
    <definedName name="PTMOD">#REF!</definedName>
    <definedName name="PTROLL" localSheetId="2">#REF!</definedName>
    <definedName name="PTROLL" localSheetId="4">#REF!</definedName>
    <definedName name="PTROLL">#REF!</definedName>
    <definedName name="PWORKBACK" localSheetId="2">#REF!</definedName>
    <definedName name="PWORKBACK" localSheetId="4">#REF!</definedName>
    <definedName name="PWORKBACK">#REF!</definedName>
    <definedName name="Query1" localSheetId="2">#REF!</definedName>
    <definedName name="Query1" localSheetId="4">#REF!</definedName>
    <definedName name="Query1">#REF!</definedName>
    <definedName name="RC_ADJ" localSheetId="2">#REF!</definedName>
    <definedName name="RC_ADJ" localSheetId="4">#REF!</definedName>
    <definedName name="RC_ADJ">#REF!</definedName>
    <definedName name="RESADJ" localSheetId="2">#REF!</definedName>
    <definedName name="RESADJ" localSheetId="4">#REF!</definedName>
    <definedName name="RESADJ">#REF!</definedName>
    <definedName name="ResourceSupplier">[14]Variables!$D$28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1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1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2">#REF!</definedName>
    <definedName name="REV_SCHD" localSheetId="4">#REF!</definedName>
    <definedName name="REV_SCHD">#REF!</definedName>
    <definedName name="Revenue_by_month_take_2" localSheetId="2">#REF!</definedName>
    <definedName name="Revenue_by_month_take_2" localSheetId="4">#REF!</definedName>
    <definedName name="Revenue_by_month_take_2">#REF!</definedName>
    <definedName name="RevenueCheck" localSheetId="2">#REF!</definedName>
    <definedName name="RevenueCheck" localSheetId="4">#REF!</definedName>
    <definedName name="RevenueCheck">#REF!</definedName>
    <definedName name="RevReqSettle" localSheetId="2">#REF!</definedName>
    <definedName name="RevReqSettle" localSheetId="4">#REF!</definedName>
    <definedName name="RevReqSettle">#REF!</definedName>
    <definedName name="REVVSTRS" localSheetId="2">#REF!</definedName>
    <definedName name="REVVSTRS" localSheetId="4">#REF!</definedName>
    <definedName name="REVVSTRS">#REF!</definedName>
    <definedName name="RISFORM" localSheetId="2">#REF!</definedName>
    <definedName name="RISFORM" localSheetId="4">#REF!</definedName>
    <definedName name="RISFORM">#REF!</definedName>
    <definedName name="SCH33CUSTS" localSheetId="2">#REF!</definedName>
    <definedName name="SCH33CUSTS" localSheetId="4">#REF!</definedName>
    <definedName name="SCH33CUSTS">#REF!</definedName>
    <definedName name="SCH48ADJ" localSheetId="2">#REF!</definedName>
    <definedName name="SCH48ADJ" localSheetId="4">#REF!</definedName>
    <definedName name="SCH48ADJ">#REF!</definedName>
    <definedName name="SCH98NOR" localSheetId="2">#REF!</definedName>
    <definedName name="SCH98NOR" localSheetId="4">#REF!</definedName>
    <definedName name="SCH98NOR">#REF!</definedName>
    <definedName name="SCHED47" localSheetId="2">#REF!</definedName>
    <definedName name="SCHED47" localSheetId="4">#REF!</definedName>
    <definedName name="SCHED47">#REF!</definedName>
    <definedName name="Schedule" localSheetId="2">[12]Inputs!$N$14</definedName>
    <definedName name="Schedule">[12]Inputs!$N$14</definedName>
    <definedName name="se" localSheetId="2">#REF!</definedName>
    <definedName name="se" localSheetId="4">#REF!</definedName>
    <definedName name="se">#REF!</definedName>
    <definedName name="SECOND" localSheetId="2">[1]Jan!#REF!</definedName>
    <definedName name="SECOND" localSheetId="4">[1]Jan!#REF!</definedName>
    <definedName name="SECOND">[1]Jan!#REF!</definedName>
    <definedName name="SEP" localSheetId="2">[15]Backup!#REF!</definedName>
    <definedName name="SEP" localSheetId="1">#REF!</definedName>
    <definedName name="SEP" localSheetId="4">[15]Backup!#REF!</definedName>
    <definedName name="SEP">[15]Backup!#REF!</definedName>
    <definedName name="SEPT" localSheetId="2">#REF!</definedName>
    <definedName name="SEPT" localSheetId="4">#REF!</definedName>
    <definedName name="SEPT">#REF!</definedName>
    <definedName name="SERVICES_3" localSheetId="2">#REF!</definedName>
    <definedName name="SERVICES_3" localSheetId="4">#REF!</definedName>
    <definedName name="SERVICES_3">#REF!</definedName>
    <definedName name="sg" localSheetId="2">#REF!</definedName>
    <definedName name="sg" localSheetId="4">#REF!</definedName>
    <definedName name="sg">#REF!</definedName>
    <definedName name="START" localSheetId="2">[1]Jan!#REF!</definedName>
    <definedName name="START" localSheetId="4">[1]Jan!#REF!</definedName>
    <definedName name="START">[1]Jan!#REF!</definedName>
    <definedName name="SUM_TAB1" localSheetId="2">#REF!</definedName>
    <definedName name="SUM_TAB1" localSheetId="4">#REF!</definedName>
    <definedName name="SUM_TAB1">#REF!</definedName>
    <definedName name="SUM_TAB2" localSheetId="2">#REF!</definedName>
    <definedName name="SUM_TAB2" localSheetId="4">#REF!</definedName>
    <definedName name="SUM_TAB2">#REF!</definedName>
    <definedName name="SUM_TAB3" localSheetId="2">#REF!</definedName>
    <definedName name="SUM_TAB3" localSheetId="4">#REF!</definedName>
    <definedName name="SUM_TAB3">#REF!</definedName>
    <definedName name="TABLE_1" localSheetId="2">#REF!</definedName>
    <definedName name="TABLE_1" localSheetId="1">#REF!</definedName>
    <definedName name="TABLE_1" localSheetId="4">#REF!</definedName>
    <definedName name="TABLE_1">#REF!</definedName>
    <definedName name="TABLE_2" localSheetId="2">#REF!</definedName>
    <definedName name="TABLE_2" localSheetId="1">#REF!</definedName>
    <definedName name="TABLE_2" localSheetId="4">#REF!</definedName>
    <definedName name="TABLE_2">#REF!</definedName>
    <definedName name="TABLE_3" localSheetId="2">#REF!</definedName>
    <definedName name="TABLE_3" localSheetId="4">#REF!</definedName>
    <definedName name="TABLE_3">#REF!</definedName>
    <definedName name="TABLE_4" localSheetId="2">#REF!</definedName>
    <definedName name="TABLE_4" localSheetId="1">#REF!</definedName>
    <definedName name="TABLE_4" localSheetId="4">#REF!</definedName>
    <definedName name="TABLE_4">#REF!</definedName>
    <definedName name="TABLE_4_A" localSheetId="2">#REF!</definedName>
    <definedName name="TABLE_4_A" localSheetId="4">#REF!</definedName>
    <definedName name="TABLE_4_A">#REF!</definedName>
    <definedName name="TABLE_5" localSheetId="2">#REF!</definedName>
    <definedName name="TABLE_5" localSheetId="4">#REF!</definedName>
    <definedName name="TABLE_5">#REF!</definedName>
    <definedName name="TABLE_6" localSheetId="2">#REF!</definedName>
    <definedName name="TABLE_6" localSheetId="4">#REF!</definedName>
    <definedName name="TABLE_6">#REF!</definedName>
    <definedName name="TABLE_7" localSheetId="2">#REF!</definedName>
    <definedName name="TABLE_7" localSheetId="4">#REF!</definedName>
    <definedName name="TABLE_7">#REF!</definedName>
    <definedName name="TABLE1" localSheetId="2">#REF!</definedName>
    <definedName name="TABLE1" localSheetId="4">#REF!</definedName>
    <definedName name="TABLE1">#REF!</definedName>
    <definedName name="TABLE2" localSheetId="2">#REF!</definedName>
    <definedName name="TABLE2" localSheetId="4">#REF!</definedName>
    <definedName name="TABLE2">#REF!</definedName>
    <definedName name="TABLEA" localSheetId="0">'Exhibit No._(JRS-10)'!$B$3:$AM$46</definedName>
    <definedName name="TABLEA" localSheetId="2">#REF!</definedName>
    <definedName name="TABLEA" localSheetId="4">#REF!</definedName>
    <definedName name="TABLEA">#REF!</definedName>
    <definedName name="TABLEONE" localSheetId="2">#REF!</definedName>
    <definedName name="TABLEONE" localSheetId="4">#REF!</definedName>
    <definedName name="TABLEONE">#REF!</definedName>
    <definedName name="TargetROR">[9]Inputs!$G$29</definedName>
    <definedName name="TDMOD" localSheetId="2">#REF!</definedName>
    <definedName name="TDMOD" localSheetId="4">#REF!</definedName>
    <definedName name="TDMOD">#REF!</definedName>
    <definedName name="TDROLL" localSheetId="2">#REF!</definedName>
    <definedName name="TDROLL" localSheetId="4">#REF!</definedName>
    <definedName name="TDROLL">#REF!</definedName>
    <definedName name="TEMPADJ" localSheetId="2">#REF!</definedName>
    <definedName name="TEMPADJ" localSheetId="4">#REF!</definedName>
    <definedName name="TEMPADJ">#REF!</definedName>
    <definedName name="Test" localSheetId="2">#REF!</definedName>
    <definedName name="Test" localSheetId="4">#REF!</definedName>
    <definedName name="Test">#REF!</definedName>
    <definedName name="Test1" localSheetId="2">#REF!</definedName>
    <definedName name="Test1" localSheetId="4">#REF!</definedName>
    <definedName name="Test1">#REF!</definedName>
    <definedName name="Test2" localSheetId="2">#REF!</definedName>
    <definedName name="Test2" localSheetId="4">#REF!</definedName>
    <definedName name="Test2">#REF!</definedName>
    <definedName name="Test3" localSheetId="2">#REF!</definedName>
    <definedName name="Test3" localSheetId="4">#REF!</definedName>
    <definedName name="Test3">#REF!</definedName>
    <definedName name="Test4" localSheetId="2">#REF!</definedName>
    <definedName name="Test4" localSheetId="4">#REF!</definedName>
    <definedName name="Test4">#REF!</definedName>
    <definedName name="Test5" localSheetId="2">#REF!</definedName>
    <definedName name="Test5" localSheetId="4">#REF!</definedName>
    <definedName name="Test5">#REF!</definedName>
    <definedName name="TestPeriod">[10]Inputs!$C$5</definedName>
    <definedName name="TotalRateBase">'[10]G+T+D+R+M'!$H$58</definedName>
    <definedName name="TRANSM_2">[26]Transm2!$A$1:$M$461:'[26]10 Yr FC'!$M$47</definedName>
    <definedName name="UAACT115S" localSheetId="2">'[12]Functional Study'!#REF!</definedName>
    <definedName name="UAACT115S" localSheetId="4">'[12]Functional Study'!#REF!</definedName>
    <definedName name="UAACT115S">'[12]Functional Study'!#REF!</definedName>
    <definedName name="UAcct103">'[10]Func Study'!$AB$1613</definedName>
    <definedName name="UAcct105Dnpg">'[10]Func Study'!$AB$2010</definedName>
    <definedName name="UAcct105S">'[10]Func Study'!$AB$2005</definedName>
    <definedName name="UAcct105Seu">'[10]Func Study'!$AB$2009</definedName>
    <definedName name="UAcct105Snppo">'[10]Func Study'!$AB$2008</definedName>
    <definedName name="UAcct105Snpps">'[10]Func Study'!$AB$2006</definedName>
    <definedName name="UAcct105Snpt">'[10]Func Study'!$AB$2007</definedName>
    <definedName name="UAcct1081390">'[10]Func Study'!$AB$2451</definedName>
    <definedName name="UAcct1081390Rcl">'[10]Func Study'!$AB$2450</definedName>
    <definedName name="UAcct1081399">'[10]Func Study'!$AB$2459</definedName>
    <definedName name="UAcct1081399Rcl">'[10]Func Study'!$AB$2458</definedName>
    <definedName name="UAcct108360">'[10]Func Study'!$AB$2355</definedName>
    <definedName name="UAcct108361">'[10]Func Study'!$AB$2359</definedName>
    <definedName name="UAcct108362">'[10]Func Study'!$AB$2363</definedName>
    <definedName name="UAcct108364">'[10]Func Study'!$AB$2367</definedName>
    <definedName name="UAcct108365">'[10]Func Study'!$AB$2371</definedName>
    <definedName name="UAcct108366">'[10]Func Study'!$AB$2375</definedName>
    <definedName name="UAcct108367">'[10]Func Study'!$AB$2379</definedName>
    <definedName name="UAcct108368">'[10]Func Study'!$AB$2383</definedName>
    <definedName name="UAcct108369">'[10]Func Study'!$AB$2387</definedName>
    <definedName name="UAcct108370">'[10]Func Study'!$AB$2391</definedName>
    <definedName name="UAcct108371">'[10]Func Study'!$AB$2395</definedName>
    <definedName name="UAcct108372">'[10]Func Study'!$AB$2399</definedName>
    <definedName name="UAcct108373">'[10]Func Study'!$AB$2403</definedName>
    <definedName name="UAcct108D">'[10]Func Study'!$AB$2415</definedName>
    <definedName name="UAcct108D00">'[10]Func Study'!$AB$2407</definedName>
    <definedName name="UAcct108Ds">'[10]Func Study'!$AB$2411</definedName>
    <definedName name="UAcct108Ep">'[10]Func Study'!$AB$2327</definedName>
    <definedName name="UAcct108Gpcn">'[10]Func Study'!$AB$2429</definedName>
    <definedName name="UAcct108Gps">'[10]Func Study'!$AB$2425</definedName>
    <definedName name="UAcct108Gpse">'[10]Func Study'!$AB$2431</definedName>
    <definedName name="UAcct108Gpsg">'[10]Func Study'!$AB$2428</definedName>
    <definedName name="UAcct108Gpsgp">'[10]Func Study'!$AB$2426</definedName>
    <definedName name="UAcct108Gpsgu">'[10]Func Study'!$AB$2427</definedName>
    <definedName name="UAcct108Gpso">'[10]Func Study'!$AB$2430</definedName>
    <definedName name="UACCT108GPSSGCH">'[10]Func Study'!$AB$2434</definedName>
    <definedName name="UACCT108GPSSGCT">'[10]Func Study'!$AB$2433</definedName>
    <definedName name="UAcct108Hp">'[10]Func Study'!$AB$2313</definedName>
    <definedName name="UAcct108Mp">'[10]Func Study'!$AB$2444</definedName>
    <definedName name="UAcct108Np">'[10]Func Study'!$AB$2305</definedName>
    <definedName name="UAcct108Op">'[10]Func Study'!$AB$2322</definedName>
    <definedName name="UACCT108OPSSCCT">'[10]Func Study'!$AB$2321</definedName>
    <definedName name="UAcct108Sp">'[10]Func Study'!$AB$2299</definedName>
    <definedName name="UACCT108SPSSGCH">'[10]Func Study'!$AB$2298</definedName>
    <definedName name="UAcct108Tp">'[10]Func Study'!$AB$2346</definedName>
    <definedName name="UAcct111Clg">'[10]Func Study'!$AB$2487</definedName>
    <definedName name="UAcct111Clgsou">'[10]Func Study'!$AB$2485</definedName>
    <definedName name="UAcct111Clh">'[10]Func Study'!$AB$2493</definedName>
    <definedName name="UAcct111Cls">'[10]Func Study'!$AB$2478</definedName>
    <definedName name="UAcct111Ipcn">'[10]Func Study'!$AB$2502</definedName>
    <definedName name="UAcct111Ips">'[10]Func Study'!$AB$2497</definedName>
    <definedName name="UAcct111Ipse">'[10]Func Study'!$AB$2500</definedName>
    <definedName name="UAcct111Ipsg">'[10]Func Study'!$AB$2501</definedName>
    <definedName name="UAcct111Ipsgp">'[10]Func Study'!$AB$2498</definedName>
    <definedName name="UAcct111Ipsgu">'[10]Func Study'!$AB$2499</definedName>
    <definedName name="UAcct111Ipso">'[10]Func Study'!$AB$2506</definedName>
    <definedName name="UACCT111IPSSGCH">'[10]Func Study'!$AB$2505</definedName>
    <definedName name="UACCT111IPSSGCT">'[10]Func Study'!$AB$2504</definedName>
    <definedName name="UAcct114">'[10]Func Study'!$AB$2017</definedName>
    <definedName name="UACCT115" localSheetId="2">'[12]Functional Study'!#REF!</definedName>
    <definedName name="UACCT115" localSheetId="4">'[12]Functional Study'!#REF!</definedName>
    <definedName name="UACCT115">'[12]Functional Study'!#REF!</definedName>
    <definedName name="UACCT115DGP" localSheetId="2">'[12]Functional Study'!#REF!</definedName>
    <definedName name="UACCT115DGP" localSheetId="4">'[12]Functional Study'!#REF!</definedName>
    <definedName name="UACCT115DGP">'[12]Functional Study'!#REF!</definedName>
    <definedName name="UACCT115SG" localSheetId="2">'[12]Functional Study'!#REF!</definedName>
    <definedName name="UACCT115SG" localSheetId="4">'[12]Functional Study'!#REF!</definedName>
    <definedName name="UACCT115SG">'[12]Functional Study'!#REF!</definedName>
    <definedName name="UAcct120">'[10]Func Study'!$AB$2021</definedName>
    <definedName name="UAcct124">'[10]Func Study'!$AB$2026</definedName>
    <definedName name="UAcct141">'[10]Func Study'!$AB$2173</definedName>
    <definedName name="UAcct151">'[10]Func Study'!$AB$2049</definedName>
    <definedName name="Uacct151SSECT">'[10]Func Study'!$AB$2047</definedName>
    <definedName name="UAcct154">'[10]Func Study'!$AB$2083</definedName>
    <definedName name="Uacct154SSGCT">'[10]Func Study'!$AB$2080</definedName>
    <definedName name="UAcct163">'[10]Func Study'!$AB$2093</definedName>
    <definedName name="UAcct165">'[10]Func Study'!$AB$2108</definedName>
    <definedName name="UAcct165Gps">'[10]Func Study'!$AB$2104</definedName>
    <definedName name="UAcct182">'[10]Func Study'!$AB$2033</definedName>
    <definedName name="UAcct18222">'[10]Func Study'!$AB$2163</definedName>
    <definedName name="UAcct182M">'[10]Func Study'!$AB$2118</definedName>
    <definedName name="UAcct182MSSGCH">'[10]Func Study'!$AB$2113</definedName>
    <definedName name="UAcct186">'[10]Func Study'!$AB$2041</definedName>
    <definedName name="UAcct1869">'[10]Func Study'!$AB$2168</definedName>
    <definedName name="UAcct186M">'[10]Func Study'!$AB$2129</definedName>
    <definedName name="UAcct190">'[10]Func Study'!$AB$2243</definedName>
    <definedName name="UAcct190Baddebt">'[10]Func Study'!$AB$2237</definedName>
    <definedName name="UAcct190Dop">'[10]Func Study'!$AB$2235</definedName>
    <definedName name="UAcct2281">'[10]Func Study'!$AB$2191</definedName>
    <definedName name="UAcct2282">'[10]Func Study'!$AB$2195</definedName>
    <definedName name="UAcct2283">'[10]Func Study'!$AB$2200</definedName>
    <definedName name="UACCT22841SG">'[10]Func Study'!$AB$2205</definedName>
    <definedName name="UAcct22842">'[10]Func Study'!$AB$2211</definedName>
    <definedName name="UAcct22842Trojd" localSheetId="2">'[9]Func Study'!#REF!</definedName>
    <definedName name="UAcct22842Trojd" localSheetId="4">'[9]Func Study'!#REF!</definedName>
    <definedName name="UAcct22842Trojd">'[9]Func Study'!#REF!</definedName>
    <definedName name="UAcct235">'[10]Func Study'!$AB$2187</definedName>
    <definedName name="UACCT235CN">'[10]Func Study'!$AB$2186</definedName>
    <definedName name="UAcct252">'[10]Func Study'!$AB$2219</definedName>
    <definedName name="UAcct25316">'[10]Func Study'!$AB$2057</definedName>
    <definedName name="UAcct25317">'[10]Func Study'!$AB$2061</definedName>
    <definedName name="UAcct25318">'[10]Func Study'!$AB$2098</definedName>
    <definedName name="UAcct25319">'[10]Func Study'!$AB$2065</definedName>
    <definedName name="uacct25398">'[10]Func Study'!$AB$2222</definedName>
    <definedName name="UAcct25399">'[10]Func Study'!$AB$2230</definedName>
    <definedName name="UACCT254SO">'[10]Func Study'!$AB$2202</definedName>
    <definedName name="UAcct255">'[10]Func Study'!$AB$2284</definedName>
    <definedName name="UAcct281">'[10]Func Study'!$AB$2249</definedName>
    <definedName name="UAcct282">'[10]Func Study'!$AB$2259</definedName>
    <definedName name="UAcct282Cn">'[10]Func Study'!$AB$2256</definedName>
    <definedName name="UAcct282So">'[10]Func Study'!$AB$2255</definedName>
    <definedName name="UAcct283">'[10]Func Study'!$AB$2271</definedName>
    <definedName name="UAcct283So">'[10]Func Study'!$AB$2265</definedName>
    <definedName name="UAcct301S">'[10]Func Study'!$AB$1964</definedName>
    <definedName name="UAcct301Sg">'[10]Func Study'!$AB$1966</definedName>
    <definedName name="UAcct301So">'[10]Func Study'!$AB$1965</definedName>
    <definedName name="UAcct302S">'[10]Func Study'!$AB$1969</definedName>
    <definedName name="UAcct302Sg">'[10]Func Study'!$AB$1970</definedName>
    <definedName name="UAcct302Sgp">'[10]Func Study'!$AB$1971</definedName>
    <definedName name="UAcct302Sgu">'[10]Func Study'!$AB$1972</definedName>
    <definedName name="UAcct303Cn">'[10]Func Study'!$AB$1980</definedName>
    <definedName name="UAcct303S">'[10]Func Study'!$AB$1976</definedName>
    <definedName name="UAcct303Se">'[10]Func Study'!$AB$1979</definedName>
    <definedName name="UAcct303Sg">'[10]Func Study'!$AB$1977</definedName>
    <definedName name="UAcct303Sgu">'[10]Func Study'!$AB$1981</definedName>
    <definedName name="UAcct303So">'[10]Func Study'!$AB$1978</definedName>
    <definedName name="UACCT303SSGCH">'[10]Func Study'!$AB$1983</definedName>
    <definedName name="UAcct310">'[10]Func Study'!$AB$1414</definedName>
    <definedName name="UAcct310JBG">'[10]Func Study'!$AB$1413</definedName>
    <definedName name="UAcct311">'[10]Func Study'!$AB$1421</definedName>
    <definedName name="UAcct311JBG">'[10]Func Study'!$AB$1420</definedName>
    <definedName name="UAcct312">'[10]Func Study'!$AB$1428</definedName>
    <definedName name="UAcct312JBG">'[10]Func Study'!$AB$1427</definedName>
    <definedName name="UAcct314">'[10]Func Study'!$AB$1435</definedName>
    <definedName name="UAcct314JBG">'[10]Func Study'!$AB$1434</definedName>
    <definedName name="UAcct315">'[10]Func Study'!$AB$1442</definedName>
    <definedName name="UAcct315JBG">'[10]Func Study'!$AB$1441</definedName>
    <definedName name="UAcct316">'[10]Func Study'!$AB$1450</definedName>
    <definedName name="UAcct316JBG">'[10]Func Study'!$AB$1449</definedName>
    <definedName name="UAcct320">'[10]Func Study'!$AB$1466</definedName>
    <definedName name="UAcct321">'[10]Func Study'!$AB$1471</definedName>
    <definedName name="UAcct322">'[10]Func Study'!$AB$1476</definedName>
    <definedName name="UAcct323">'[10]Func Study'!$AB$1481</definedName>
    <definedName name="UAcct324">'[10]Func Study'!$AB$1486</definedName>
    <definedName name="UAcct325">'[10]Func Study'!$AB$1491</definedName>
    <definedName name="UAcct33">'[10]Func Study'!$AB$295</definedName>
    <definedName name="UAcct330">'[10]Func Study'!$AB$1508</definedName>
    <definedName name="UAcct331">'[10]Func Study'!$AB$1513</definedName>
    <definedName name="UAcct332">'[10]Func Study'!$AB$1518</definedName>
    <definedName name="UAcct333">'[10]Func Study'!$AB$1523</definedName>
    <definedName name="UAcct334">'[10]Func Study'!$AB$1528</definedName>
    <definedName name="UAcct335">'[10]Func Study'!$AB$1533</definedName>
    <definedName name="UAcct336">'[10]Func Study'!$AB$1539</definedName>
    <definedName name="UAcct340Dgu">'[10]Func Study'!$AB$1564</definedName>
    <definedName name="UAcct340Sgu">'[10]Func Study'!$AB$1565</definedName>
    <definedName name="UAcct341Dgu">'[10]Func Study'!$AB$1569</definedName>
    <definedName name="UAcct341Sgu">'[10]Func Study'!$AB$1570</definedName>
    <definedName name="UAcct342Dgu">'[10]Func Study'!$AB$1574</definedName>
    <definedName name="UAcct342Sgu">'[10]Func Study'!$AB$1575</definedName>
    <definedName name="UAcct343">'[10]Func Study'!$AB$1584</definedName>
    <definedName name="UAcct344S">'[10]Func Study'!$AB$1587</definedName>
    <definedName name="UAcct344Sgp">'[10]Func Study'!$AB$1588</definedName>
    <definedName name="UAcct345Dgu">'[10]Func Study'!$AB$1594</definedName>
    <definedName name="UAcct345Sgu">'[10]Func Study'!$AB$1595</definedName>
    <definedName name="UAcct346">'[10]Func Study'!$AB$1601</definedName>
    <definedName name="UAcct350">'[10]Func Study'!$AB$1628</definedName>
    <definedName name="UAcct352">'[10]Func Study'!$AB$1635</definedName>
    <definedName name="UAcct353">'[10]Func Study'!$AB$1641</definedName>
    <definedName name="UAcct354">'[10]Func Study'!$AB$1647</definedName>
    <definedName name="UAcct355">'[10]Func Study'!$AB$1654</definedName>
    <definedName name="UAcct356">'[10]Func Study'!$AB$1660</definedName>
    <definedName name="UAcct357">'[10]Func Study'!$AB$1666</definedName>
    <definedName name="UAcct358">'[10]Func Study'!$AB$1672</definedName>
    <definedName name="UAcct359">'[10]Func Study'!$AB$1678</definedName>
    <definedName name="UAcct360">'[10]Func Study'!$AB$1698</definedName>
    <definedName name="UAcct361">'[10]Func Study'!$AB$1704</definedName>
    <definedName name="UAcct362">'[10]Func Study'!$AB$1710</definedName>
    <definedName name="UAcct368">'[10]Func Study'!$AB$1744</definedName>
    <definedName name="UAcct369">'[10]Func Study'!$AB$1751</definedName>
    <definedName name="UAcct370">'[10]Func Study'!$AB$1762</definedName>
    <definedName name="UAcct372A">'[10]Func Study'!$AB$1775</definedName>
    <definedName name="UAcct372Dp">'[10]Func Study'!$AB$1773</definedName>
    <definedName name="UAcct372Ds">'[10]Func Study'!$AB$1774</definedName>
    <definedName name="UAcct373">'[10]Func Study'!$AB$1782</definedName>
    <definedName name="UAcct389Cn">'[10]Func Study'!$AB$1800</definedName>
    <definedName name="UAcct389S">'[10]Func Study'!$AB$1799</definedName>
    <definedName name="UAcct389Sg">'[10]Func Study'!$AB$1802</definedName>
    <definedName name="UAcct389Sgu">'[10]Func Study'!$AB$1801</definedName>
    <definedName name="UAcct389So">'[10]Func Study'!$AB$1803</definedName>
    <definedName name="UAcct390Cn">'[10]Func Study'!$AB$1810</definedName>
    <definedName name="UAcct390JBG">'[10]Func Study'!$AB$1812</definedName>
    <definedName name="UAcct390L">'[10]Func Study'!$AB$1927</definedName>
    <definedName name="UACCT390LRCL">'[10]Func Study'!$AB$1929</definedName>
    <definedName name="UAcct390S">'[10]Func Study'!$AB$1807</definedName>
    <definedName name="UAcct390Sgp">'[10]Func Study'!$AB$1808</definedName>
    <definedName name="UAcct390Sgu">'[10]Func Study'!$AB$1809</definedName>
    <definedName name="UAcct390Sop">'[10]Func Study'!$AB$1811</definedName>
    <definedName name="UAcct390Sou">'[10]Func Study'!$AB$1813</definedName>
    <definedName name="UAcct391Cn">'[10]Func Study'!$AB$1820</definedName>
    <definedName name="UACCT391JBE">'[10]Func Study'!$AB$1825</definedName>
    <definedName name="UAcct391S">'[10]Func Study'!$AB$1817</definedName>
    <definedName name="UAcct391Sg">'[10]Func Study'!$AB$1821</definedName>
    <definedName name="UAcct391Sgp">'[10]Func Study'!$AB$1818</definedName>
    <definedName name="UAcct391Sgu">'[10]Func Study'!$AB$1819</definedName>
    <definedName name="UAcct391So">'[10]Func Study'!$AB$1823</definedName>
    <definedName name="UACCT391SSGCH">'[10]Func Study'!$AB$1824</definedName>
    <definedName name="UAcct392Cn">'[10]Func Study'!$AB$1832</definedName>
    <definedName name="UAcct392L">'[10]Func Study'!$AB$1935</definedName>
    <definedName name="UAcct392Lrcl">'[10]Func Study'!$AB$1937</definedName>
    <definedName name="UAcct392S">'[10]Func Study'!$AB$1829</definedName>
    <definedName name="UAcct392Se">'[10]Func Study'!$AB$1834</definedName>
    <definedName name="UAcct392Sg">'[10]Func Study'!$AB$1831</definedName>
    <definedName name="UAcct392Sgp">'[10]Func Study'!$AB$1835</definedName>
    <definedName name="UAcct392Sgu">'[10]Func Study'!$AB$1833</definedName>
    <definedName name="UAcct392So">'[10]Func Study'!$AB$1830</definedName>
    <definedName name="UACCT392SSGCH">'[10]Func Study'!$AB$1836</definedName>
    <definedName name="UAcct393S">'[10]Func Study'!$AB$1841</definedName>
    <definedName name="UAcct393Sg">'[10]Func Study'!$AB$1845</definedName>
    <definedName name="UAcct393Sgp">'[10]Func Study'!$AB$1842</definedName>
    <definedName name="UAcct393Sgu">'[10]Func Study'!$AB$1843</definedName>
    <definedName name="UAcct393So">'[10]Func Study'!$AB$1844</definedName>
    <definedName name="UACCT393SSGCT">'[10]Func Study'!$AB$1846</definedName>
    <definedName name="UAcct394S">'[10]Func Study'!$AB$1850</definedName>
    <definedName name="UAcct394Se">'[10]Func Study'!$AB$1854</definedName>
    <definedName name="UAcct394Sg">'[10]Func Study'!$AB$1855</definedName>
    <definedName name="UAcct394Sgp">'[10]Func Study'!$AB$1851</definedName>
    <definedName name="UAcct394Sgu">'[10]Func Study'!$AB$1852</definedName>
    <definedName name="UAcct394So">'[10]Func Study'!$AB$1853</definedName>
    <definedName name="UACCT394SSGCH">'[10]Func Study'!$AB$1856</definedName>
    <definedName name="UAcct395S">'[10]Func Study'!$AB$1861</definedName>
    <definedName name="UAcct395Se">'[10]Func Study'!$AB$1865</definedName>
    <definedName name="UAcct395Sg">'[10]Func Study'!$AB$1866</definedName>
    <definedName name="UAcct395Sgp">'[10]Func Study'!$AB$1862</definedName>
    <definedName name="UAcct395Sgu">'[10]Func Study'!$AB$1863</definedName>
    <definedName name="UAcct395So">'[10]Func Study'!$AB$1864</definedName>
    <definedName name="UACCT395SSGCH">'[10]Func Study'!$AB$1867</definedName>
    <definedName name="UAcct396S">'[10]Func Study'!$AB$1872</definedName>
    <definedName name="UAcct396Se">'[10]Func Study'!$AB$1877</definedName>
    <definedName name="UAcct396Sg">'[10]Func Study'!$AB$1874</definedName>
    <definedName name="UAcct396Sgp">'[10]Func Study'!$AB$1873</definedName>
    <definedName name="UAcct396Sgu">'[10]Func Study'!$AB$1876</definedName>
    <definedName name="UAcct396So">'[10]Func Study'!$AB$1875</definedName>
    <definedName name="UACCT396SSGCH">'[10]Func Study'!$AB$1879</definedName>
    <definedName name="UACCT396SSGCT">'[10]Func Study'!$AB$1878</definedName>
    <definedName name="UAcct397Cn">'[10]Func Study'!$AB$1890</definedName>
    <definedName name="UAcct397JBG">'[10]Func Study'!$AB$1893</definedName>
    <definedName name="UAcct397S">'[10]Func Study'!$AB$1886</definedName>
    <definedName name="UAcct397Se">'[10]Func Study'!$AB$1892</definedName>
    <definedName name="UAcct397Sg">'[10]Func Study'!$AB$1891</definedName>
    <definedName name="UAcct397Sgp">'[10]Func Study'!$AB$1887</definedName>
    <definedName name="UAcct397Sgu">'[10]Func Study'!$AB$1888</definedName>
    <definedName name="UAcct397So">'[10]Func Study'!$AB$1889</definedName>
    <definedName name="UAcct398Cn">'[10]Func Study'!$AB$1902</definedName>
    <definedName name="UAcct398S">'[10]Func Study'!$AB$1899</definedName>
    <definedName name="UAcct398Se">'[10]Func Study'!$AB$1904</definedName>
    <definedName name="UAcct398Sg">'[10]Func Study'!$AB$1905</definedName>
    <definedName name="UAcct398Sgp">'[10]Func Study'!$AB$1900</definedName>
    <definedName name="UAcct398Sgu">'[10]Func Study'!$AB$1901</definedName>
    <definedName name="UAcct398So">'[10]Func Study'!$AB$1903</definedName>
    <definedName name="UACCT398SSGCT">'[10]Func Study'!$AB$1906</definedName>
    <definedName name="UAcct399">'[10]Func Study'!$AB$1913</definedName>
    <definedName name="UAcct399G">'[10]Func Study'!$AB$1955</definedName>
    <definedName name="UAcct399L">'[10]Func Study'!$AB$1917</definedName>
    <definedName name="UAcct399Lrcl">'[10]Func Study'!$AB$1919</definedName>
    <definedName name="UAcct403360">'[10]Func Study'!$AB$1090</definedName>
    <definedName name="UAcct403361">'[10]Func Study'!$AB$1091</definedName>
    <definedName name="UAcct403362">'[10]Func Study'!$AB$1092</definedName>
    <definedName name="UAcct403364">'[10]Func Study'!$AB$1094</definedName>
    <definedName name="UAcct403365">'[10]Func Study'!$AB$1095</definedName>
    <definedName name="UAcct403366">'[10]Func Study'!$AB$1096</definedName>
    <definedName name="UAcct403367">'[10]Func Study'!$AB$1097</definedName>
    <definedName name="UAcct403368">'[10]Func Study'!$AB$1098</definedName>
    <definedName name="UAcct403369">'[10]Func Study'!$AB$1099</definedName>
    <definedName name="UAcct403370">'[10]Func Study'!$AB$1100</definedName>
    <definedName name="UAcct403371">'[10]Func Study'!$AB$1101</definedName>
    <definedName name="UAcct403372">'[10]Func Study'!$AB$1102</definedName>
    <definedName name="UAcct403373">'[10]Func Study'!$AB$1103</definedName>
    <definedName name="UAcct403Ep">'[10]Func Study'!$AB$1130</definedName>
    <definedName name="UAcct403Gpcn">'[10]Func Study'!$AB$1111</definedName>
    <definedName name="UAcct403GPDGP">'[10]Func Study'!$AB$1108</definedName>
    <definedName name="UAcct403GPDGU">'[10]Func Study'!$AB$1109</definedName>
    <definedName name="UAcct403GPJBG">'[10]Func Study'!$AB$1115</definedName>
    <definedName name="UAcct403Gps">'[10]Func Study'!$AB$1107</definedName>
    <definedName name="UAcct403Gpsg">'[10]Func Study'!$AB$1112</definedName>
    <definedName name="UAcct403Gpso">'[10]Func Study'!$AB$1113</definedName>
    <definedName name="UAcct403Gv0">'[10]Func Study'!$AB$1121</definedName>
    <definedName name="UAcct403Hp">'[10]Func Study'!$AB$1072</definedName>
    <definedName name="UACCT403JBE">'[10]Func Study'!$AB$1116</definedName>
    <definedName name="UAcct403Mp">'[10]Func Study'!$AB$1125</definedName>
    <definedName name="UAcct403Np">'[10]Func Study'!$AB$1065</definedName>
    <definedName name="UAcct403Op">'[10]Func Study'!$AB$1080</definedName>
    <definedName name="UAcct403OPCAGE">'[10]Func Study'!$AB$1078</definedName>
    <definedName name="UAcct403Sp">'[10]Func Study'!$AB$1061</definedName>
    <definedName name="UAcct403SPJBG">'[10]Func Study'!$AB$1058</definedName>
    <definedName name="UAcct403Tp">'[10]Func Study'!$AB$1087</definedName>
    <definedName name="UAcct404330">'[10]Func Study'!$AB$1177</definedName>
    <definedName name="UACCT404GP">'[10]Func Study'!$AB$1146</definedName>
    <definedName name="UACCT404GPCN">'[10]Func Study'!$AB$1143</definedName>
    <definedName name="UACCT404GPSO">'[10]Func Study'!$AB$1141</definedName>
    <definedName name="UAcct404Ipcn">'[10]Func Study'!$AB$1158</definedName>
    <definedName name="UAcct404IPJBG">'[10]Func Study'!$AB$1163</definedName>
    <definedName name="UAcct404Ips">'[10]Func Study'!$AB$1154</definedName>
    <definedName name="UAcct404Ipse">'[10]Func Study'!$AB$1155</definedName>
    <definedName name="UAcct404Ipsg">'[10]Func Study'!$AB$1156</definedName>
    <definedName name="UAcct404Ipsg1">'[10]Func Study'!$AB$1159</definedName>
    <definedName name="UAcct404Ipsg2">'[10]Func Study'!$AB$1160</definedName>
    <definedName name="UAcct404Ipso">'[10]Func Study'!$AB$1157</definedName>
    <definedName name="UAcct404M">'[10]Func Study'!$AB$1168</definedName>
    <definedName name="UACCT404OP">'[10]Func Study'!$AB$1172</definedName>
    <definedName name="UACCT404SP">'[10]Func Study'!$AB$1151</definedName>
    <definedName name="UAcct405">'[10]Func Study'!$AB$1185</definedName>
    <definedName name="UAcct406">'[10]Func Study'!$AB$1193</definedName>
    <definedName name="UAcct407">'[10]Func Study'!$AB$1202</definedName>
    <definedName name="UAcct408">'[10]Func Study'!$AB$1221</definedName>
    <definedName name="UAcct408S">'[10]Func Study'!$AB$1213</definedName>
    <definedName name="UAcct41010">'[10]Func Study'!$AB$1294</definedName>
    <definedName name="UAcct41011">'[10]Func Study'!$AB$1309</definedName>
    <definedName name="UACCT41020" localSheetId="2">'[11]Functional Study'!#REF!</definedName>
    <definedName name="UACCT41020" localSheetId="4">'[11]Functional Study'!#REF!</definedName>
    <definedName name="UACCT41020">'[11]Functional Study'!#REF!</definedName>
    <definedName name="UACCT41020BADDEBT" localSheetId="2">'[11]Functional Study'!#REF!</definedName>
    <definedName name="UACCT41020BADDEBT" localSheetId="4">'[11]Functional Study'!#REF!</definedName>
    <definedName name="UACCT41020BADDEBT">'[11]Functional Study'!#REF!</definedName>
    <definedName name="UACCT41020DITEXP" localSheetId="2">'[11]Functional Study'!#REF!</definedName>
    <definedName name="UACCT41020DITEXP" localSheetId="4">'[11]Functional Study'!#REF!</definedName>
    <definedName name="UACCT41020DITEXP">'[11]Functional Study'!#REF!</definedName>
    <definedName name="UACCT41020DNPU" localSheetId="2">'[11]Functional Study'!#REF!</definedName>
    <definedName name="UACCT41020DNPU" localSheetId="4">'[11]Functional Study'!#REF!</definedName>
    <definedName name="UACCT41020DNPU">'[11]Functional Study'!#REF!</definedName>
    <definedName name="UACCT41020S" localSheetId="2">'[11]Functional Study'!#REF!</definedName>
    <definedName name="UACCT41020S" localSheetId="4">'[11]Functional Study'!#REF!</definedName>
    <definedName name="UACCT41020S">'[11]Functional Study'!#REF!</definedName>
    <definedName name="UACCT41020SE" localSheetId="2">'[11]Functional Study'!#REF!</definedName>
    <definedName name="UACCT41020SE" localSheetId="4">'[11]Functional Study'!#REF!</definedName>
    <definedName name="UACCT41020SE">'[11]Functional Study'!#REF!</definedName>
    <definedName name="UACCT41020SG" localSheetId="2">'[11]Functional Study'!#REF!</definedName>
    <definedName name="UACCT41020SG" localSheetId="4">'[11]Functional Study'!#REF!</definedName>
    <definedName name="UACCT41020SG">'[11]Functional Study'!#REF!</definedName>
    <definedName name="UACCT41020SGCT" localSheetId="2">'[11]Functional Study'!#REF!</definedName>
    <definedName name="UACCT41020SGCT" localSheetId="4">'[11]Functional Study'!#REF!</definedName>
    <definedName name="UACCT41020SGCT">'[11]Functional Study'!#REF!</definedName>
    <definedName name="UACCT41020SGPP" localSheetId="2">'[11]Functional Study'!#REF!</definedName>
    <definedName name="UACCT41020SGPP" localSheetId="4">'[11]Functional Study'!#REF!</definedName>
    <definedName name="UACCT41020SGPP">'[11]Functional Study'!#REF!</definedName>
    <definedName name="UACCT41020SO" localSheetId="2">'[11]Functional Study'!#REF!</definedName>
    <definedName name="UACCT41020SO" localSheetId="4">'[11]Functional Study'!#REF!</definedName>
    <definedName name="UACCT41020SO">'[11]Functional Study'!#REF!</definedName>
    <definedName name="UACCT41020TROJP" localSheetId="2">'[11]Functional Study'!#REF!</definedName>
    <definedName name="UACCT41020TROJP" localSheetId="4">'[11]Functional Study'!#REF!</definedName>
    <definedName name="UACCT41020TROJP">'[11]Functional Study'!#REF!</definedName>
    <definedName name="UACCT4102SNPD" localSheetId="2">'[11]Functional Study'!#REF!</definedName>
    <definedName name="UACCT4102SNPD" localSheetId="4">'[11]Functional Study'!#REF!</definedName>
    <definedName name="UACCT4102SNPD">'[11]Functional Study'!#REF!</definedName>
    <definedName name="UAcct41110">'[10]Func Study'!$AB$1325</definedName>
    <definedName name="UAcct41111" localSheetId="2">'[11]Functional Study'!#REF!</definedName>
    <definedName name="UAcct41111" localSheetId="4">'[11]Functional Study'!#REF!</definedName>
    <definedName name="UAcct41111">'[11]Functional Study'!#REF!</definedName>
    <definedName name="UAcct41111Baddebt" localSheetId="2">'[11]Functional Study'!#REF!</definedName>
    <definedName name="UAcct41111Baddebt" localSheetId="4">'[11]Functional Study'!#REF!</definedName>
    <definedName name="UAcct41111Baddebt">'[11]Functional Study'!#REF!</definedName>
    <definedName name="UAcct41111Dgp" localSheetId="2">'[11]Functional Study'!#REF!</definedName>
    <definedName name="UAcct41111Dgp" localSheetId="4">'[11]Functional Study'!#REF!</definedName>
    <definedName name="UAcct41111Dgp">'[11]Functional Study'!#REF!</definedName>
    <definedName name="UAcct41111Dgu" localSheetId="2">'[11]Functional Study'!#REF!</definedName>
    <definedName name="UAcct41111Dgu" localSheetId="4">'[11]Functional Study'!#REF!</definedName>
    <definedName name="UAcct41111Dgu">'[11]Functional Study'!#REF!</definedName>
    <definedName name="UAcct41111Ditexp" localSheetId="2">'[11]Functional Study'!#REF!</definedName>
    <definedName name="UAcct41111Ditexp" localSheetId="4">'[11]Functional Study'!#REF!</definedName>
    <definedName name="UAcct41111Ditexp">'[11]Functional Study'!#REF!</definedName>
    <definedName name="UAcct41111Dnpp" localSheetId="2">'[11]Functional Study'!#REF!</definedName>
    <definedName name="UAcct41111Dnpp" localSheetId="4">'[11]Functional Study'!#REF!</definedName>
    <definedName name="UAcct41111Dnpp">'[11]Functional Study'!#REF!</definedName>
    <definedName name="UAcct41111Dnptp" localSheetId="2">'[11]Functional Study'!#REF!</definedName>
    <definedName name="UAcct41111Dnptp" localSheetId="4">'[11]Functional Study'!#REF!</definedName>
    <definedName name="UAcct41111Dnptp">'[11]Functional Study'!#REF!</definedName>
    <definedName name="UAcct41111S" localSheetId="2">'[11]Functional Study'!#REF!</definedName>
    <definedName name="UAcct41111S" localSheetId="4">'[11]Functional Study'!#REF!</definedName>
    <definedName name="UAcct41111S">'[11]Functional Study'!#REF!</definedName>
    <definedName name="UAcct41111Se" localSheetId="2">'[11]Functional Study'!#REF!</definedName>
    <definedName name="UAcct41111Se" localSheetId="4">'[11]Functional Study'!#REF!</definedName>
    <definedName name="UAcct41111Se">'[11]Functional Study'!#REF!</definedName>
    <definedName name="UAcct41111Sg" localSheetId="2">'[11]Functional Study'!#REF!</definedName>
    <definedName name="UAcct41111Sg" localSheetId="4">'[11]Functional Study'!#REF!</definedName>
    <definedName name="UAcct41111Sg">'[11]Functional Study'!#REF!</definedName>
    <definedName name="UAcct41111Sgpp" localSheetId="2">'[11]Functional Study'!#REF!</definedName>
    <definedName name="UAcct41111Sgpp" localSheetId="4">'[11]Functional Study'!#REF!</definedName>
    <definedName name="UAcct41111Sgpp">'[11]Functional Study'!#REF!</definedName>
    <definedName name="UAcct41111So" localSheetId="2">'[11]Functional Study'!#REF!</definedName>
    <definedName name="UAcct41111So" localSheetId="4">'[11]Functional Study'!#REF!</definedName>
    <definedName name="UAcct41111So">'[11]Functional Study'!#REF!</definedName>
    <definedName name="UAcct41111Trojp" localSheetId="2">'[11]Functional Study'!#REF!</definedName>
    <definedName name="UAcct41111Trojp" localSheetId="4">'[11]Functional Study'!#REF!</definedName>
    <definedName name="UAcct41111Trojp">'[11]Functional Study'!#REF!</definedName>
    <definedName name="UAcct41140">'[10]Func Study'!$AB$1232</definedName>
    <definedName name="UAcct41141">'[10]Func Study'!$AB$1237</definedName>
    <definedName name="UAcct41160">'[10]Func Study'!$AB$369</definedName>
    <definedName name="UAcct41170">'[10]Func Study'!$AB$374</definedName>
    <definedName name="UAcct4118">'[10]Func Study'!$AB$378</definedName>
    <definedName name="UAcct41181">'[10]Func Study'!$AB$381</definedName>
    <definedName name="UAcct4194">'[10]Func Study'!$AB$385</definedName>
    <definedName name="UAcct421">'[10]Func Study'!$AB$394</definedName>
    <definedName name="UAcct4311">'[10]Func Study'!$AB$401</definedName>
    <definedName name="UAcct442Se">'[10]Func Study'!$AB$259</definedName>
    <definedName name="UAcct442Sg">'[10]Func Study'!$AB$260</definedName>
    <definedName name="UAcct447">'[10]Func Study'!$AB$281</definedName>
    <definedName name="UAcct447CAEE" localSheetId="2">'[8]Func Study'!#REF!</definedName>
    <definedName name="UAcct447CAEE" localSheetId="4">'[8]Func Study'!#REF!</definedName>
    <definedName name="UAcct447CAEE">'[8]Func Study'!#REF!</definedName>
    <definedName name="UAcct447CAGE" localSheetId="2">'[8]Func Study'!#REF!</definedName>
    <definedName name="UAcct447CAGE" localSheetId="4">'[8]Func Study'!#REF!</definedName>
    <definedName name="UAcct447CAGE">'[8]Func Study'!#REF!</definedName>
    <definedName name="UAcct447Dgu" localSheetId="2">'[9]Func Study'!#REF!</definedName>
    <definedName name="UAcct447Dgu" localSheetId="4">'[9]Func Study'!#REF!</definedName>
    <definedName name="UAcct447Dgu">'[9]Func Study'!#REF!</definedName>
    <definedName name="UACCT447NPC">'[10]Func Study'!$AB$289</definedName>
    <definedName name="UACCT447NPCCAEW">'[10]Func Study'!$AB$286</definedName>
    <definedName name="UACCT447NPCCAGW">'[10]Func Study'!$AB$287</definedName>
    <definedName name="UACCT447NPCDGP">'[10]Func Study'!$AB$288</definedName>
    <definedName name="UAcct447S">'[10]Func Study'!$AB$280</definedName>
    <definedName name="UAcct448S">'[10]Func Study'!$AB$274</definedName>
    <definedName name="UAcct448So">'[10]Func Study'!$AB$275</definedName>
    <definedName name="UAcct449">'[10]Func Study'!$AB$294</definedName>
    <definedName name="UAcct450">'[10]Func Study'!$AB$304</definedName>
    <definedName name="UAcct450S">'[10]Func Study'!$AB$302</definedName>
    <definedName name="UAcct450So">'[10]Func Study'!$AB$303</definedName>
    <definedName name="UAcct451S">'[10]Func Study'!$AB$307</definedName>
    <definedName name="UAcct451Sg">'[10]Func Study'!$AB$308</definedName>
    <definedName name="UAcct451So">'[10]Func Study'!$AB$309</definedName>
    <definedName name="UAcct453">'[10]Func Study'!$AB$315</definedName>
    <definedName name="UAcct453CAGE" localSheetId="2">'[8]Func Study'!#REF!</definedName>
    <definedName name="UAcct453CAGE" localSheetId="4">'[8]Func Study'!#REF!</definedName>
    <definedName name="UAcct453CAGE">'[8]Func Study'!#REF!</definedName>
    <definedName name="UAcct453CAGW" localSheetId="2">'[8]Func Study'!#REF!</definedName>
    <definedName name="UAcct453CAGW" localSheetId="4">'[8]Func Study'!#REF!</definedName>
    <definedName name="UAcct453CAGW">'[8]Func Study'!#REF!</definedName>
    <definedName name="UAcct454">'[10]Func Study'!$AB$322</definedName>
    <definedName name="UAcct454JBG">'[10]Func Study'!$AB$319</definedName>
    <definedName name="UAcct454S">'[10]Func Study'!$AB$318</definedName>
    <definedName name="UAcct454Sg">'[10]Func Study'!$AB$320</definedName>
    <definedName name="UAcct454So">'[10]Func Study'!$AB$321</definedName>
    <definedName name="UAcct456">'[10]Func Study'!$AB$332</definedName>
    <definedName name="UAcct456CAEW">'[10]Func Study'!$AB$331</definedName>
    <definedName name="UAcct456S">'[10]Func Study'!$AB$325</definedName>
    <definedName name="UAcct456So">'[10]Func Study'!$AB$329</definedName>
    <definedName name="UAcct500">'[10]Func Study'!$AB$416</definedName>
    <definedName name="UAcct500JBG">'[10]Func Study'!$AB$414</definedName>
    <definedName name="UAcct501">'[10]Func Study'!$AB$423</definedName>
    <definedName name="UAcct501CAEW">'[10]Func Study'!$AB$420</definedName>
    <definedName name="UAcct501JBE">'[10]Func Study'!$AB$421</definedName>
    <definedName name="UACCT501NPCCAEW">'[10]Func Study'!$AB$426</definedName>
    <definedName name="UAcct502">'[10]Func Study'!$AB$433</definedName>
    <definedName name="UAcct502CAGE">'[10]Func Study'!$AB$431</definedName>
    <definedName name="UAcct502JBG" localSheetId="2">'[8]Func Study'!#REF!</definedName>
    <definedName name="UAcct502JBG" localSheetId="4">'[8]Func Study'!#REF!</definedName>
    <definedName name="UAcct502JBG">'[8]Func Study'!#REF!</definedName>
    <definedName name="UAcct503">'[10]Func Study'!$AB$437</definedName>
    <definedName name="UACCT503NPC">'[10]Func Study'!$AB$443</definedName>
    <definedName name="UAcct505">'[10]Func Study'!$AB$449</definedName>
    <definedName name="UAcct505CAGE">'[10]Func Study'!$AB$447</definedName>
    <definedName name="UAcct505JBG" localSheetId="2">'[8]Func Study'!#REF!</definedName>
    <definedName name="UAcct505JBG" localSheetId="4">'[8]Func Study'!#REF!</definedName>
    <definedName name="UAcct505JBG">'[8]Func Study'!#REF!</definedName>
    <definedName name="UAcct506">'[10]Func Study'!$AB$455</definedName>
    <definedName name="UAcct506CAGE">'[10]Func Study'!$AB$452</definedName>
    <definedName name="UAcct506JBG" localSheetId="2">'[8]Func Study'!#REF!</definedName>
    <definedName name="UAcct506JBG" localSheetId="4">'[8]Func Study'!#REF!</definedName>
    <definedName name="UAcct506JBG">'[8]Func Study'!#REF!</definedName>
    <definedName name="UAcct507">'[10]Func Study'!$AB$464</definedName>
    <definedName name="UAcct507CAGE">'[10]Func Study'!$AB$462</definedName>
    <definedName name="UAcct507JBG" localSheetId="2">'[8]Func Study'!#REF!</definedName>
    <definedName name="UAcct507JBG" localSheetId="4">'[8]Func Study'!#REF!</definedName>
    <definedName name="UAcct507JBG">'[8]Func Study'!#REF!</definedName>
    <definedName name="UAcct510">'[10]Func Study'!$AB$469</definedName>
    <definedName name="UAcct510CAGE">'[10]Func Study'!$AB$467</definedName>
    <definedName name="UAcct510JBG" localSheetId="2">'[8]Func Study'!#REF!</definedName>
    <definedName name="UAcct510JBG" localSheetId="4">'[8]Func Study'!#REF!</definedName>
    <definedName name="UAcct510JBG">'[8]Func Study'!#REF!</definedName>
    <definedName name="UAcct511">'[10]Func Study'!$AB$474</definedName>
    <definedName name="UAcct511CAGE">'[10]Func Study'!$AB$472</definedName>
    <definedName name="UAcct511JBG" localSheetId="2">'[8]Func Study'!#REF!</definedName>
    <definedName name="UAcct511JBG" localSheetId="4">'[8]Func Study'!#REF!</definedName>
    <definedName name="UAcct511JBG">'[8]Func Study'!#REF!</definedName>
    <definedName name="UAcct512">'[10]Func Study'!$AB$479</definedName>
    <definedName name="UAcct512CAGE">'[10]Func Study'!$AB$477</definedName>
    <definedName name="UAcct512JBG" localSheetId="2">'[8]Func Study'!#REF!</definedName>
    <definedName name="UAcct512JBG" localSheetId="4">'[8]Func Study'!#REF!</definedName>
    <definedName name="UAcct512JBG">'[8]Func Study'!#REF!</definedName>
    <definedName name="UAcct513">'[10]Func Study'!$AB$484</definedName>
    <definedName name="UAcct513CAGE">'[10]Func Study'!$AB$482</definedName>
    <definedName name="UAcct513JBG" localSheetId="2">'[8]Func Study'!#REF!</definedName>
    <definedName name="UAcct513JBG" localSheetId="4">'[8]Func Study'!#REF!</definedName>
    <definedName name="UAcct513JBG">'[8]Func Study'!#REF!</definedName>
    <definedName name="UAcct514">'[10]Func Study'!$AB$489</definedName>
    <definedName name="UAcct514CAGE">'[10]Func Study'!$AB$487</definedName>
    <definedName name="UAcct514JBG" localSheetId="2">'[8]Func Study'!#REF!</definedName>
    <definedName name="UAcct514JBG" localSheetId="4">'[8]Func Study'!#REF!</definedName>
    <definedName name="UAcct514JBG">'[8]Func Study'!#REF!</definedName>
    <definedName name="UAcct517">'[10]Func Study'!$AB$498</definedName>
    <definedName name="UAcct518">'[10]Func Study'!$AB$502</definedName>
    <definedName name="UAcct519">'[10]Func Study'!$AB$507</definedName>
    <definedName name="UAcct520">'[10]Func Study'!$AB$511</definedName>
    <definedName name="UAcct523">'[10]Func Study'!$AB$515</definedName>
    <definedName name="UAcct524">'[10]Func Study'!$AB$519</definedName>
    <definedName name="UAcct528">'[10]Func Study'!$AB$523</definedName>
    <definedName name="UAcct529">'[10]Func Study'!$AB$527</definedName>
    <definedName name="UAcct530">'[10]Func Study'!$AB$531</definedName>
    <definedName name="UAcct531">'[10]Func Study'!$AB$535</definedName>
    <definedName name="UAcct532">'[10]Func Study'!$AB$539</definedName>
    <definedName name="UAcct535">'[10]Func Study'!$AB$551</definedName>
    <definedName name="UAcct536">'[10]Func Study'!$AB$555</definedName>
    <definedName name="UAcct537">'[10]Func Study'!$AB$559</definedName>
    <definedName name="UAcct538">'[10]Func Study'!$AB$563</definedName>
    <definedName name="UAcct539">'[10]Func Study'!$AB$568</definedName>
    <definedName name="UAcct540">'[10]Func Study'!$AB$572</definedName>
    <definedName name="UAcct541">'[10]Func Study'!$AB$576</definedName>
    <definedName name="UAcct542">'[10]Func Study'!$AB$580</definedName>
    <definedName name="UAcct543">'[10]Func Study'!$AB$584</definedName>
    <definedName name="UAcct544">'[10]Func Study'!$AB$588</definedName>
    <definedName name="UAcct545">'[10]Func Study'!$AB$592</definedName>
    <definedName name="UAcct546">'[10]Func Study'!$AB$606</definedName>
    <definedName name="UAcct546CAGE">'[10]Func Study'!$AB$605</definedName>
    <definedName name="UAcct547CAEW">'[10]Func Study'!$AB$610</definedName>
    <definedName name="UACCT547NPCCAEW">'[10]Func Study'!$AB$613</definedName>
    <definedName name="UAcct547Se">'[10]Func Study'!$AB$609</definedName>
    <definedName name="UAcct548">'[10]Func Study'!$AB$621</definedName>
    <definedName name="UACCT548CAGE">'[10]Func Study'!$AB$620</definedName>
    <definedName name="UAcct549">'[10]Func Study'!$AB$626</definedName>
    <definedName name="Uacct549CAGE">'[10]Func Study'!$AB$625</definedName>
    <definedName name="UAcct5506SE" localSheetId="2">'[8]Func Study'!#REF!</definedName>
    <definedName name="UAcct5506SE" localSheetId="4">'[8]Func Study'!#REF!</definedName>
    <definedName name="UAcct5506SE">'[8]Func Study'!#REF!</definedName>
    <definedName name="UAcct551CAGE">'[10]Func Study'!$AB$634</definedName>
    <definedName name="UACCT551SG">'[10]Func Study'!$AB$635</definedName>
    <definedName name="UACCT552CAGE">'[10]Func Study'!$AB$640</definedName>
    <definedName name="UAcct552SG">'[10]Func Study'!$AB$639</definedName>
    <definedName name="UACCT553CAGE">'[10]Func Study'!$AB$646</definedName>
    <definedName name="UAcct553SG">'[10]Func Study'!$AB$645</definedName>
    <definedName name="UACCT554CAGE">'[10]Func Study'!$AB$651</definedName>
    <definedName name="UAcct554SG">'[10]Func Study'!$AB$650</definedName>
    <definedName name="UAcct555CAEE" localSheetId="2">'[8]Func Study'!#REF!</definedName>
    <definedName name="UAcct555CAEE" localSheetId="4">'[8]Func Study'!#REF!</definedName>
    <definedName name="UAcct555CAEE">'[8]Func Study'!#REF!</definedName>
    <definedName name="UAcct555CAEW">'[10]Func Study'!$AB$665</definedName>
    <definedName name="UAcct555CAGE" localSheetId="2">'[8]Func Study'!#REF!</definedName>
    <definedName name="UAcct555CAGE" localSheetId="4">'[8]Func Study'!#REF!</definedName>
    <definedName name="UAcct555CAGE">'[8]Func Study'!#REF!</definedName>
    <definedName name="UAcct555CAGW">'[10]Func Study'!$AB$664</definedName>
    <definedName name="UACCT555DGP">'[10]Func Study'!$AB$670</definedName>
    <definedName name="UACCT555NPCCAEW">'[10]Func Study'!$AB$669</definedName>
    <definedName name="UACCT555NPCCAGW">'[10]Func Study'!$AB$668</definedName>
    <definedName name="UAcct555S">'[10]Func Study'!$AB$663</definedName>
    <definedName name="UAcct555Se">'[10]Func Study'!$AB$665</definedName>
    <definedName name="UACCT555SG">'[10]Func Study'!$AB$664</definedName>
    <definedName name="UAcct556">'[10]Func Study'!$AB$676</definedName>
    <definedName name="UAcct557">'[10]Func Study'!$AB$685</definedName>
    <definedName name="UAcct560">'[10]Func Study'!$AB$715</definedName>
    <definedName name="UAcct561">'[10]Func Study'!$AB$720</definedName>
    <definedName name="UAcct562">'[10]Func Study'!$AB$726</definedName>
    <definedName name="UAcct563">'[10]Func Study'!$AB$731</definedName>
    <definedName name="UAcct564">'[10]Func Study'!$AB$735</definedName>
    <definedName name="UAcct565">'[10]Func Study'!$AB$739</definedName>
    <definedName name="UACCT565NPC">'[10]Func Study'!$AB$744</definedName>
    <definedName name="UACCT565NPCCAGW">'[10]Func Study'!$AB$742</definedName>
    <definedName name="UAcct566">'[10]Func Study'!$AB$748</definedName>
    <definedName name="UAcct567">'[10]Func Study'!$AB$752</definedName>
    <definedName name="UAcct568">'[10]Func Study'!$AB$756</definedName>
    <definedName name="UAcct569">'[10]Func Study'!$AB$760</definedName>
    <definedName name="UAcct570">'[10]Func Study'!$AB$765</definedName>
    <definedName name="UAcct571">'[10]Func Study'!$AB$770</definedName>
    <definedName name="UAcct572">'[10]Func Study'!$AB$774</definedName>
    <definedName name="UAcct573">'[10]Func Study'!$AB$778</definedName>
    <definedName name="UAcct580">'[10]Func Study'!$AB$791</definedName>
    <definedName name="UAcct581">'[10]Func Study'!$AB$796</definedName>
    <definedName name="UAcct582">'[10]Func Study'!$AB$801</definedName>
    <definedName name="UAcct583">'[10]Func Study'!$AB$806</definedName>
    <definedName name="UAcct584">'[10]Func Study'!$AB$811</definedName>
    <definedName name="UAcct585">'[10]Func Study'!$AB$816</definedName>
    <definedName name="UAcct586">'[10]Func Study'!$AB$821</definedName>
    <definedName name="UAcct587">'[10]Func Study'!$AB$826</definedName>
    <definedName name="UAcct588">'[10]Func Study'!$AB$831</definedName>
    <definedName name="UAcct589">'[10]Func Study'!$AB$836</definedName>
    <definedName name="UAcct590">'[10]Func Study'!$AB$841</definedName>
    <definedName name="UAcct591">'[10]Func Study'!$AB$846</definedName>
    <definedName name="UAcct592">'[10]Func Study'!$AB$851</definedName>
    <definedName name="UAcct593">'[10]Func Study'!$AB$856</definedName>
    <definedName name="UAcct594">'[10]Func Study'!$AB$861</definedName>
    <definedName name="UAcct595">'[10]Func Study'!$AB$866</definedName>
    <definedName name="UAcct596">'[10]Func Study'!$AB$876</definedName>
    <definedName name="UAcct597">'[10]Func Study'!$AB$881</definedName>
    <definedName name="UAcct598">'[10]Func Study'!$AB$886</definedName>
    <definedName name="UAcct901">'[10]Func Study'!$AB$898</definedName>
    <definedName name="UAcct902">'[10]Func Study'!$AB$903</definedName>
    <definedName name="UAcct903">'[10]Func Study'!$AB$908</definedName>
    <definedName name="UAcct904">'[10]Func Study'!$AB$914</definedName>
    <definedName name="Uacct904SG" localSheetId="2">'[12]Functional Study'!#REF!</definedName>
    <definedName name="Uacct904SG" localSheetId="4">'[12]Functional Study'!#REF!</definedName>
    <definedName name="Uacct904SG">'[12]Functional Study'!#REF!</definedName>
    <definedName name="UAcct905">'[10]Func Study'!$AB$919</definedName>
    <definedName name="UAcct907">'[10]Func Study'!$AB$933</definedName>
    <definedName name="UAcct908">'[10]Func Study'!$AB$938</definedName>
    <definedName name="UAcct909">'[10]Func Study'!$AB$943</definedName>
    <definedName name="UAcct910">'[10]Func Study'!$AB$948</definedName>
    <definedName name="UAcct911">'[10]Func Study'!$AB$959</definedName>
    <definedName name="UAcct912">'[10]Func Study'!$AB$964</definedName>
    <definedName name="UAcct913">'[10]Func Study'!$AB$969</definedName>
    <definedName name="UAcct916">'[10]Func Study'!$AB$974</definedName>
    <definedName name="UAcct920">'[10]Func Study'!$AB$985</definedName>
    <definedName name="UAcct920Cn">'[10]Func Study'!$AB$983</definedName>
    <definedName name="UAcct921">'[10]Func Study'!$AB$991</definedName>
    <definedName name="UAcct921Cn">'[10]Func Study'!$AB$989</definedName>
    <definedName name="UAcct923">'[10]Func Study'!$AB$997</definedName>
    <definedName name="UAcct923CAGW">'[10]Func Study'!$AB$995</definedName>
    <definedName name="UAcct924">'[10]Func Study'!$AB$1001</definedName>
    <definedName name="UAcct925">'[10]Func Study'!$AB$1005</definedName>
    <definedName name="UAcct926">'[10]Func Study'!$AB$1011</definedName>
    <definedName name="UAcct927">'[10]Func Study'!$AB$1016</definedName>
    <definedName name="UAcct928">'[10]Func Study'!$AB$1023</definedName>
    <definedName name="UAcct929">'[10]Func Study'!$AB$1028</definedName>
    <definedName name="UAcct930">'[10]Func Study'!$AB$1034</definedName>
    <definedName name="UAcct931">'[10]Func Study'!$AB$1039</definedName>
    <definedName name="UAcct935">'[10]Func Study'!$AB$1045</definedName>
    <definedName name="UAcctAGA">'[10]Func Study'!$AB$296</definedName>
    <definedName name="UAcctcwc">'[10]Func Study'!$AB$2136</definedName>
    <definedName name="UAcctd00">'[10]Func Study'!$AB$1786</definedName>
    <definedName name="UAcctdfa" localSheetId="4">'[10]Func Study'!#REF!</definedName>
    <definedName name="UAcctdfa">'[10]Func Study'!#REF!</definedName>
    <definedName name="UAcctdfad" localSheetId="4">'[10]Func Study'!#REF!</definedName>
    <definedName name="UAcctdfad">'[10]Func Study'!#REF!</definedName>
    <definedName name="UAcctdfap" localSheetId="4">'[10]Func Study'!#REF!</definedName>
    <definedName name="UAcctdfap">'[10]Func Study'!#REF!</definedName>
    <definedName name="UAcctdfat" localSheetId="4">'[10]Func Study'!#REF!</definedName>
    <definedName name="UAcctdfat">'[10]Func Study'!#REF!</definedName>
    <definedName name="UAcctds0">'[10]Func Study'!$AB$1790</definedName>
    <definedName name="UACCTECDDGP">'[10]Func Study'!$AB$687</definedName>
    <definedName name="UACCTECDMC">'[10]Func Study'!$AB$689</definedName>
    <definedName name="UACCTECDS">'[10]Func Study'!$AB$691</definedName>
    <definedName name="UACCTECDSG1">'[10]Func Study'!$AB$688</definedName>
    <definedName name="UACCTECDSG2">'[10]Func Study'!$AB$690</definedName>
    <definedName name="UACCTECDSG3">'[10]Func Study'!$AB$692</definedName>
    <definedName name="UAcctfit">'[10]Func Study'!$AB$1395</definedName>
    <definedName name="UAcctg00">'[10]Func Study'!$AB$1947</definedName>
    <definedName name="UAccth00">'[10]Func Study'!$AB$1545</definedName>
    <definedName name="UAccti00">'[10]Func Study'!$AB$1993</definedName>
    <definedName name="UAcctn00">'[10]Func Study'!$AB$1496</definedName>
    <definedName name="UAccto00">'[10]Func Study'!$AB$1606</definedName>
    <definedName name="UAcctowc">'[10]Func Study'!$AB$2149</definedName>
    <definedName name="UACCTOWCSSECH">'[10]Func Study'!$AB$2148</definedName>
    <definedName name="UAccts00">'[10]Func Study'!$AB$1455</definedName>
    <definedName name="UAcctsttax">'[10]Func Study'!$AB$1377</definedName>
    <definedName name="UAcctt00">'[10]Func Study'!$AB$1682</definedName>
    <definedName name="UNBILREV" localSheetId="2">#REF!</definedName>
    <definedName name="UNBILREV" localSheetId="4">#REF!</definedName>
    <definedName name="UNBILREV">#REF!</definedName>
    <definedName name="UncollectibleAccounts">[14]Variables!$D$25</definedName>
    <definedName name="UtGrossReceipts">[14]Variables!$D$29</definedName>
    <definedName name="ValidAccount">[13]Variables!$AK$43:$AK$369</definedName>
    <definedName name="VAR" localSheetId="2">[15]Backup!#REF!</definedName>
    <definedName name="VAR" localSheetId="4">[15]Backup!#REF!</definedName>
    <definedName name="VAR">[15]Backup!#REF!</definedName>
    <definedName name="VARIABLE" localSheetId="2">[20]Summary!#REF!</definedName>
    <definedName name="VARIABLE" localSheetId="4">[20]Summary!#REF!</definedName>
    <definedName name="VARIABLE">[20]Summary!#REF!</definedName>
    <definedName name="VOUCHER" localSheetId="2">#REF!</definedName>
    <definedName name="VOUCHER" localSheetId="4">#REF!</definedName>
    <definedName name="VOUCHER">#REF!</definedName>
    <definedName name="WaRevenueTax">[14]Variables!$D$27</definedName>
    <definedName name="WEATHER" localSheetId="2">#REF!</definedName>
    <definedName name="WEATHER" localSheetId="4">#REF!</definedName>
    <definedName name="WEATHER">#REF!</definedName>
    <definedName name="WEATHRNORM" localSheetId="2">#REF!</definedName>
    <definedName name="WEATHRNORM" localSheetId="4">#REF!</definedName>
    <definedName name="WEATHRNORM">#REF!</definedName>
    <definedName name="WIDTH" localSheetId="2">#REF!</definedName>
    <definedName name="WIDTH" localSheetId="4">#REF!</definedName>
    <definedName name="WIDTH">#REF!</definedName>
    <definedName name="WinterPeak">'[27]Load Data'!$D$9:$H$12,'[27]Load Data'!$D$20:$H$22</definedName>
    <definedName name="WORK1" localSheetId="2">#REF!</definedName>
    <definedName name="WORK1" localSheetId="4">#REF!</definedName>
    <definedName name="WORK1">#REF!</definedName>
    <definedName name="WORK2" localSheetId="2">#REF!</definedName>
    <definedName name="WORK2" localSheetId="4">#REF!</definedName>
    <definedName name="WORK2">#REF!</definedName>
    <definedName name="WORK3" localSheetId="2">#REF!</definedName>
    <definedName name="WORK3" localSheetId="4">#REF!</definedName>
    <definedName name="WORK3">#REF!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1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1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'[28]Weather Present'!$K$7</definedName>
    <definedName name="y" localSheetId="0" hidden="1">#REF!</definedName>
    <definedName name="y" localSheetId="1" hidden="1">#REF!</definedName>
    <definedName name="y" localSheetId="4" hidden="1">#REF!</definedName>
    <definedName name="y" localSheetId="5" hidden="1">#REF!</definedName>
    <definedName name="y" localSheetId="6" hidden="1">#REF!</definedName>
    <definedName name="y" localSheetId="7" hidden="1">#REF!</definedName>
    <definedName name="y" localSheetId="8" hidden="1">#REF!</definedName>
    <definedName name="y" localSheetId="9" hidden="1">#REF!</definedName>
    <definedName name="y" localSheetId="10" hidden="1">#REF!</definedName>
    <definedName name="y" hidden="1">'[4]DSM Output'!$B$21:$B$23</definedName>
    <definedName name="Year" localSheetId="2">#REF!</definedName>
    <definedName name="Year" localSheetId="4">#REF!</definedName>
    <definedName name="Year">#REF!</definedName>
    <definedName name="YEFactors">[13]Factors!$S$3:$AG$99</definedName>
    <definedName name="z" localSheetId="0" hidden="1">#REF!</definedName>
    <definedName name="z" localSheetId="1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9" hidden="1">#REF!</definedName>
    <definedName name="z" localSheetId="10" hidden="1">#REF!</definedName>
    <definedName name="z" hidden="1">'[4]DSM Output'!$G$21:$G$23</definedName>
    <definedName name="ZA" localSheetId="2">'[29] annual balance '!#REF!</definedName>
    <definedName name="ZA" localSheetId="4">'[29] annual balance '!#REF!</definedName>
    <definedName name="ZA">'[29] annual balance '!#REF!</definedName>
  </definedNames>
  <calcPr calcId="125725" calcMode="manual" iterate="1"/>
</workbook>
</file>

<file path=xl/calcChain.xml><?xml version="1.0" encoding="utf-8"?>
<calcChain xmlns="http://schemas.openxmlformats.org/spreadsheetml/2006/main">
  <c r="E29" i="11"/>
  <c r="E28"/>
  <c r="E27"/>
  <c r="E25"/>
  <c r="R24"/>
  <c r="E24"/>
  <c r="E23"/>
  <c r="E21"/>
  <c r="E20"/>
  <c r="E19"/>
  <c r="N18"/>
  <c r="G25" s="1"/>
  <c r="N17"/>
  <c r="E17"/>
  <c r="O16"/>
  <c r="N16"/>
  <c r="E16"/>
  <c r="E15"/>
  <c r="E29" i="10"/>
  <c r="E28"/>
  <c r="E27"/>
  <c r="E25"/>
  <c r="Q24"/>
  <c r="E24"/>
  <c r="E23"/>
  <c r="E21"/>
  <c r="E20"/>
  <c r="E19"/>
  <c r="N18"/>
  <c r="G29" s="1"/>
  <c r="N17"/>
  <c r="E17"/>
  <c r="O16"/>
  <c r="N16"/>
  <c r="E16"/>
  <c r="O15"/>
  <c r="G17" s="1"/>
  <c r="N15"/>
  <c r="G15"/>
  <c r="E15"/>
  <c r="E29" i="9"/>
  <c r="E28"/>
  <c r="E27"/>
  <c r="E25"/>
  <c r="Q24"/>
  <c r="E24"/>
  <c r="E23"/>
  <c r="E21"/>
  <c r="E20"/>
  <c r="E19"/>
  <c r="N18"/>
  <c r="N17"/>
  <c r="G25" s="1"/>
  <c r="E17"/>
  <c r="O16"/>
  <c r="N16"/>
  <c r="E16"/>
  <c r="O15"/>
  <c r="N15"/>
  <c r="E15"/>
  <c r="G15" s="1"/>
  <c r="E33" i="8"/>
  <c r="E32"/>
  <c r="E31"/>
  <c r="E29"/>
  <c r="E28"/>
  <c r="V27"/>
  <c r="I33" s="1"/>
  <c r="G27"/>
  <c r="E27"/>
  <c r="I25"/>
  <c r="E25"/>
  <c r="G24"/>
  <c r="E24"/>
  <c r="I23"/>
  <c r="E23"/>
  <c r="T21"/>
  <c r="T20"/>
  <c r="G20"/>
  <c r="E20"/>
  <c r="T19"/>
  <c r="I19"/>
  <c r="E19"/>
  <c r="T18"/>
  <c r="G18"/>
  <c r="E18"/>
  <c r="T17"/>
  <c r="I20" s="1"/>
  <c r="T14"/>
  <c r="G29" s="1"/>
  <c r="E40" i="7"/>
  <c r="E39"/>
  <c r="E38"/>
  <c r="E36"/>
  <c r="E35"/>
  <c r="E34"/>
  <c r="E32"/>
  <c r="E31"/>
  <c r="E30"/>
  <c r="E28"/>
  <c r="E27"/>
  <c r="R26"/>
  <c r="G40" s="1"/>
  <c r="E26"/>
  <c r="E24"/>
  <c r="E23"/>
  <c r="E22"/>
  <c r="O20"/>
  <c r="E20"/>
  <c r="O19"/>
  <c r="E19"/>
  <c r="O18"/>
  <c r="E18"/>
  <c r="P16"/>
  <c r="O16"/>
  <c r="G16"/>
  <c r="P15"/>
  <c r="O15"/>
  <c r="G18" s="1"/>
  <c r="O14"/>
  <c r="G14"/>
  <c r="E32" i="6"/>
  <c r="E31"/>
  <c r="E30"/>
  <c r="AA29"/>
  <c r="E28"/>
  <c r="E27"/>
  <c r="E26"/>
  <c r="E24"/>
  <c r="D24"/>
  <c r="Y23"/>
  <c r="X23"/>
  <c r="E23"/>
  <c r="D23"/>
  <c r="Y22"/>
  <c r="X22"/>
  <c r="E22"/>
  <c r="D22"/>
  <c r="Y21"/>
  <c r="X21"/>
  <c r="Y20"/>
  <c r="X20"/>
  <c r="E20"/>
  <c r="E19"/>
  <c r="Y18"/>
  <c r="X18"/>
  <c r="E18"/>
  <c r="Y14"/>
  <c r="Y15" s="1"/>
  <c r="I32" s="1"/>
  <c r="X14"/>
  <c r="X15" s="1"/>
  <c r="I14"/>
  <c r="F23" i="5"/>
  <c r="F21"/>
  <c r="F19"/>
  <c r="V18"/>
  <c r="F18"/>
  <c r="F16"/>
  <c r="F13"/>
  <c r="T12"/>
  <c r="F12"/>
  <c r="T11"/>
  <c r="J34" s="1"/>
  <c r="V10"/>
  <c r="F34" s="1"/>
  <c r="T10"/>
  <c r="D35" s="1"/>
  <c r="B11" i="4"/>
  <c r="E10"/>
  <c r="C10"/>
  <c r="D10" s="1"/>
  <c r="F11"/>
  <c r="E9"/>
  <c r="E8"/>
  <c r="C8"/>
  <c r="B45" i="3"/>
  <c r="D40"/>
  <c r="C16" i="4" s="1"/>
  <c r="D36" i="3"/>
  <c r="D37" s="1"/>
  <c r="D39" s="1"/>
  <c r="F29"/>
  <c r="X27"/>
  <c r="S26"/>
  <c r="P26"/>
  <c r="L26"/>
  <c r="G26"/>
  <c r="E26"/>
  <c r="T26" s="1"/>
  <c r="S25"/>
  <c r="P25"/>
  <c r="L25"/>
  <c r="G25"/>
  <c r="E25"/>
  <c r="T25" s="1"/>
  <c r="S24"/>
  <c r="P24"/>
  <c r="L24"/>
  <c r="G24"/>
  <c r="E24"/>
  <c r="T24" s="1"/>
  <c r="S23"/>
  <c r="P23"/>
  <c r="L23"/>
  <c r="G23"/>
  <c r="E23"/>
  <c r="T23" s="1"/>
  <c r="S22"/>
  <c r="P22"/>
  <c r="L22"/>
  <c r="G22"/>
  <c r="E22"/>
  <c r="T22" s="1"/>
  <c r="S21"/>
  <c r="P21"/>
  <c r="L21"/>
  <c r="G21"/>
  <c r="E21"/>
  <c r="S20"/>
  <c r="P20"/>
  <c r="L20"/>
  <c r="G20"/>
  <c r="E20"/>
  <c r="T20" s="1"/>
  <c r="S19"/>
  <c r="P19"/>
  <c r="L19"/>
  <c r="G19"/>
  <c r="E19"/>
  <c r="V28" i="8" s="1"/>
  <c r="S18" i="3"/>
  <c r="P18"/>
  <c r="L18"/>
  <c r="G18"/>
  <c r="E18"/>
  <c r="R27" i="7" s="1"/>
  <c r="S17" i="3"/>
  <c r="P17"/>
  <c r="L17"/>
  <c r="G17"/>
  <c r="E17"/>
  <c r="T17" s="1"/>
  <c r="S16"/>
  <c r="P16"/>
  <c r="L16"/>
  <c r="G16"/>
  <c r="E16"/>
  <c r="AA30" i="6" s="1"/>
  <c r="S15" i="3"/>
  <c r="P15"/>
  <c r="H15"/>
  <c r="E15"/>
  <c r="P14"/>
  <c r="G14"/>
  <c r="E14"/>
  <c r="L14" s="1"/>
  <c r="D12"/>
  <c r="S11"/>
  <c r="D11"/>
  <c r="C11"/>
  <c r="E36" s="1"/>
  <c r="S10"/>
  <c r="S12" s="1"/>
  <c r="D10"/>
  <c r="T9"/>
  <c r="F1251" i="2"/>
  <c r="F1250"/>
  <c r="F1245"/>
  <c r="F1239"/>
  <c r="C1238"/>
  <c r="J1237"/>
  <c r="L1237" s="1"/>
  <c r="C1237"/>
  <c r="C1236"/>
  <c r="L1235"/>
  <c r="J1235"/>
  <c r="N1235" s="1"/>
  <c r="I1235"/>
  <c r="F1235"/>
  <c r="J1233"/>
  <c r="N1233" s="1"/>
  <c r="I1233"/>
  <c r="F1233"/>
  <c r="J1232"/>
  <c r="N1232" s="1"/>
  <c r="C1232"/>
  <c r="L1232" s="1"/>
  <c r="J1231"/>
  <c r="N1231" s="1"/>
  <c r="C1231"/>
  <c r="L1231" s="1"/>
  <c r="L1229"/>
  <c r="J1229"/>
  <c r="N1229" s="1"/>
  <c r="I1229"/>
  <c r="F1229"/>
  <c r="J1228"/>
  <c r="N1228" s="1"/>
  <c r="I1228"/>
  <c r="F1228"/>
  <c r="L1226"/>
  <c r="J1226"/>
  <c r="N1226" s="1"/>
  <c r="I1226"/>
  <c r="F1226"/>
  <c r="J1225"/>
  <c r="N1225" s="1"/>
  <c r="I1225"/>
  <c r="F1225"/>
  <c r="L1224"/>
  <c r="J1224"/>
  <c r="N1224" s="1"/>
  <c r="I1224"/>
  <c r="F1224"/>
  <c r="J1221"/>
  <c r="N1221" s="1"/>
  <c r="I1221"/>
  <c r="F1221"/>
  <c r="L1220"/>
  <c r="J1220"/>
  <c r="N1220" s="1"/>
  <c r="I1220"/>
  <c r="F1220"/>
  <c r="J1218"/>
  <c r="N1218" s="1"/>
  <c r="I1218"/>
  <c r="F1218"/>
  <c r="J1217"/>
  <c r="N1217" s="1"/>
  <c r="C1217"/>
  <c r="L1217" s="1"/>
  <c r="J1216"/>
  <c r="N1216" s="1"/>
  <c r="C1216"/>
  <c r="L1216" s="1"/>
  <c r="L1213"/>
  <c r="J1213"/>
  <c r="N1213" s="1"/>
  <c r="I1213"/>
  <c r="F1213"/>
  <c r="J1212"/>
  <c r="N1212" s="1"/>
  <c r="F1212"/>
  <c r="C1212"/>
  <c r="I1212" s="1"/>
  <c r="J1210"/>
  <c r="N1210" s="1"/>
  <c r="I1210"/>
  <c r="F1210"/>
  <c r="J1209"/>
  <c r="N1209" s="1"/>
  <c r="C1209"/>
  <c r="L1209" s="1"/>
  <c r="J1208"/>
  <c r="N1208" s="1"/>
  <c r="N1238" s="1"/>
  <c r="C1208"/>
  <c r="L1208" s="1"/>
  <c r="F1201"/>
  <c r="G1199"/>
  <c r="N1197"/>
  <c r="C1197"/>
  <c r="C1200" s="1"/>
  <c r="N1195"/>
  <c r="C1195"/>
  <c r="L1195" s="1"/>
  <c r="N1194"/>
  <c r="N1200" s="1"/>
  <c r="L1194"/>
  <c r="F1194"/>
  <c r="C1194"/>
  <c r="C1196" s="1"/>
  <c r="F1188"/>
  <c r="C1185"/>
  <c r="C1184"/>
  <c r="C1187" s="1"/>
  <c r="J1183"/>
  <c r="J1184" s="1"/>
  <c r="L1184" s="1"/>
  <c r="I1183"/>
  <c r="F1183"/>
  <c r="L1182"/>
  <c r="F1176"/>
  <c r="G1174"/>
  <c r="C1172"/>
  <c r="C1170"/>
  <c r="T1168"/>
  <c r="L1168"/>
  <c r="J1168"/>
  <c r="I1168"/>
  <c r="F1168"/>
  <c r="T1167"/>
  <c r="J1167"/>
  <c r="L1167" s="1"/>
  <c r="I1167"/>
  <c r="F1167"/>
  <c r="T1166"/>
  <c r="L1166"/>
  <c r="J1166"/>
  <c r="I1166"/>
  <c r="F1166"/>
  <c r="T1165"/>
  <c r="J1165"/>
  <c r="L1165" s="1"/>
  <c r="I1165"/>
  <c r="F1165"/>
  <c r="T1164"/>
  <c r="L1164"/>
  <c r="J1164"/>
  <c r="I1164"/>
  <c r="F1164"/>
  <c r="T1161"/>
  <c r="J1161"/>
  <c r="L1161" s="1"/>
  <c r="F1161"/>
  <c r="C1161"/>
  <c r="I1161" s="1"/>
  <c r="T1160"/>
  <c r="J1160"/>
  <c r="L1160" s="1"/>
  <c r="F1160"/>
  <c r="C1160"/>
  <c r="I1160" s="1"/>
  <c r="T1159"/>
  <c r="J1159"/>
  <c r="L1159" s="1"/>
  <c r="F1159"/>
  <c r="C1159"/>
  <c r="I1159" s="1"/>
  <c r="T1158"/>
  <c r="J1158"/>
  <c r="L1158" s="1"/>
  <c r="F1158"/>
  <c r="C1158"/>
  <c r="I1158" s="1"/>
  <c r="T1157"/>
  <c r="J1157"/>
  <c r="L1157" s="1"/>
  <c r="F1157"/>
  <c r="C1157"/>
  <c r="I1157" s="1"/>
  <c r="T1156"/>
  <c r="J1156"/>
  <c r="L1156" s="1"/>
  <c r="L1144" s="1"/>
  <c r="F1156"/>
  <c r="C1156"/>
  <c r="I1156" s="1"/>
  <c r="I1144" s="1"/>
  <c r="I1154"/>
  <c r="F1154"/>
  <c r="F1148"/>
  <c r="C1145"/>
  <c r="N1144"/>
  <c r="F1144"/>
  <c r="N1143"/>
  <c r="C1143"/>
  <c r="F1142"/>
  <c r="F1136"/>
  <c r="C1135"/>
  <c r="G1134"/>
  <c r="C1133"/>
  <c r="J1133" s="1"/>
  <c r="C1132"/>
  <c r="J1131"/>
  <c r="L1131" s="1"/>
  <c r="I1131"/>
  <c r="F1131"/>
  <c r="N1130"/>
  <c r="L1130"/>
  <c r="F1130"/>
  <c r="F1135" s="1"/>
  <c r="F1137" s="1"/>
  <c r="C1130"/>
  <c r="I1130" s="1"/>
  <c r="I1129"/>
  <c r="L1129" s="1"/>
  <c r="F1123"/>
  <c r="C1122"/>
  <c r="C1121"/>
  <c r="J1121" s="1"/>
  <c r="L1121" s="1"/>
  <c r="C1120"/>
  <c r="J1119"/>
  <c r="L1119" s="1"/>
  <c r="I1119"/>
  <c r="F1119"/>
  <c r="L1118"/>
  <c r="J1118"/>
  <c r="N1118" s="1"/>
  <c r="I1118"/>
  <c r="F1118"/>
  <c r="J1117"/>
  <c r="L1117" s="1"/>
  <c r="I1117"/>
  <c r="F1117"/>
  <c r="L1116"/>
  <c r="J1116"/>
  <c r="N1116" s="1"/>
  <c r="I1116"/>
  <c r="F1116"/>
  <c r="J1115"/>
  <c r="L1115" s="1"/>
  <c r="I1115"/>
  <c r="F1115"/>
  <c r="L1114"/>
  <c r="J1114"/>
  <c r="N1114" s="1"/>
  <c r="I1114"/>
  <c r="F1114"/>
  <c r="J1113"/>
  <c r="L1113" s="1"/>
  <c r="I1113"/>
  <c r="F1113"/>
  <c r="J1111"/>
  <c r="N1111" s="1"/>
  <c r="C1111"/>
  <c r="F1111" s="1"/>
  <c r="J1110"/>
  <c r="N1110" s="1"/>
  <c r="C1110"/>
  <c r="F1110" s="1"/>
  <c r="J1109"/>
  <c r="N1109" s="1"/>
  <c r="C1109"/>
  <c r="F1109" s="1"/>
  <c r="L1108"/>
  <c r="J1108"/>
  <c r="N1108" s="1"/>
  <c r="I1108"/>
  <c r="F1108"/>
  <c r="J1107"/>
  <c r="L1107" s="1"/>
  <c r="I1107"/>
  <c r="F1107"/>
  <c r="J1106"/>
  <c r="N1106" s="1"/>
  <c r="C1106"/>
  <c r="F1106" s="1"/>
  <c r="L1105"/>
  <c r="J1105"/>
  <c r="N1105" s="1"/>
  <c r="I1105"/>
  <c r="F1105"/>
  <c r="J1104"/>
  <c r="L1104" s="1"/>
  <c r="I1104"/>
  <c r="F1104"/>
  <c r="J1103"/>
  <c r="N1103" s="1"/>
  <c r="C1103"/>
  <c r="F1103" s="1"/>
  <c r="J1102"/>
  <c r="N1102" s="1"/>
  <c r="N1122" s="1"/>
  <c r="C1102"/>
  <c r="F1102" s="1"/>
  <c r="F1122" s="1"/>
  <c r="F1124" s="1"/>
  <c r="F1095"/>
  <c r="G1093"/>
  <c r="J1091"/>
  <c r="Q1091" s="1"/>
  <c r="C1091"/>
  <c r="I1091" s="1"/>
  <c r="C1090"/>
  <c r="C1092" s="1"/>
  <c r="J1092" s="1"/>
  <c r="J1088"/>
  <c r="R17" i="11" s="1"/>
  <c r="U17" s="1"/>
  <c r="C1088" i="2"/>
  <c r="L1088" s="1"/>
  <c r="J1087"/>
  <c r="S16" i="11" s="1"/>
  <c r="C1087" i="2"/>
  <c r="L1087" s="1"/>
  <c r="L1086"/>
  <c r="I1086"/>
  <c r="F1086"/>
  <c r="C1085"/>
  <c r="L1084"/>
  <c r="J1084"/>
  <c r="R16" i="11" s="1"/>
  <c r="I1084" i="2"/>
  <c r="F1084"/>
  <c r="L1083"/>
  <c r="I1083"/>
  <c r="F1083"/>
  <c r="F1076"/>
  <c r="C1069"/>
  <c r="C1066"/>
  <c r="F1057"/>
  <c r="C1050"/>
  <c r="C1047"/>
  <c r="C1038"/>
  <c r="C1036"/>
  <c r="C1073" s="1"/>
  <c r="F1035"/>
  <c r="C1035"/>
  <c r="C1037" s="1"/>
  <c r="C1033"/>
  <c r="C1070" s="1"/>
  <c r="I1032"/>
  <c r="F1032"/>
  <c r="F1069" s="1"/>
  <c r="F1031"/>
  <c r="C1031"/>
  <c r="I1031" s="1"/>
  <c r="C1030"/>
  <c r="I1029"/>
  <c r="I1066" s="1"/>
  <c r="F1029"/>
  <c r="F1066" s="1"/>
  <c r="F1028"/>
  <c r="C1028"/>
  <c r="C1065" s="1"/>
  <c r="F1018"/>
  <c r="C1018"/>
  <c r="C1054" s="1"/>
  <c r="C923" s="1"/>
  <c r="C904" s="1"/>
  <c r="C1017"/>
  <c r="C1019" s="1"/>
  <c r="F1015"/>
  <c r="C1015"/>
  <c r="C1051" s="1"/>
  <c r="C920" s="1"/>
  <c r="C901" s="1"/>
  <c r="I1014"/>
  <c r="I1050" s="1"/>
  <c r="F1014"/>
  <c r="C1013"/>
  <c r="I1013" s="1"/>
  <c r="I1011"/>
  <c r="I1047" s="1"/>
  <c r="I916" s="1"/>
  <c r="I897" s="1"/>
  <c r="F1011"/>
  <c r="F1047" s="1"/>
  <c r="F916" s="1"/>
  <c r="F897" s="1"/>
  <c r="C1010"/>
  <c r="C1046" s="1"/>
  <c r="C915" s="1"/>
  <c r="C896" s="1"/>
  <c r="G999"/>
  <c r="C997"/>
  <c r="I997" s="1"/>
  <c r="C996"/>
  <c r="C998" s="1"/>
  <c r="J998" s="1"/>
  <c r="C994"/>
  <c r="I994" s="1"/>
  <c r="C993"/>
  <c r="I993" s="1"/>
  <c r="C992"/>
  <c r="I992" s="1"/>
  <c r="F990"/>
  <c r="C990"/>
  <c r="I990" s="1"/>
  <c r="F979"/>
  <c r="C979"/>
  <c r="I979" s="1"/>
  <c r="C978"/>
  <c r="C1072" s="1"/>
  <c r="F976"/>
  <c r="C976"/>
  <c r="I976" s="1"/>
  <c r="I975"/>
  <c r="I1069" s="1"/>
  <c r="F975"/>
  <c r="C974"/>
  <c r="C1068" s="1"/>
  <c r="I972"/>
  <c r="F972"/>
  <c r="C971"/>
  <c r="I971" s="1"/>
  <c r="C963"/>
  <c r="C961"/>
  <c r="I961" s="1"/>
  <c r="F960"/>
  <c r="C960"/>
  <c r="C962" s="1"/>
  <c r="C958"/>
  <c r="I958" s="1"/>
  <c r="I957"/>
  <c r="F957"/>
  <c r="F1050" s="1"/>
  <c r="F919" s="1"/>
  <c r="F956"/>
  <c r="C956"/>
  <c r="I956" s="1"/>
  <c r="C955"/>
  <c r="I954"/>
  <c r="F954"/>
  <c r="I953"/>
  <c r="F953"/>
  <c r="G943"/>
  <c r="F937"/>
  <c r="C937"/>
  <c r="I937" s="1"/>
  <c r="C934"/>
  <c r="I934" s="1"/>
  <c r="C933"/>
  <c r="I933" s="1"/>
  <c r="J990"/>
  <c r="F926"/>
  <c r="C921"/>
  <c r="E920"/>
  <c r="D920"/>
  <c r="C919"/>
  <c r="C916"/>
  <c r="C897" s="1"/>
  <c r="F907"/>
  <c r="C905"/>
  <c r="N904"/>
  <c r="N903"/>
  <c r="N901"/>
  <c r="N900"/>
  <c r="C900"/>
  <c r="N899"/>
  <c r="N897"/>
  <c r="N896"/>
  <c r="N906" s="1"/>
  <c r="F889"/>
  <c r="F886"/>
  <c r="C886"/>
  <c r="F885"/>
  <c r="C885"/>
  <c r="F884"/>
  <c r="C884"/>
  <c r="N883"/>
  <c r="L883"/>
  <c r="I883"/>
  <c r="F883"/>
  <c r="I882"/>
  <c r="F882"/>
  <c r="C881"/>
  <c r="C888" s="1"/>
  <c r="C879"/>
  <c r="I879" s="1"/>
  <c r="I878"/>
  <c r="F878"/>
  <c r="F877"/>
  <c r="C877"/>
  <c r="I877" s="1"/>
  <c r="J876"/>
  <c r="C876"/>
  <c r="I875"/>
  <c r="F875"/>
  <c r="I874"/>
  <c r="F874"/>
  <c r="F867"/>
  <c r="C865"/>
  <c r="I864"/>
  <c r="F864"/>
  <c r="I863"/>
  <c r="F863"/>
  <c r="I862"/>
  <c r="F862"/>
  <c r="I861"/>
  <c r="F861"/>
  <c r="I859"/>
  <c r="F859"/>
  <c r="I858"/>
  <c r="F858"/>
  <c r="I856"/>
  <c r="F856"/>
  <c r="I855"/>
  <c r="F855"/>
  <c r="I854"/>
  <c r="F854"/>
  <c r="I853"/>
  <c r="F853"/>
  <c r="I852"/>
  <c r="F852"/>
  <c r="I850"/>
  <c r="F850"/>
  <c r="I849"/>
  <c r="F849"/>
  <c r="I848"/>
  <c r="F848"/>
  <c r="I847"/>
  <c r="F847"/>
  <c r="I845"/>
  <c r="F845"/>
  <c r="I842"/>
  <c r="C842"/>
  <c r="F842" s="1"/>
  <c r="F841"/>
  <c r="C841"/>
  <c r="C866" s="1"/>
  <c r="I839"/>
  <c r="C839"/>
  <c r="F839" s="1"/>
  <c r="F838"/>
  <c r="C838"/>
  <c r="I838" s="1"/>
  <c r="I836"/>
  <c r="C836"/>
  <c r="F836" s="1"/>
  <c r="F835"/>
  <c r="C835"/>
  <c r="I835" s="1"/>
  <c r="I834"/>
  <c r="F834"/>
  <c r="C833"/>
  <c r="F833" s="1"/>
  <c r="F832"/>
  <c r="C832"/>
  <c r="I832" s="1"/>
  <c r="C830"/>
  <c r="F830" s="1"/>
  <c r="C828"/>
  <c r="C827"/>
  <c r="I825"/>
  <c r="F825"/>
  <c r="C824"/>
  <c r="F824" s="1"/>
  <c r="J823"/>
  <c r="C823"/>
  <c r="I823" s="1"/>
  <c r="F821"/>
  <c r="C821"/>
  <c r="F814"/>
  <c r="C812"/>
  <c r="I811"/>
  <c r="F811"/>
  <c r="I810"/>
  <c r="F810"/>
  <c r="I809"/>
  <c r="F809"/>
  <c r="I808"/>
  <c r="F808"/>
  <c r="I806"/>
  <c r="F806"/>
  <c r="I805"/>
  <c r="F805"/>
  <c r="I803"/>
  <c r="F803"/>
  <c r="I802"/>
  <c r="F802"/>
  <c r="I801"/>
  <c r="F801"/>
  <c r="I800"/>
  <c r="F800"/>
  <c r="I799"/>
  <c r="F799"/>
  <c r="I797"/>
  <c r="F797"/>
  <c r="I796"/>
  <c r="F796"/>
  <c r="I795"/>
  <c r="F795"/>
  <c r="I794"/>
  <c r="F794"/>
  <c r="I792"/>
  <c r="F792"/>
  <c r="C789"/>
  <c r="I789" s="1"/>
  <c r="I735" s="1"/>
  <c r="F788"/>
  <c r="C813"/>
  <c r="C787"/>
  <c r="F786"/>
  <c r="C786"/>
  <c r="I786" s="1"/>
  <c r="I732" s="1"/>
  <c r="C785"/>
  <c r="I785" s="1"/>
  <c r="I731" s="1"/>
  <c r="F783"/>
  <c r="C783"/>
  <c r="I783" s="1"/>
  <c r="I729" s="1"/>
  <c r="C782"/>
  <c r="I782" s="1"/>
  <c r="I728" s="1"/>
  <c r="I781"/>
  <c r="F781"/>
  <c r="F780"/>
  <c r="C780"/>
  <c r="I780" s="1"/>
  <c r="C779"/>
  <c r="I779" s="1"/>
  <c r="I725" s="1"/>
  <c r="F777"/>
  <c r="C777"/>
  <c r="I777" s="1"/>
  <c r="C775"/>
  <c r="C774"/>
  <c r="I772"/>
  <c r="F772"/>
  <c r="F771"/>
  <c r="C771"/>
  <c r="I771" s="1"/>
  <c r="J770"/>
  <c r="J794" s="1"/>
  <c r="L794" s="1"/>
  <c r="C770"/>
  <c r="C773" s="1"/>
  <c r="F768"/>
  <c r="C768"/>
  <c r="I768" s="1"/>
  <c r="F761"/>
  <c r="C759"/>
  <c r="J864"/>
  <c r="L864" s="1"/>
  <c r="I758"/>
  <c r="F758"/>
  <c r="C758"/>
  <c r="J810"/>
  <c r="L810" s="1"/>
  <c r="I757"/>
  <c r="F757"/>
  <c r="C757"/>
  <c r="I756"/>
  <c r="F756"/>
  <c r="C756"/>
  <c r="I755"/>
  <c r="F755"/>
  <c r="C755"/>
  <c r="I753"/>
  <c r="F753"/>
  <c r="C753"/>
  <c r="I752"/>
  <c r="F752"/>
  <c r="C752"/>
  <c r="I750"/>
  <c r="F750"/>
  <c r="C750"/>
  <c r="I749"/>
  <c r="F749"/>
  <c r="C749"/>
  <c r="I748"/>
  <c r="F748"/>
  <c r="C748"/>
  <c r="I747"/>
  <c r="F747"/>
  <c r="C747"/>
  <c r="I746"/>
  <c r="F746"/>
  <c r="C746"/>
  <c r="I744"/>
  <c r="F744"/>
  <c r="C744"/>
  <c r="I743"/>
  <c r="F743"/>
  <c r="C743"/>
  <c r="I742"/>
  <c r="F742"/>
  <c r="C742"/>
  <c r="J741"/>
  <c r="N741" s="1"/>
  <c r="I741"/>
  <c r="F741"/>
  <c r="C741"/>
  <c r="I739"/>
  <c r="F739"/>
  <c r="C739"/>
  <c r="G737"/>
  <c r="Q735"/>
  <c r="J735"/>
  <c r="J842" s="1"/>
  <c r="J862" s="1"/>
  <c r="L862" s="1"/>
  <c r="C735"/>
  <c r="F734"/>
  <c r="C734"/>
  <c r="C733"/>
  <c r="F732"/>
  <c r="C732"/>
  <c r="C731"/>
  <c r="F729"/>
  <c r="C729"/>
  <c r="C728"/>
  <c r="J727"/>
  <c r="J748" s="1"/>
  <c r="N748" s="1"/>
  <c r="I727"/>
  <c r="F727"/>
  <c r="C727"/>
  <c r="Q726"/>
  <c r="J726"/>
  <c r="F726"/>
  <c r="C726"/>
  <c r="J725"/>
  <c r="V17" i="8" s="1"/>
  <c r="C725" i="2"/>
  <c r="Q723"/>
  <c r="J723"/>
  <c r="J830" s="1"/>
  <c r="J838" s="1"/>
  <c r="F723"/>
  <c r="C723"/>
  <c r="C721"/>
  <c r="C720"/>
  <c r="Q718"/>
  <c r="J718"/>
  <c r="I718"/>
  <c r="F718"/>
  <c r="C718"/>
  <c r="J717"/>
  <c r="J742" s="1"/>
  <c r="N742" s="1"/>
  <c r="F717"/>
  <c r="C717"/>
  <c r="N716"/>
  <c r="C716"/>
  <c r="J714"/>
  <c r="J821" s="1"/>
  <c r="F714"/>
  <c r="C714"/>
  <c r="F707"/>
  <c r="C704"/>
  <c r="C702"/>
  <c r="I702" s="1"/>
  <c r="F701"/>
  <c r="C701"/>
  <c r="I701" s="1"/>
  <c r="C700"/>
  <c r="I700" s="1"/>
  <c r="F699"/>
  <c r="C699"/>
  <c r="I699" s="1"/>
  <c r="C698"/>
  <c r="I698" s="1"/>
  <c r="F697"/>
  <c r="C697"/>
  <c r="I697" s="1"/>
  <c r="C696"/>
  <c r="I696" s="1"/>
  <c r="F695"/>
  <c r="C695"/>
  <c r="C703" s="1"/>
  <c r="C694"/>
  <c r="I694" s="1"/>
  <c r="F693"/>
  <c r="C693"/>
  <c r="I693" s="1"/>
  <c r="I692"/>
  <c r="F692"/>
  <c r="C688"/>
  <c r="I688" s="1"/>
  <c r="C686"/>
  <c r="F684"/>
  <c r="C684"/>
  <c r="I684" s="1"/>
  <c r="C683"/>
  <c r="I683" s="1"/>
  <c r="F681"/>
  <c r="C681"/>
  <c r="I681" s="1"/>
  <c r="C680"/>
  <c r="I680" s="1"/>
  <c r="C678"/>
  <c r="I678" s="1"/>
  <c r="F677"/>
  <c r="C677"/>
  <c r="I677" s="1"/>
  <c r="C676"/>
  <c r="I676" s="1"/>
  <c r="F669"/>
  <c r="C666"/>
  <c r="F665"/>
  <c r="I665"/>
  <c r="I664"/>
  <c r="I626" s="1"/>
  <c r="F663"/>
  <c r="I663"/>
  <c r="I625" s="1"/>
  <c r="I662"/>
  <c r="I624" s="1"/>
  <c r="F661"/>
  <c r="I661"/>
  <c r="I623" s="1"/>
  <c r="C660"/>
  <c r="I660" s="1"/>
  <c r="I622" s="1"/>
  <c r="F659"/>
  <c r="I659"/>
  <c r="I621" s="1"/>
  <c r="I658"/>
  <c r="I620" s="1"/>
  <c r="F657"/>
  <c r="C657"/>
  <c r="I657" s="1"/>
  <c r="I656"/>
  <c r="I618" s="1"/>
  <c r="F655"/>
  <c r="C655"/>
  <c r="I655" s="1"/>
  <c r="I617" s="1"/>
  <c r="I654"/>
  <c r="F654"/>
  <c r="I650"/>
  <c r="I610" s="1"/>
  <c r="F646"/>
  <c r="C646"/>
  <c r="I646" s="1"/>
  <c r="I606" s="1"/>
  <c r="I645"/>
  <c r="I605" s="1"/>
  <c r="F643"/>
  <c r="I643"/>
  <c r="I603" s="1"/>
  <c r="C642"/>
  <c r="I642" s="1"/>
  <c r="I602" s="1"/>
  <c r="I640"/>
  <c r="I600" s="1"/>
  <c r="F639"/>
  <c r="C639"/>
  <c r="I639" s="1"/>
  <c r="I599" s="1"/>
  <c r="C638"/>
  <c r="I638" s="1"/>
  <c r="F631"/>
  <c r="C628"/>
  <c r="J703"/>
  <c r="L703" s="1"/>
  <c r="J702"/>
  <c r="L702" s="1"/>
  <c r="C626"/>
  <c r="F625"/>
  <c r="C625"/>
  <c r="C624"/>
  <c r="F623"/>
  <c r="C623"/>
  <c r="C622"/>
  <c r="F621"/>
  <c r="C621"/>
  <c r="C620"/>
  <c r="F619"/>
  <c r="C619"/>
  <c r="C618"/>
  <c r="F617"/>
  <c r="C617"/>
  <c r="I616"/>
  <c r="F616"/>
  <c r="C616"/>
  <c r="G614"/>
  <c r="G613"/>
  <c r="C610"/>
  <c r="C608"/>
  <c r="F606"/>
  <c r="C606"/>
  <c r="C605"/>
  <c r="J603"/>
  <c r="J681" s="1"/>
  <c r="F603"/>
  <c r="C603"/>
  <c r="C602"/>
  <c r="C600"/>
  <c r="J599"/>
  <c r="J677" s="1"/>
  <c r="F599"/>
  <c r="C599"/>
  <c r="Q598"/>
  <c r="J598"/>
  <c r="J676" s="1"/>
  <c r="C598"/>
  <c r="C601" s="1"/>
  <c r="C590"/>
  <c r="C592" s="1"/>
  <c r="C589"/>
  <c r="C588"/>
  <c r="I587"/>
  <c r="F587"/>
  <c r="L584"/>
  <c r="I584"/>
  <c r="F584"/>
  <c r="L583"/>
  <c r="I583"/>
  <c r="F583"/>
  <c r="I582"/>
  <c r="F582"/>
  <c r="I581"/>
  <c r="F581"/>
  <c r="I580"/>
  <c r="F580"/>
  <c r="J579"/>
  <c r="L579" s="1"/>
  <c r="I579"/>
  <c r="F579"/>
  <c r="I578"/>
  <c r="F578"/>
  <c r="I577"/>
  <c r="F577"/>
  <c r="I576"/>
  <c r="F576"/>
  <c r="I575"/>
  <c r="F575"/>
  <c r="J574"/>
  <c r="L574" s="1"/>
  <c r="I574"/>
  <c r="F574"/>
  <c r="J573"/>
  <c r="L573" s="1"/>
  <c r="I573"/>
  <c r="F573"/>
  <c r="C571"/>
  <c r="C570"/>
  <c r="I569"/>
  <c r="F569"/>
  <c r="I568"/>
  <c r="F568"/>
  <c r="I567"/>
  <c r="F567"/>
  <c r="I566"/>
  <c r="F566"/>
  <c r="I564"/>
  <c r="F564"/>
  <c r="J562"/>
  <c r="J577" s="1"/>
  <c r="L577" s="1"/>
  <c r="I562"/>
  <c r="F562"/>
  <c r="I561"/>
  <c r="F561"/>
  <c r="C560"/>
  <c r="I559"/>
  <c r="F559"/>
  <c r="L558"/>
  <c r="J558"/>
  <c r="I558"/>
  <c r="F558"/>
  <c r="L557"/>
  <c r="J557"/>
  <c r="I557"/>
  <c r="I590" s="1"/>
  <c r="I592" s="1"/>
  <c r="F557"/>
  <c r="F590" s="1"/>
  <c r="F592" s="1"/>
  <c r="F549"/>
  <c r="C548"/>
  <c r="C547"/>
  <c r="C546"/>
  <c r="C545"/>
  <c r="I544"/>
  <c r="F544"/>
  <c r="I543"/>
  <c r="F543"/>
  <c r="I542"/>
  <c r="F542"/>
  <c r="I541"/>
  <c r="F541"/>
  <c r="I540"/>
  <c r="F540"/>
  <c r="I539"/>
  <c r="F539"/>
  <c r="I538"/>
  <c r="F538"/>
  <c r="I537"/>
  <c r="F537"/>
  <c r="I536"/>
  <c r="F536"/>
  <c r="I535"/>
  <c r="F535"/>
  <c r="C533"/>
  <c r="C532"/>
  <c r="C531"/>
  <c r="I530"/>
  <c r="F530"/>
  <c r="I529"/>
  <c r="F529"/>
  <c r="I528"/>
  <c r="F528"/>
  <c r="I527"/>
  <c r="F527"/>
  <c r="I526"/>
  <c r="F526"/>
  <c r="C524"/>
  <c r="I523"/>
  <c r="F523"/>
  <c r="I522"/>
  <c r="F522"/>
  <c r="I521"/>
  <c r="I548" s="1"/>
  <c r="F521"/>
  <c r="F548" s="1"/>
  <c r="F550" s="1"/>
  <c r="F514"/>
  <c r="C512"/>
  <c r="C511"/>
  <c r="C510"/>
  <c r="I509"/>
  <c r="F509"/>
  <c r="I508"/>
  <c r="F508"/>
  <c r="I507"/>
  <c r="F507"/>
  <c r="I506"/>
  <c r="F506"/>
  <c r="I505"/>
  <c r="F505"/>
  <c r="I504"/>
  <c r="F504"/>
  <c r="I503"/>
  <c r="F503"/>
  <c r="I502"/>
  <c r="F502"/>
  <c r="I501"/>
  <c r="F501"/>
  <c r="I500"/>
  <c r="F500"/>
  <c r="C498"/>
  <c r="I495"/>
  <c r="F495"/>
  <c r="I494"/>
  <c r="F494"/>
  <c r="F459" s="1"/>
  <c r="F177" s="1"/>
  <c r="F493"/>
  <c r="C493"/>
  <c r="C497" s="1"/>
  <c r="C492"/>
  <c r="I492" s="1"/>
  <c r="I457" s="1"/>
  <c r="I491"/>
  <c r="F491"/>
  <c r="C490"/>
  <c r="C489"/>
  <c r="I488"/>
  <c r="F488"/>
  <c r="F453" s="1"/>
  <c r="F167" s="1"/>
  <c r="I487"/>
  <c r="F487"/>
  <c r="I486"/>
  <c r="F486"/>
  <c r="F451" s="1"/>
  <c r="F165" s="1"/>
  <c r="F479"/>
  <c r="C477"/>
  <c r="C476"/>
  <c r="C475"/>
  <c r="I474"/>
  <c r="F474"/>
  <c r="I473"/>
  <c r="F473"/>
  <c r="I472"/>
  <c r="F472"/>
  <c r="I471"/>
  <c r="F471"/>
  <c r="I470"/>
  <c r="F470"/>
  <c r="I469"/>
  <c r="F469"/>
  <c r="I468"/>
  <c r="F468"/>
  <c r="I467"/>
  <c r="F467"/>
  <c r="I466"/>
  <c r="F466"/>
  <c r="I465"/>
  <c r="F465"/>
  <c r="C463"/>
  <c r="C462"/>
  <c r="I460"/>
  <c r="F460"/>
  <c r="C460"/>
  <c r="I459"/>
  <c r="C459"/>
  <c r="F458"/>
  <c r="C458"/>
  <c r="C457"/>
  <c r="I456"/>
  <c r="F456"/>
  <c r="C456"/>
  <c r="C455"/>
  <c r="C454"/>
  <c r="I453"/>
  <c r="C453"/>
  <c r="I452"/>
  <c r="F452"/>
  <c r="C452"/>
  <c r="I451"/>
  <c r="C451"/>
  <c r="F443"/>
  <c r="C442"/>
  <c r="C441"/>
  <c r="C440"/>
  <c r="C439"/>
  <c r="I438"/>
  <c r="F438"/>
  <c r="I437"/>
  <c r="F437"/>
  <c r="I436"/>
  <c r="F436"/>
  <c r="I435"/>
  <c r="F435"/>
  <c r="I434"/>
  <c r="F434"/>
  <c r="I433"/>
  <c r="F433"/>
  <c r="I432"/>
  <c r="F432"/>
  <c r="I431"/>
  <c r="F431"/>
  <c r="I430"/>
  <c r="F430"/>
  <c r="I429"/>
  <c r="F429"/>
  <c r="C427"/>
  <c r="C426"/>
  <c r="C425"/>
  <c r="I424"/>
  <c r="F424"/>
  <c r="I423"/>
  <c r="F423"/>
  <c r="I422"/>
  <c r="F422"/>
  <c r="F421"/>
  <c r="C421"/>
  <c r="I421" s="1"/>
  <c r="I420"/>
  <c r="F420"/>
  <c r="C418"/>
  <c r="I417"/>
  <c r="F417"/>
  <c r="I416"/>
  <c r="F416"/>
  <c r="I415"/>
  <c r="I442" s="1"/>
  <c r="F415"/>
  <c r="F442" s="1"/>
  <c r="F444" s="1"/>
  <c r="F408"/>
  <c r="C406"/>
  <c r="C405"/>
  <c r="C404"/>
  <c r="I403"/>
  <c r="F403"/>
  <c r="I402"/>
  <c r="F402"/>
  <c r="I401"/>
  <c r="F401"/>
  <c r="I400"/>
  <c r="F400"/>
  <c r="I399"/>
  <c r="F399"/>
  <c r="I398"/>
  <c r="F398"/>
  <c r="I397"/>
  <c r="F397"/>
  <c r="I396"/>
  <c r="F396"/>
  <c r="I395"/>
  <c r="F395"/>
  <c r="I394"/>
  <c r="F394"/>
  <c r="C392"/>
  <c r="C390"/>
  <c r="I389"/>
  <c r="F389"/>
  <c r="F388"/>
  <c r="C388"/>
  <c r="I388" s="1"/>
  <c r="C387"/>
  <c r="C407" s="1"/>
  <c r="F386"/>
  <c r="C386"/>
  <c r="I386" s="1"/>
  <c r="I385"/>
  <c r="F385"/>
  <c r="C384"/>
  <c r="I382"/>
  <c r="F382"/>
  <c r="I381"/>
  <c r="F381"/>
  <c r="C380"/>
  <c r="I380" s="1"/>
  <c r="F373"/>
  <c r="I368"/>
  <c r="F368"/>
  <c r="I367"/>
  <c r="F367"/>
  <c r="I366"/>
  <c r="F366"/>
  <c r="I365"/>
  <c r="F365"/>
  <c r="I364"/>
  <c r="F364"/>
  <c r="I363"/>
  <c r="F363"/>
  <c r="I362"/>
  <c r="F362"/>
  <c r="I361"/>
  <c r="F361"/>
  <c r="I360"/>
  <c r="F360"/>
  <c r="I359"/>
  <c r="F359"/>
  <c r="C357"/>
  <c r="C355"/>
  <c r="F354"/>
  <c r="C354"/>
  <c r="I354" s="1"/>
  <c r="F353"/>
  <c r="C353"/>
  <c r="I353" s="1"/>
  <c r="C352"/>
  <c r="I352" s="1"/>
  <c r="F351"/>
  <c r="C351"/>
  <c r="I351" s="1"/>
  <c r="I175" s="1"/>
  <c r="F350"/>
  <c r="C350"/>
  <c r="I350" s="1"/>
  <c r="I174" s="1"/>
  <c r="C349"/>
  <c r="F347"/>
  <c r="C347"/>
  <c r="I347" s="1"/>
  <c r="I171" s="1"/>
  <c r="F346"/>
  <c r="C346"/>
  <c r="C348" s="1"/>
  <c r="C345"/>
  <c r="I345" s="1"/>
  <c r="I169" s="1"/>
  <c r="F338"/>
  <c r="C337"/>
  <c r="C336"/>
  <c r="C335"/>
  <c r="C334"/>
  <c r="F333"/>
  <c r="C333"/>
  <c r="I333" s="1"/>
  <c r="C332"/>
  <c r="I332" s="1"/>
  <c r="I229" s="1"/>
  <c r="I194" s="1"/>
  <c r="I331"/>
  <c r="F331"/>
  <c r="I330"/>
  <c r="F330"/>
  <c r="I329"/>
  <c r="F329"/>
  <c r="I328"/>
  <c r="F328"/>
  <c r="I327"/>
  <c r="F327"/>
  <c r="I326"/>
  <c r="F326"/>
  <c r="I325"/>
  <c r="F325"/>
  <c r="I324"/>
  <c r="F324"/>
  <c r="C322"/>
  <c r="C321"/>
  <c r="C320"/>
  <c r="I319"/>
  <c r="F319"/>
  <c r="I318"/>
  <c r="F318"/>
  <c r="I317"/>
  <c r="F317"/>
  <c r="I316"/>
  <c r="F316"/>
  <c r="I315"/>
  <c r="F315"/>
  <c r="C314"/>
  <c r="I313"/>
  <c r="F313"/>
  <c r="I312"/>
  <c r="F312"/>
  <c r="I311"/>
  <c r="F311"/>
  <c r="F304"/>
  <c r="C303"/>
  <c r="C305" s="1"/>
  <c r="C302"/>
  <c r="C301"/>
  <c r="C300"/>
  <c r="C299"/>
  <c r="I299" s="1"/>
  <c r="I230" s="1"/>
  <c r="I195" s="1"/>
  <c r="I298"/>
  <c r="F298"/>
  <c r="I297"/>
  <c r="F297"/>
  <c r="I296"/>
  <c r="F296"/>
  <c r="I295"/>
  <c r="F295"/>
  <c r="I294"/>
  <c r="F294"/>
  <c r="I293"/>
  <c r="F293"/>
  <c r="I292"/>
  <c r="F292"/>
  <c r="I291"/>
  <c r="F291"/>
  <c r="I290"/>
  <c r="F290"/>
  <c r="C288"/>
  <c r="C287"/>
  <c r="C286"/>
  <c r="I285"/>
  <c r="F285"/>
  <c r="I284"/>
  <c r="F284"/>
  <c r="I283"/>
  <c r="F283"/>
  <c r="I282"/>
  <c r="F282"/>
  <c r="I281"/>
  <c r="F281"/>
  <c r="C280"/>
  <c r="I279"/>
  <c r="F279"/>
  <c r="I278"/>
  <c r="F278"/>
  <c r="I277"/>
  <c r="I303" s="1"/>
  <c r="F277"/>
  <c r="F269"/>
  <c r="C267"/>
  <c r="C266"/>
  <c r="C265"/>
  <c r="I264"/>
  <c r="F264"/>
  <c r="I263"/>
  <c r="F263"/>
  <c r="I262"/>
  <c r="F262"/>
  <c r="I261"/>
  <c r="F261"/>
  <c r="I260"/>
  <c r="F260"/>
  <c r="I259"/>
  <c r="F259"/>
  <c r="C258"/>
  <c r="I258" s="1"/>
  <c r="I224" s="1"/>
  <c r="I189" s="1"/>
  <c r="I257"/>
  <c r="F257"/>
  <c r="I256"/>
  <c r="F256"/>
  <c r="I255"/>
  <c r="F255"/>
  <c r="C254"/>
  <c r="C252"/>
  <c r="C251"/>
  <c r="F250"/>
  <c r="C250"/>
  <c r="I250" s="1"/>
  <c r="I216" s="1"/>
  <c r="I178" s="1"/>
  <c r="C268"/>
  <c r="I248"/>
  <c r="F248"/>
  <c r="I247"/>
  <c r="F247"/>
  <c r="I246"/>
  <c r="F246"/>
  <c r="C245"/>
  <c r="I244"/>
  <c r="F244"/>
  <c r="I243"/>
  <c r="F243"/>
  <c r="I242"/>
  <c r="F242"/>
  <c r="F235"/>
  <c r="C233"/>
  <c r="C232"/>
  <c r="C231"/>
  <c r="C230"/>
  <c r="C229"/>
  <c r="I228"/>
  <c r="F228"/>
  <c r="C228"/>
  <c r="I227"/>
  <c r="F227"/>
  <c r="C227"/>
  <c r="I226"/>
  <c r="F226"/>
  <c r="C226"/>
  <c r="I225"/>
  <c r="F225"/>
  <c r="C225"/>
  <c r="F224"/>
  <c r="C224"/>
  <c r="I223"/>
  <c r="F223"/>
  <c r="C223"/>
  <c r="I222"/>
  <c r="F222"/>
  <c r="C222"/>
  <c r="I221"/>
  <c r="F221"/>
  <c r="C221"/>
  <c r="C218"/>
  <c r="C217"/>
  <c r="F216"/>
  <c r="C216"/>
  <c r="F215"/>
  <c r="C215"/>
  <c r="I214"/>
  <c r="F214"/>
  <c r="C214"/>
  <c r="I213"/>
  <c r="F213"/>
  <c r="C213"/>
  <c r="I212"/>
  <c r="F212"/>
  <c r="C212"/>
  <c r="I210"/>
  <c r="F210"/>
  <c r="C210"/>
  <c r="I209"/>
  <c r="F209"/>
  <c r="C209"/>
  <c r="I208"/>
  <c r="F208"/>
  <c r="C208"/>
  <c r="C211" s="1"/>
  <c r="C173" s="1"/>
  <c r="I22" i="1" s="1"/>
  <c r="F200" i="2"/>
  <c r="C198"/>
  <c r="C197"/>
  <c r="C196"/>
  <c r="J438"/>
  <c r="L438" s="1"/>
  <c r="C195"/>
  <c r="J437"/>
  <c r="L437" s="1"/>
  <c r="C194"/>
  <c r="I193"/>
  <c r="F193"/>
  <c r="C193"/>
  <c r="I192"/>
  <c r="F192"/>
  <c r="C192"/>
  <c r="I191"/>
  <c r="F191"/>
  <c r="C191"/>
  <c r="I190"/>
  <c r="F190"/>
  <c r="C190"/>
  <c r="F189"/>
  <c r="C189"/>
  <c r="I188"/>
  <c r="F188"/>
  <c r="C188"/>
  <c r="I187"/>
  <c r="F187"/>
  <c r="C187"/>
  <c r="I186"/>
  <c r="F186"/>
  <c r="C186"/>
  <c r="G184"/>
  <c r="G183"/>
  <c r="G182"/>
  <c r="Q178"/>
  <c r="J178"/>
  <c r="J530" s="1"/>
  <c r="F178"/>
  <c r="C178"/>
  <c r="C177"/>
  <c r="C176"/>
  <c r="C175"/>
  <c r="Q174"/>
  <c r="J174"/>
  <c r="J526" s="1"/>
  <c r="F174"/>
  <c r="C174"/>
  <c r="J171"/>
  <c r="J417" s="1"/>
  <c r="F171"/>
  <c r="C171"/>
  <c r="Q170"/>
  <c r="J170"/>
  <c r="J416" s="1"/>
  <c r="F170"/>
  <c r="C170"/>
  <c r="C172" s="1"/>
  <c r="J169"/>
  <c r="J415" s="1"/>
  <c r="C169"/>
  <c r="I167"/>
  <c r="C167"/>
  <c r="J166"/>
  <c r="J522" s="1"/>
  <c r="I166"/>
  <c r="F166"/>
  <c r="C166"/>
  <c r="I165"/>
  <c r="C165"/>
  <c r="F158"/>
  <c r="C157"/>
  <c r="C155"/>
  <c r="I154"/>
  <c r="F154"/>
  <c r="I153"/>
  <c r="F153"/>
  <c r="J152"/>
  <c r="J154" s="1"/>
  <c r="L154" s="1"/>
  <c r="I152"/>
  <c r="F152"/>
  <c r="F151"/>
  <c r="C151"/>
  <c r="C156" s="1"/>
  <c r="I150"/>
  <c r="F150"/>
  <c r="L149"/>
  <c r="J149"/>
  <c r="I149"/>
  <c r="F149"/>
  <c r="F157" s="1"/>
  <c r="F159" s="1"/>
  <c r="F143"/>
  <c r="I139"/>
  <c r="F139"/>
  <c r="C138"/>
  <c r="I138" s="1"/>
  <c r="I91" s="1"/>
  <c r="J137"/>
  <c r="J139" s="1"/>
  <c r="L139" s="1"/>
  <c r="F137"/>
  <c r="C137"/>
  <c r="I137" s="1"/>
  <c r="I90" s="1"/>
  <c r="C141"/>
  <c r="F135"/>
  <c r="C142"/>
  <c r="J134"/>
  <c r="C134"/>
  <c r="L134" s="1"/>
  <c r="F128"/>
  <c r="C125"/>
  <c r="F124"/>
  <c r="F123"/>
  <c r="J122"/>
  <c r="J124" s="1"/>
  <c r="L124" s="1"/>
  <c r="F122"/>
  <c r="C127"/>
  <c r="F120"/>
  <c r="I120"/>
  <c r="L119"/>
  <c r="J119"/>
  <c r="I119"/>
  <c r="F119"/>
  <c r="F113"/>
  <c r="F98" s="1"/>
  <c r="F109"/>
  <c r="F108"/>
  <c r="L107"/>
  <c r="J107"/>
  <c r="J109" s="1"/>
  <c r="L109" s="1"/>
  <c r="F107"/>
  <c r="I105"/>
  <c r="J104"/>
  <c r="L104" s="1"/>
  <c r="F104"/>
  <c r="C104"/>
  <c r="I104" s="1"/>
  <c r="G96"/>
  <c r="G95"/>
  <c r="J92"/>
  <c r="N92" s="1"/>
  <c r="I92"/>
  <c r="F92"/>
  <c r="C92"/>
  <c r="Q91"/>
  <c r="J91"/>
  <c r="J153" s="1"/>
  <c r="L153" s="1"/>
  <c r="C91"/>
  <c r="Q90"/>
  <c r="N90"/>
  <c r="F90"/>
  <c r="C90"/>
  <c r="J89"/>
  <c r="S88"/>
  <c r="J88"/>
  <c r="C88"/>
  <c r="C93" s="1"/>
  <c r="Q87"/>
  <c r="N87"/>
  <c r="N97" s="1"/>
  <c r="C87"/>
  <c r="F81"/>
  <c r="C80"/>
  <c r="C79"/>
  <c r="C78"/>
  <c r="F77"/>
  <c r="C77"/>
  <c r="I77" s="1"/>
  <c r="C76"/>
  <c r="I76" s="1"/>
  <c r="F75"/>
  <c r="C75"/>
  <c r="I75" s="1"/>
  <c r="C74"/>
  <c r="I74" s="1"/>
  <c r="F72"/>
  <c r="C72"/>
  <c r="I72" s="1"/>
  <c r="C71"/>
  <c r="I71" s="1"/>
  <c r="F70"/>
  <c r="C70"/>
  <c r="I70" s="1"/>
  <c r="I80" s="1"/>
  <c r="F63"/>
  <c r="C62"/>
  <c r="C64" s="1"/>
  <c r="C61"/>
  <c r="C60"/>
  <c r="C59"/>
  <c r="I59" s="1"/>
  <c r="F58"/>
  <c r="C58"/>
  <c r="I58" s="1"/>
  <c r="C57"/>
  <c r="I57" s="1"/>
  <c r="F56"/>
  <c r="C56"/>
  <c r="I56" s="1"/>
  <c r="C54"/>
  <c r="I54" s="1"/>
  <c r="I18" s="1"/>
  <c r="F53"/>
  <c r="C53"/>
  <c r="I53" s="1"/>
  <c r="C52"/>
  <c r="I52" s="1"/>
  <c r="F45"/>
  <c r="C44"/>
  <c r="C43"/>
  <c r="C42"/>
  <c r="C24" s="1"/>
  <c r="J24" s="1"/>
  <c r="F41"/>
  <c r="C41"/>
  <c r="I41" s="1"/>
  <c r="C40"/>
  <c r="I40" s="1"/>
  <c r="I22" s="1"/>
  <c r="F39"/>
  <c r="C39"/>
  <c r="I39" s="1"/>
  <c r="I21" s="1"/>
  <c r="C38"/>
  <c r="I38" s="1"/>
  <c r="I20" s="1"/>
  <c r="I36"/>
  <c r="F36"/>
  <c r="F35"/>
  <c r="C35"/>
  <c r="I35" s="1"/>
  <c r="C34"/>
  <c r="I34" s="1"/>
  <c r="F27"/>
  <c r="C26"/>
  <c r="C25"/>
  <c r="J23"/>
  <c r="J77" s="1"/>
  <c r="L77" s="1"/>
  <c r="C23"/>
  <c r="J22"/>
  <c r="J58" s="1"/>
  <c r="L58" s="1"/>
  <c r="J21"/>
  <c r="J75" s="1"/>
  <c r="L75" s="1"/>
  <c r="C21"/>
  <c r="J20"/>
  <c r="J56" s="1"/>
  <c r="L56" s="1"/>
  <c r="J18"/>
  <c r="J72" s="1"/>
  <c r="L72" s="1"/>
  <c r="C18"/>
  <c r="J17"/>
  <c r="J53" s="1"/>
  <c r="L53" s="1"/>
  <c r="C17"/>
  <c r="J16"/>
  <c r="J70" s="1"/>
  <c r="L70" s="1"/>
  <c r="N42" i="1"/>
  <c r="K42"/>
  <c r="H42"/>
  <c r="S39"/>
  <c r="I39"/>
  <c r="I38"/>
  <c r="I37"/>
  <c r="S36"/>
  <c r="I36"/>
  <c r="I35"/>
  <c r="I42" s="1"/>
  <c r="N32"/>
  <c r="N44" s="1"/>
  <c r="N48" s="1"/>
  <c r="K32"/>
  <c r="K44" s="1"/>
  <c r="K48" s="1"/>
  <c r="H32"/>
  <c r="H44" s="1"/>
  <c r="H48" s="1"/>
  <c r="I29"/>
  <c r="I26"/>
  <c r="I24"/>
  <c r="AA23"/>
  <c r="B22"/>
  <c r="N19"/>
  <c r="K19"/>
  <c r="H19"/>
  <c r="B19"/>
  <c r="I16"/>
  <c r="I19" s="1"/>
  <c r="I44" i="2" l="1"/>
  <c r="I16"/>
  <c r="I17"/>
  <c r="I23"/>
  <c r="J60"/>
  <c r="L60" s="1"/>
  <c r="J78"/>
  <c r="L78" s="1"/>
  <c r="J42"/>
  <c r="L42" s="1"/>
  <c r="L24" s="1"/>
  <c r="S35" i="1" s="1"/>
  <c r="I62" i="2"/>
  <c r="L92"/>
  <c r="J430"/>
  <c r="L430" s="1"/>
  <c r="L416"/>
  <c r="J431"/>
  <c r="L431" s="1"/>
  <c r="L417"/>
  <c r="I337"/>
  <c r="L87"/>
  <c r="J429"/>
  <c r="L429" s="1"/>
  <c r="L415"/>
  <c r="C234"/>
  <c r="C409"/>
  <c r="C372"/>
  <c r="B23" i="1"/>
  <c r="B24"/>
  <c r="B26" s="1"/>
  <c r="C16" i="2"/>
  <c r="C20"/>
  <c r="C22"/>
  <c r="F34"/>
  <c r="J34"/>
  <c r="L34" s="1"/>
  <c r="F38"/>
  <c r="J38"/>
  <c r="L38" s="1"/>
  <c r="F40"/>
  <c r="J40"/>
  <c r="L40" s="1"/>
  <c r="F52"/>
  <c r="J52"/>
  <c r="L52" s="1"/>
  <c r="F54"/>
  <c r="F18" s="1"/>
  <c r="J54"/>
  <c r="L54" s="1"/>
  <c r="F57"/>
  <c r="F21" s="1"/>
  <c r="J57"/>
  <c r="L57" s="1"/>
  <c r="F59"/>
  <c r="F23" s="1"/>
  <c r="J59"/>
  <c r="L59" s="1"/>
  <c r="F71"/>
  <c r="F17" s="1"/>
  <c r="J71"/>
  <c r="L71" s="1"/>
  <c r="L80" s="1"/>
  <c r="F74"/>
  <c r="J74"/>
  <c r="L74" s="1"/>
  <c r="F76"/>
  <c r="J76"/>
  <c r="L76" s="1"/>
  <c r="N88"/>
  <c r="N89"/>
  <c r="S89"/>
  <c r="N91"/>
  <c r="Q92"/>
  <c r="F105"/>
  <c r="F88" s="1"/>
  <c r="J105"/>
  <c r="L105" s="1"/>
  <c r="C110"/>
  <c r="C112"/>
  <c r="F121"/>
  <c r="F127" s="1"/>
  <c r="F129" s="1"/>
  <c r="J121"/>
  <c r="L121" s="1"/>
  <c r="L122"/>
  <c r="J123"/>
  <c r="L123" s="1"/>
  <c r="C126"/>
  <c r="F134"/>
  <c r="I135"/>
  <c r="I88" s="1"/>
  <c r="F136"/>
  <c r="J136"/>
  <c r="L136" s="1"/>
  <c r="L137"/>
  <c r="F138"/>
  <c r="F91" s="1"/>
  <c r="J138"/>
  <c r="L138" s="1"/>
  <c r="C140"/>
  <c r="J150"/>
  <c r="L150" s="1"/>
  <c r="I151"/>
  <c r="I157" s="1"/>
  <c r="L152"/>
  <c r="J165"/>
  <c r="Q166"/>
  <c r="J167"/>
  <c r="Q169"/>
  <c r="N170"/>
  <c r="Q171"/>
  <c r="J538"/>
  <c r="L538" s="1"/>
  <c r="L526"/>
  <c r="N174"/>
  <c r="J542"/>
  <c r="L542" s="1"/>
  <c r="L530"/>
  <c r="N178"/>
  <c r="J208"/>
  <c r="J210"/>
  <c r="J212"/>
  <c r="J216"/>
  <c r="J228" s="1"/>
  <c r="J229"/>
  <c r="J242"/>
  <c r="J243"/>
  <c r="J244"/>
  <c r="F249"/>
  <c r="F268" s="1"/>
  <c r="F270" s="1"/>
  <c r="F258"/>
  <c r="J263"/>
  <c r="L263" s="1"/>
  <c r="J264"/>
  <c r="L264" s="1"/>
  <c r="J281"/>
  <c r="J285"/>
  <c r="F299"/>
  <c r="F230" s="1"/>
  <c r="F195" s="1"/>
  <c r="J299"/>
  <c r="L299" s="1"/>
  <c r="J315"/>
  <c r="J319"/>
  <c r="F332"/>
  <c r="F229" s="1"/>
  <c r="F194" s="1"/>
  <c r="J332"/>
  <c r="L332" s="1"/>
  <c r="J346"/>
  <c r="J360" s="1"/>
  <c r="J350"/>
  <c r="J362" s="1"/>
  <c r="J354"/>
  <c r="J366" s="1"/>
  <c r="F380"/>
  <c r="J380"/>
  <c r="J381"/>
  <c r="J382"/>
  <c r="C383"/>
  <c r="J385"/>
  <c r="F387"/>
  <c r="F352" s="1"/>
  <c r="F176" s="1"/>
  <c r="C391"/>
  <c r="C356" s="1"/>
  <c r="C180" s="1"/>
  <c r="J402"/>
  <c r="L402" s="1"/>
  <c r="L367" s="1"/>
  <c r="J403"/>
  <c r="L403" s="1"/>
  <c r="L368" s="1"/>
  <c r="J420"/>
  <c r="J487"/>
  <c r="J491"/>
  <c r="J495"/>
  <c r="J696"/>
  <c r="L696" s="1"/>
  <c r="L681"/>
  <c r="F703"/>
  <c r="F627" s="1"/>
  <c r="C627"/>
  <c r="I703"/>
  <c r="I627" s="1"/>
  <c r="J845"/>
  <c r="L845" s="1"/>
  <c r="L821"/>
  <c r="C760"/>
  <c r="B25" i="1"/>
  <c r="B28" s="1"/>
  <c r="N16" i="2"/>
  <c r="N26" s="1"/>
  <c r="N17"/>
  <c r="N18"/>
  <c r="N20"/>
  <c r="N21"/>
  <c r="N22"/>
  <c r="N23"/>
  <c r="J35"/>
  <c r="L35" s="1"/>
  <c r="L17" s="1"/>
  <c r="J36"/>
  <c r="L36" s="1"/>
  <c r="L18" s="1"/>
  <c r="J39"/>
  <c r="L39" s="1"/>
  <c r="L21" s="1"/>
  <c r="J41"/>
  <c r="L41" s="1"/>
  <c r="L23" s="1"/>
  <c r="J106"/>
  <c r="L106" s="1"/>
  <c r="L89" s="1"/>
  <c r="J108"/>
  <c r="L108" s="1"/>
  <c r="L91" s="1"/>
  <c r="J120"/>
  <c r="L120" s="1"/>
  <c r="I121"/>
  <c r="I127" s="1"/>
  <c r="I134"/>
  <c r="J135"/>
  <c r="L135" s="1"/>
  <c r="I136"/>
  <c r="J151"/>
  <c r="L151" s="1"/>
  <c r="J536"/>
  <c r="L536" s="1"/>
  <c r="L522"/>
  <c r="N166"/>
  <c r="N169"/>
  <c r="N171"/>
  <c r="J186"/>
  <c r="N186" s="1"/>
  <c r="J187"/>
  <c r="N187" s="1"/>
  <c r="J188"/>
  <c r="N188" s="1"/>
  <c r="J189"/>
  <c r="N189" s="1"/>
  <c r="J193"/>
  <c r="N193" s="1"/>
  <c r="J543"/>
  <c r="L543" s="1"/>
  <c r="J508"/>
  <c r="L508" s="1"/>
  <c r="J473"/>
  <c r="N194"/>
  <c r="J544"/>
  <c r="L544" s="1"/>
  <c r="J509"/>
  <c r="L509" s="1"/>
  <c r="J474"/>
  <c r="N195"/>
  <c r="J209"/>
  <c r="J230"/>
  <c r="J246"/>
  <c r="I249"/>
  <c r="I215" s="1"/>
  <c r="I177" s="1"/>
  <c r="J250"/>
  <c r="C253"/>
  <c r="C219" s="1"/>
  <c r="C181" s="1"/>
  <c r="J277"/>
  <c r="J278"/>
  <c r="J279"/>
  <c r="J298"/>
  <c r="L298" s="1"/>
  <c r="L229" s="1"/>
  <c r="J311"/>
  <c r="J312"/>
  <c r="J313"/>
  <c r="J333"/>
  <c r="L333" s="1"/>
  <c r="J345"/>
  <c r="J359" s="1"/>
  <c r="I346"/>
  <c r="I170" s="1"/>
  <c r="J347"/>
  <c r="J361" s="1"/>
  <c r="J367"/>
  <c r="J368"/>
  <c r="I387"/>
  <c r="I407" s="1"/>
  <c r="J389"/>
  <c r="J424"/>
  <c r="J452"/>
  <c r="J466" s="1"/>
  <c r="J456"/>
  <c r="J468" s="1"/>
  <c r="J460"/>
  <c r="J472" s="1"/>
  <c r="C513"/>
  <c r="F492"/>
  <c r="F457" s="1"/>
  <c r="F175" s="1"/>
  <c r="C496"/>
  <c r="C461" s="1"/>
  <c r="C179" s="1"/>
  <c r="L676"/>
  <c r="J692"/>
  <c r="L692" s="1"/>
  <c r="J693"/>
  <c r="L693" s="1"/>
  <c r="L677"/>
  <c r="I598"/>
  <c r="L838"/>
  <c r="J858"/>
  <c r="L858" s="1"/>
  <c r="I493"/>
  <c r="I458" s="1"/>
  <c r="I176" s="1"/>
  <c r="L562"/>
  <c r="N598"/>
  <c r="N630" s="1"/>
  <c r="Q599"/>
  <c r="J600"/>
  <c r="J602"/>
  <c r="Q603"/>
  <c r="J605"/>
  <c r="J616"/>
  <c r="N616" s="1"/>
  <c r="J617"/>
  <c r="N617" s="1"/>
  <c r="J620"/>
  <c r="N620" s="1"/>
  <c r="N626"/>
  <c r="N627"/>
  <c r="F638"/>
  <c r="J638"/>
  <c r="F640"/>
  <c r="C641"/>
  <c r="F642"/>
  <c r="F645"/>
  <c r="F648"/>
  <c r="F650"/>
  <c r="C651"/>
  <c r="F656"/>
  <c r="F658"/>
  <c r="F660"/>
  <c r="F662"/>
  <c r="F664"/>
  <c r="J664"/>
  <c r="L664" s="1"/>
  <c r="L626" s="1"/>
  <c r="C667"/>
  <c r="F676"/>
  <c r="F678"/>
  <c r="C679"/>
  <c r="F680"/>
  <c r="F683"/>
  <c r="F686"/>
  <c r="C687"/>
  <c r="F688"/>
  <c r="C689"/>
  <c r="F694"/>
  <c r="I695"/>
  <c r="I619" s="1"/>
  <c r="F696"/>
  <c r="F698"/>
  <c r="F700"/>
  <c r="F702"/>
  <c r="C705"/>
  <c r="N714"/>
  <c r="N760" s="1"/>
  <c r="Q717"/>
  <c r="V21" i="8"/>
  <c r="J825" i="2"/>
  <c r="N718"/>
  <c r="N723"/>
  <c r="Q725"/>
  <c r="V18" i="8"/>
  <c r="J833" i="2"/>
  <c r="N726"/>
  <c r="Q727"/>
  <c r="J728"/>
  <c r="J731"/>
  <c r="J732"/>
  <c r="N735"/>
  <c r="J739"/>
  <c r="N739" s="1"/>
  <c r="J743"/>
  <c r="N743" s="1"/>
  <c r="J744"/>
  <c r="N744" s="1"/>
  <c r="J746"/>
  <c r="N746" s="1"/>
  <c r="J747"/>
  <c r="N747" s="1"/>
  <c r="J756"/>
  <c r="N756" s="1"/>
  <c r="N757"/>
  <c r="N758"/>
  <c r="F770"/>
  <c r="F779"/>
  <c r="F725" s="1"/>
  <c r="J779"/>
  <c r="F782"/>
  <c r="F728" s="1"/>
  <c r="F785"/>
  <c r="F731" s="1"/>
  <c r="I788"/>
  <c r="F789"/>
  <c r="F735" s="1"/>
  <c r="J789"/>
  <c r="C790"/>
  <c r="C826"/>
  <c r="C719" s="1"/>
  <c r="I821"/>
  <c r="F823"/>
  <c r="L823"/>
  <c r="I824"/>
  <c r="I717" s="1"/>
  <c r="I830"/>
  <c r="I723" s="1"/>
  <c r="J832"/>
  <c r="I833"/>
  <c r="I726" s="1"/>
  <c r="L842"/>
  <c r="J850"/>
  <c r="L850" s="1"/>
  <c r="J863"/>
  <c r="L863" s="1"/>
  <c r="L757" s="1"/>
  <c r="J1029"/>
  <c r="L1029" s="1"/>
  <c r="Q990"/>
  <c r="J1011"/>
  <c r="L990"/>
  <c r="I1049"/>
  <c r="I919"/>
  <c r="L1092"/>
  <c r="J1090"/>
  <c r="N599"/>
  <c r="N603"/>
  <c r="J639"/>
  <c r="J643"/>
  <c r="I648"/>
  <c r="J665"/>
  <c r="L665" s="1"/>
  <c r="L627" s="1"/>
  <c r="I686"/>
  <c r="V20" i="8"/>
  <c r="J824" i="2"/>
  <c r="N717"/>
  <c r="M19" i="8"/>
  <c r="Q19" s="1"/>
  <c r="M20"/>
  <c r="Q20" s="1"/>
  <c r="M18"/>
  <c r="N725" i="2"/>
  <c r="V19" i="8"/>
  <c r="J834" i="2"/>
  <c r="N727"/>
  <c r="J729"/>
  <c r="J768"/>
  <c r="I770"/>
  <c r="I716" s="1"/>
  <c r="L770"/>
  <c r="L716" s="1"/>
  <c r="J771"/>
  <c r="J772"/>
  <c r="J777"/>
  <c r="J780"/>
  <c r="J781"/>
  <c r="J811"/>
  <c r="L811" s="1"/>
  <c r="L758" s="1"/>
  <c r="F866"/>
  <c r="F868" s="1"/>
  <c r="L830"/>
  <c r="J847"/>
  <c r="L847" s="1"/>
  <c r="L741" s="1"/>
  <c r="J1037"/>
  <c r="L1037" s="1"/>
  <c r="L998"/>
  <c r="J1019"/>
  <c r="L1019" s="1"/>
  <c r="C1055"/>
  <c r="I841"/>
  <c r="C843"/>
  <c r="F879"/>
  <c r="F888" s="1"/>
  <c r="F890" s="1"/>
  <c r="F881"/>
  <c r="I884"/>
  <c r="I885"/>
  <c r="I886"/>
  <c r="C887"/>
  <c r="F933"/>
  <c r="J933"/>
  <c r="F934"/>
  <c r="J934"/>
  <c r="C936"/>
  <c r="C938"/>
  <c r="C940"/>
  <c r="C941"/>
  <c r="F958"/>
  <c r="F963" s="1"/>
  <c r="I960"/>
  <c r="I963" s="1"/>
  <c r="F961"/>
  <c r="F1054" s="1"/>
  <c r="F923" s="1"/>
  <c r="F904" s="1"/>
  <c r="F971"/>
  <c r="C973"/>
  <c r="C935" s="1"/>
  <c r="F974"/>
  <c r="F1068" s="1"/>
  <c r="F978"/>
  <c r="F1072" s="1"/>
  <c r="C981"/>
  <c r="C989"/>
  <c r="F992"/>
  <c r="J992"/>
  <c r="F993"/>
  <c r="J993"/>
  <c r="F994"/>
  <c r="F996"/>
  <c r="F997"/>
  <c r="J997"/>
  <c r="C1000"/>
  <c r="F1010"/>
  <c r="C1012"/>
  <c r="F1013"/>
  <c r="F1049" s="1"/>
  <c r="I1015"/>
  <c r="I1051" s="1"/>
  <c r="F1017"/>
  <c r="F1053" s="1"/>
  <c r="I1018"/>
  <c r="I1054" s="1"/>
  <c r="C1020"/>
  <c r="I1028"/>
  <c r="F1033"/>
  <c r="F1070" s="1"/>
  <c r="I1035"/>
  <c r="F1036"/>
  <c r="F1073" s="1"/>
  <c r="F1038"/>
  <c r="C1049"/>
  <c r="C918" s="1"/>
  <c r="C899" s="1"/>
  <c r="C1053"/>
  <c r="C922" s="1"/>
  <c r="C903" s="1"/>
  <c r="Q1084"/>
  <c r="F1087"/>
  <c r="F900" s="1"/>
  <c r="Q1087"/>
  <c r="F1088"/>
  <c r="Q1088"/>
  <c r="F1090"/>
  <c r="F1091"/>
  <c r="I1102"/>
  <c r="L1102"/>
  <c r="I1103"/>
  <c r="L1103"/>
  <c r="N1104"/>
  <c r="I1106"/>
  <c r="L1106"/>
  <c r="N1107"/>
  <c r="J1134"/>
  <c r="L1133"/>
  <c r="S37" i="1" s="1"/>
  <c r="C1186" i="2"/>
  <c r="I881"/>
  <c r="I888" s="1"/>
  <c r="J936"/>
  <c r="J937"/>
  <c r="J938"/>
  <c r="J941"/>
  <c r="I974"/>
  <c r="I981" s="1"/>
  <c r="I978"/>
  <c r="C980"/>
  <c r="C1074" s="1"/>
  <c r="J989"/>
  <c r="I996"/>
  <c r="I1010"/>
  <c r="I1017"/>
  <c r="I1053" s="1"/>
  <c r="I1033"/>
  <c r="I1070" s="1"/>
  <c r="I1036"/>
  <c r="I1073" s="1"/>
  <c r="F1094"/>
  <c r="F1096" s="1"/>
  <c r="I1087"/>
  <c r="I1094" s="1"/>
  <c r="I1088"/>
  <c r="I1090"/>
  <c r="L1091"/>
  <c r="C1094"/>
  <c r="L1135"/>
  <c r="N1129"/>
  <c r="N1135" s="1"/>
  <c r="C1198"/>
  <c r="J1198" s="1"/>
  <c r="C1202"/>
  <c r="L29" i="1" s="1"/>
  <c r="I1109" i="2"/>
  <c r="L1109"/>
  <c r="I1110"/>
  <c r="L1110"/>
  <c r="I1111"/>
  <c r="L1111"/>
  <c r="N1113"/>
  <c r="N1115"/>
  <c r="N1117"/>
  <c r="N1119"/>
  <c r="N1131"/>
  <c r="I1135"/>
  <c r="I1170"/>
  <c r="C1171"/>
  <c r="I1184"/>
  <c r="I1187" s="1"/>
  <c r="I1195"/>
  <c r="I1197"/>
  <c r="F1208"/>
  <c r="F1209"/>
  <c r="L1210"/>
  <c r="L1238" s="1"/>
  <c r="L1212"/>
  <c r="F1216"/>
  <c r="F1217"/>
  <c r="L1218"/>
  <c r="L1221"/>
  <c r="L1225"/>
  <c r="L1228"/>
  <c r="F1231"/>
  <c r="F1232"/>
  <c r="L1233"/>
  <c r="J14" i="3"/>
  <c r="T14"/>
  <c r="H27"/>
  <c r="T15"/>
  <c r="J15"/>
  <c r="V15" s="1"/>
  <c r="I1142" i="2"/>
  <c r="L1154"/>
  <c r="F1170"/>
  <c r="F1143" s="1"/>
  <c r="F1147" s="1"/>
  <c r="F1149" s="1"/>
  <c r="L1170"/>
  <c r="L1143" s="1"/>
  <c r="L1183"/>
  <c r="F1184"/>
  <c r="F1187" s="1"/>
  <c r="F1189" s="1"/>
  <c r="I1194"/>
  <c r="I1200" s="1"/>
  <c r="F1195"/>
  <c r="F1200" s="1"/>
  <c r="F1202" s="1"/>
  <c r="F1197"/>
  <c r="L1197"/>
  <c r="I1208"/>
  <c r="I1209"/>
  <c r="I1216"/>
  <c r="I1217"/>
  <c r="I1231"/>
  <c r="I1232"/>
  <c r="E11" i="3"/>
  <c r="P27"/>
  <c r="S14"/>
  <c r="S27" s="1"/>
  <c r="V19" i="5"/>
  <c r="G15" i="3"/>
  <c r="L15"/>
  <c r="G32" i="6"/>
  <c r="G27"/>
  <c r="G24"/>
  <c r="G23"/>
  <c r="G22"/>
  <c r="G20"/>
  <c r="G18"/>
  <c r="G31"/>
  <c r="G30"/>
  <c r="G28"/>
  <c r="G26"/>
  <c r="G19"/>
  <c r="G16"/>
  <c r="G15"/>
  <c r="G14"/>
  <c r="J16" i="3"/>
  <c r="V16" s="1"/>
  <c r="T16"/>
  <c r="J17"/>
  <c r="J18"/>
  <c r="V18" s="1"/>
  <c r="V17" s="1"/>
  <c r="T18"/>
  <c r="M32" i="8"/>
  <c r="M29"/>
  <c r="M33"/>
  <c r="Q33" s="1"/>
  <c r="M31"/>
  <c r="M25"/>
  <c r="Q25" s="1"/>
  <c r="M23"/>
  <c r="Q23" s="1"/>
  <c r="M28"/>
  <c r="M27"/>
  <c r="M24"/>
  <c r="J19" i="3"/>
  <c r="V19" s="1"/>
  <c r="T19"/>
  <c r="J20"/>
  <c r="V20" s="1"/>
  <c r="Q25" i="10"/>
  <c r="R25" i="11"/>
  <c r="Q25" i="9"/>
  <c r="J21" i="3"/>
  <c r="V21" s="1"/>
  <c r="T21"/>
  <c r="J22"/>
  <c r="V22" s="1"/>
  <c r="J23"/>
  <c r="V23" s="1"/>
  <c r="J24"/>
  <c r="V24" s="1"/>
  <c r="J25"/>
  <c r="V25" s="1"/>
  <c r="J26"/>
  <c r="V26" s="1"/>
  <c r="D8" i="4"/>
  <c r="C9"/>
  <c r="D9" s="1"/>
  <c r="D12" i="5"/>
  <c r="H12" s="1"/>
  <c r="D13"/>
  <c r="H13" s="1"/>
  <c r="F14"/>
  <c r="J14"/>
  <c r="D16"/>
  <c r="H16" s="1"/>
  <c r="F17"/>
  <c r="J17"/>
  <c r="D18"/>
  <c r="H18" s="1"/>
  <c r="D19"/>
  <c r="H19" s="1"/>
  <c r="D21"/>
  <c r="H21" s="1"/>
  <c r="F22"/>
  <c r="J22"/>
  <c r="D23"/>
  <c r="H23" s="1"/>
  <c r="F24"/>
  <c r="J24"/>
  <c r="F25"/>
  <c r="J25"/>
  <c r="D27"/>
  <c r="F28"/>
  <c r="J28"/>
  <c r="D29"/>
  <c r="F30"/>
  <c r="J30"/>
  <c r="D31"/>
  <c r="F33"/>
  <c r="J33"/>
  <c r="D34"/>
  <c r="H34" s="1"/>
  <c r="F35"/>
  <c r="H35" s="1"/>
  <c r="J35"/>
  <c r="I20" i="6"/>
  <c r="I22"/>
  <c r="I24"/>
  <c r="I27"/>
  <c r="J12" i="5"/>
  <c r="J13"/>
  <c r="D14"/>
  <c r="J16"/>
  <c r="D17"/>
  <c r="J18"/>
  <c r="J19"/>
  <c r="J21"/>
  <c r="D22"/>
  <c r="J23"/>
  <c r="D24"/>
  <c r="D25"/>
  <c r="F27"/>
  <c r="H27" s="1"/>
  <c r="J27"/>
  <c r="D28"/>
  <c r="F29"/>
  <c r="H29" s="1"/>
  <c r="J29"/>
  <c r="D30"/>
  <c r="F31"/>
  <c r="H31" s="1"/>
  <c r="J31"/>
  <c r="D33"/>
  <c r="I31" i="6"/>
  <c r="I30"/>
  <c r="I28"/>
  <c r="I26"/>
  <c r="I19"/>
  <c r="I16"/>
  <c r="I15"/>
  <c r="I18"/>
  <c r="I23"/>
  <c r="G20" i="7"/>
  <c r="G15"/>
  <c r="G19"/>
  <c r="G22"/>
  <c r="G23"/>
  <c r="G24"/>
  <c r="G26"/>
  <c r="G28"/>
  <c r="G30"/>
  <c r="G31"/>
  <c r="G32"/>
  <c r="I18" i="8"/>
  <c r="G19"/>
  <c r="G23"/>
  <c r="I24"/>
  <c r="G25"/>
  <c r="I27"/>
  <c r="I28"/>
  <c r="I29"/>
  <c r="I31"/>
  <c r="G32"/>
  <c r="G16" i="9"/>
  <c r="G27" i="7"/>
  <c r="G34"/>
  <c r="G35"/>
  <c r="G36"/>
  <c r="G38"/>
  <c r="G39"/>
  <c r="I32" i="8"/>
  <c r="G28"/>
  <c r="G31"/>
  <c r="G33"/>
  <c r="G17" i="9"/>
  <c r="G19"/>
  <c r="G20"/>
  <c r="G21"/>
  <c r="G23"/>
  <c r="G24"/>
  <c r="G27"/>
  <c r="G28"/>
  <c r="G29"/>
  <c r="G25" i="10"/>
  <c r="G15" i="11"/>
  <c r="G16"/>
  <c r="G17"/>
  <c r="G19"/>
  <c r="G20"/>
  <c r="G21"/>
  <c r="G23"/>
  <c r="G24"/>
  <c r="G27"/>
  <c r="G28"/>
  <c r="G29"/>
  <c r="G16" i="10"/>
  <c r="G19"/>
  <c r="G20"/>
  <c r="G21"/>
  <c r="G23"/>
  <c r="G24"/>
  <c r="G27"/>
  <c r="G28"/>
  <c r="I964" i="2" l="1"/>
  <c r="I965" s="1"/>
  <c r="I25" i="1"/>
  <c r="J180" i="2"/>
  <c r="J179"/>
  <c r="I372"/>
  <c r="H30" i="5"/>
  <c r="H25"/>
  <c r="H24"/>
  <c r="H17"/>
  <c r="Q27" i="8"/>
  <c r="Q31"/>
  <c r="Q29"/>
  <c r="C11" i="4"/>
  <c r="E47" i="3"/>
  <c r="T11"/>
  <c r="F11"/>
  <c r="I1238" i="2"/>
  <c r="T27" i="3"/>
  <c r="F1238" i="2"/>
  <c r="F1240" s="1"/>
  <c r="I1171"/>
  <c r="I1175" s="1"/>
  <c r="C1144"/>
  <c r="U1171"/>
  <c r="L1198"/>
  <c r="S29" i="1" s="1"/>
  <c r="J1199" i="2"/>
  <c r="Q1202" s="1"/>
  <c r="I922"/>
  <c r="I903" s="1"/>
  <c r="J957"/>
  <c r="Q937"/>
  <c r="J975"/>
  <c r="L975" s="1"/>
  <c r="L937"/>
  <c r="I1122"/>
  <c r="F1075"/>
  <c r="F1077" s="1"/>
  <c r="F1039"/>
  <c r="F1040" s="1"/>
  <c r="I1072"/>
  <c r="I1038"/>
  <c r="I1065"/>
  <c r="I923"/>
  <c r="I904" s="1"/>
  <c r="I920"/>
  <c r="I901" s="1"/>
  <c r="C1048"/>
  <c r="C991"/>
  <c r="F981"/>
  <c r="F941"/>
  <c r="I941"/>
  <c r="F938"/>
  <c r="I938"/>
  <c r="J954"/>
  <c r="L934"/>
  <c r="J972"/>
  <c r="L972" s="1"/>
  <c r="Q934"/>
  <c r="J953"/>
  <c r="L933"/>
  <c r="J971"/>
  <c r="L971" s="1"/>
  <c r="Q933"/>
  <c r="C1075"/>
  <c r="I1068"/>
  <c r="C942"/>
  <c r="J942" s="1"/>
  <c r="J801"/>
  <c r="L801" s="1"/>
  <c r="L781"/>
  <c r="J797"/>
  <c r="L797" s="1"/>
  <c r="L744" s="1"/>
  <c r="J785"/>
  <c r="L777"/>
  <c r="L723" s="1"/>
  <c r="J795"/>
  <c r="L795" s="1"/>
  <c r="L771"/>
  <c r="J836"/>
  <c r="J783"/>
  <c r="N729"/>
  <c r="J750"/>
  <c r="N750" s="1"/>
  <c r="Q729"/>
  <c r="J854"/>
  <c r="L854" s="1"/>
  <c r="L834"/>
  <c r="S16" i="7"/>
  <c r="J658" i="2"/>
  <c r="L658" s="1"/>
  <c r="L620" s="1"/>
  <c r="L643"/>
  <c r="L603" s="1"/>
  <c r="R18" i="11"/>
  <c r="L1090" i="2"/>
  <c r="L1094" s="1"/>
  <c r="J1093"/>
  <c r="Q1093" s="1"/>
  <c r="Q1090"/>
  <c r="F1051"/>
  <c r="F920" s="1"/>
  <c r="F901" s="1"/>
  <c r="I918"/>
  <c r="I899" s="1"/>
  <c r="J839"/>
  <c r="L832"/>
  <c r="J852"/>
  <c r="L852" s="1"/>
  <c r="J809"/>
  <c r="L809" s="1"/>
  <c r="L756" s="1"/>
  <c r="L789"/>
  <c r="L735" s="1"/>
  <c r="I734"/>
  <c r="J752"/>
  <c r="N752" s="1"/>
  <c r="N731"/>
  <c r="L833"/>
  <c r="J853"/>
  <c r="L853" s="1"/>
  <c r="C690"/>
  <c r="F687"/>
  <c r="I687"/>
  <c r="I706" s="1"/>
  <c r="F706"/>
  <c r="F708" s="1"/>
  <c r="F624"/>
  <c r="F620"/>
  <c r="C611"/>
  <c r="C652"/>
  <c r="F649"/>
  <c r="F609" s="1"/>
  <c r="I649"/>
  <c r="C609"/>
  <c r="F605"/>
  <c r="R14" i="7"/>
  <c r="L638" i="2"/>
  <c r="J654"/>
  <c r="L654" s="1"/>
  <c r="L616" s="1"/>
  <c r="Q600"/>
  <c r="J678"/>
  <c r="J640"/>
  <c r="J618"/>
  <c r="N618" s="1"/>
  <c r="N600"/>
  <c r="J559"/>
  <c r="C668"/>
  <c r="F513"/>
  <c r="J436"/>
  <c r="L436" s="1"/>
  <c r="L424"/>
  <c r="J325"/>
  <c r="L325" s="1"/>
  <c r="L312"/>
  <c r="J291"/>
  <c r="L291" s="1"/>
  <c r="L278"/>
  <c r="J181"/>
  <c r="L474"/>
  <c r="L473"/>
  <c r="L194" s="1"/>
  <c r="I813"/>
  <c r="J503"/>
  <c r="L503" s="1"/>
  <c r="L468" s="1"/>
  <c r="L491"/>
  <c r="L456" s="1"/>
  <c r="I513"/>
  <c r="L385"/>
  <c r="J397"/>
  <c r="L397" s="1"/>
  <c r="L382"/>
  <c r="L347" s="1"/>
  <c r="J396"/>
  <c r="L396" s="1"/>
  <c r="L361" s="1"/>
  <c r="L380"/>
  <c r="J394"/>
  <c r="L394" s="1"/>
  <c r="L359" s="1"/>
  <c r="J327"/>
  <c r="L327" s="1"/>
  <c r="L315"/>
  <c r="J293"/>
  <c r="L293" s="1"/>
  <c r="L281"/>
  <c r="J256"/>
  <c r="L256" s="1"/>
  <c r="L243"/>
  <c r="AA20" i="6"/>
  <c r="AB20" s="1"/>
  <c r="J224" i="2"/>
  <c r="AA14" i="6"/>
  <c r="AA15" s="1"/>
  <c r="J221" i="2"/>
  <c r="J523"/>
  <c r="J488"/>
  <c r="Q167"/>
  <c r="J453"/>
  <c r="J467" s="1"/>
  <c r="N167"/>
  <c r="J521"/>
  <c r="J486"/>
  <c r="Q165"/>
  <c r="J451"/>
  <c r="J465" s="1"/>
  <c r="N165"/>
  <c r="N199" s="1"/>
  <c r="L90"/>
  <c r="L88"/>
  <c r="F62"/>
  <c r="F64" s="1"/>
  <c r="F22"/>
  <c r="F20"/>
  <c r="F16"/>
  <c r="F44"/>
  <c r="I268"/>
  <c r="F80"/>
  <c r="F82" s="1"/>
  <c r="B27" i="1"/>
  <c r="I26" i="2"/>
  <c r="H33" i="5"/>
  <c r="H28"/>
  <c r="H22"/>
  <c r="H14"/>
  <c r="Q24" i="8"/>
  <c r="Q28"/>
  <c r="Q32"/>
  <c r="L1142" i="2"/>
  <c r="N1142" s="1"/>
  <c r="N1147" s="1"/>
  <c r="J27" i="3"/>
  <c r="V14"/>
  <c r="I1143" i="2"/>
  <c r="F1175"/>
  <c r="F1177" s="1"/>
  <c r="I1046"/>
  <c r="I915" s="1"/>
  <c r="I896" s="1"/>
  <c r="I1020"/>
  <c r="J1028"/>
  <c r="L1028" s="1"/>
  <c r="Q989"/>
  <c r="J1010"/>
  <c r="L989"/>
  <c r="J979"/>
  <c r="L979" s="1"/>
  <c r="Q941"/>
  <c r="P923"/>
  <c r="Q923" s="1"/>
  <c r="J961"/>
  <c r="L941"/>
  <c r="J976"/>
  <c r="L976" s="1"/>
  <c r="Q938"/>
  <c r="J994" s="1"/>
  <c r="J958"/>
  <c r="L938"/>
  <c r="J956"/>
  <c r="Q936"/>
  <c r="J974"/>
  <c r="L974" s="1"/>
  <c r="L936"/>
  <c r="C1175"/>
  <c r="L1122"/>
  <c r="C1056"/>
  <c r="C1021"/>
  <c r="F922"/>
  <c r="F903" s="1"/>
  <c r="F918"/>
  <c r="F899" s="1"/>
  <c r="F1020"/>
  <c r="F1046"/>
  <c r="F915" s="1"/>
  <c r="F896" s="1"/>
  <c r="J1018"/>
  <c r="L1018" s="1"/>
  <c r="L997"/>
  <c r="J1036"/>
  <c r="L1036" s="1"/>
  <c r="Q997"/>
  <c r="J1032"/>
  <c r="L1032" s="1"/>
  <c r="L1069" s="1"/>
  <c r="L993"/>
  <c r="J1014"/>
  <c r="Q993"/>
  <c r="J1031"/>
  <c r="L1031" s="1"/>
  <c r="L1068" s="1"/>
  <c r="L992"/>
  <c r="J1013"/>
  <c r="Q992"/>
  <c r="F989"/>
  <c r="F1000" s="1"/>
  <c r="I989"/>
  <c r="I1000" s="1"/>
  <c r="C944"/>
  <c r="F940"/>
  <c r="I940"/>
  <c r="F936"/>
  <c r="I936"/>
  <c r="I944" s="1"/>
  <c r="F944"/>
  <c r="F1065"/>
  <c r="J800"/>
  <c r="L800" s="1"/>
  <c r="L747" s="1"/>
  <c r="L780"/>
  <c r="L726" s="1"/>
  <c r="J796"/>
  <c r="L796" s="1"/>
  <c r="L772"/>
  <c r="J792"/>
  <c r="L792" s="1"/>
  <c r="L739" s="1"/>
  <c r="L768"/>
  <c r="Q18" i="8"/>
  <c r="L824" i="2"/>
  <c r="J848"/>
  <c r="L848" s="1"/>
  <c r="I608"/>
  <c r="R15" i="7"/>
  <c r="J655" i="2"/>
  <c r="L655" s="1"/>
  <c r="L617" s="1"/>
  <c r="L639"/>
  <c r="L599" s="1"/>
  <c r="C1067"/>
  <c r="I900"/>
  <c r="C964"/>
  <c r="Q16" i="10"/>
  <c r="L1011" i="2"/>
  <c r="L1066"/>
  <c r="I866"/>
  <c r="C736"/>
  <c r="J736" s="1"/>
  <c r="J799"/>
  <c r="L799" s="1"/>
  <c r="L746" s="1"/>
  <c r="J786"/>
  <c r="L779"/>
  <c r="L725" s="1"/>
  <c r="F716"/>
  <c r="J753"/>
  <c r="N753" s="1"/>
  <c r="N732"/>
  <c r="J835"/>
  <c r="Q728"/>
  <c r="J782"/>
  <c r="J749"/>
  <c r="N749" s="1"/>
  <c r="N728"/>
  <c r="J849"/>
  <c r="L849" s="1"/>
  <c r="L825"/>
  <c r="C629"/>
  <c r="F626"/>
  <c r="F622"/>
  <c r="F618"/>
  <c r="F610"/>
  <c r="F608"/>
  <c r="F602"/>
  <c r="F600"/>
  <c r="F668"/>
  <c r="F598"/>
  <c r="J606"/>
  <c r="Q605"/>
  <c r="J564"/>
  <c r="J683"/>
  <c r="J645"/>
  <c r="J621"/>
  <c r="N621" s="1"/>
  <c r="N605"/>
  <c r="Q602"/>
  <c r="J561"/>
  <c r="J680"/>
  <c r="J642"/>
  <c r="J619"/>
  <c r="N619" s="1"/>
  <c r="N602"/>
  <c r="F813"/>
  <c r="C706"/>
  <c r="C515"/>
  <c r="C478"/>
  <c r="J401"/>
  <c r="L401" s="1"/>
  <c r="L366" s="1"/>
  <c r="L389"/>
  <c r="L354" s="1"/>
  <c r="J326"/>
  <c r="L326" s="1"/>
  <c r="L313"/>
  <c r="J324"/>
  <c r="L324" s="1"/>
  <c r="L311"/>
  <c r="J292"/>
  <c r="L292" s="1"/>
  <c r="L279"/>
  <c r="J290"/>
  <c r="L290" s="1"/>
  <c r="L277"/>
  <c r="J262"/>
  <c r="L262" s="1"/>
  <c r="L250"/>
  <c r="J258"/>
  <c r="L258" s="1"/>
  <c r="L246"/>
  <c r="AB14" i="6"/>
  <c r="AB15" s="1"/>
  <c r="J222" i="2"/>
  <c r="I142"/>
  <c r="I714"/>
  <c r="J507"/>
  <c r="L507" s="1"/>
  <c r="L472" s="1"/>
  <c r="L495"/>
  <c r="L460" s="1"/>
  <c r="J501"/>
  <c r="L501" s="1"/>
  <c r="L466" s="1"/>
  <c r="L487"/>
  <c r="L452" s="1"/>
  <c r="L166" s="1"/>
  <c r="L420"/>
  <c r="J432"/>
  <c r="L432" s="1"/>
  <c r="L381"/>
  <c r="L346" s="1"/>
  <c r="J395"/>
  <c r="L395" s="1"/>
  <c r="L360" s="1"/>
  <c r="F345"/>
  <c r="F169" s="1"/>
  <c r="F407"/>
  <c r="J331"/>
  <c r="L331" s="1"/>
  <c r="L319"/>
  <c r="L230"/>
  <c r="L195" s="1"/>
  <c r="J297"/>
  <c r="L297" s="1"/>
  <c r="L285"/>
  <c r="L216" s="1"/>
  <c r="L178" s="1"/>
  <c r="J257"/>
  <c r="L257" s="1"/>
  <c r="L244"/>
  <c r="J255"/>
  <c r="L255" s="1"/>
  <c r="L242"/>
  <c r="AA18" i="6"/>
  <c r="AB18" s="1"/>
  <c r="J223" i="2"/>
  <c r="F142"/>
  <c r="F144" s="1"/>
  <c r="F87"/>
  <c r="C97"/>
  <c r="C111"/>
  <c r="F106"/>
  <c r="F89" s="1"/>
  <c r="C89"/>
  <c r="C94" s="1"/>
  <c r="I106"/>
  <c r="L62"/>
  <c r="L22"/>
  <c r="L20"/>
  <c r="L44"/>
  <c r="L16"/>
  <c r="F337"/>
  <c r="F339" s="1"/>
  <c r="F303"/>
  <c r="I87"/>
  <c r="I1147" l="1"/>
  <c r="I89"/>
  <c r="I112"/>
  <c r="F234"/>
  <c r="F305"/>
  <c r="L228"/>
  <c r="L193" s="1"/>
  <c r="F409"/>
  <c r="F372"/>
  <c r="F374" s="1"/>
  <c r="L208"/>
  <c r="L210"/>
  <c r="L171" s="1"/>
  <c r="F815"/>
  <c r="F760"/>
  <c r="F762" s="1"/>
  <c r="J695"/>
  <c r="L695" s="1"/>
  <c r="L680"/>
  <c r="J697"/>
  <c r="L697" s="1"/>
  <c r="J684"/>
  <c r="L683"/>
  <c r="J802"/>
  <c r="L802" s="1"/>
  <c r="L782"/>
  <c r="L728" s="1"/>
  <c r="L835"/>
  <c r="J855"/>
  <c r="L855" s="1"/>
  <c r="C965"/>
  <c r="L714"/>
  <c r="L718"/>
  <c r="R15" i="10"/>
  <c r="L1013" i="2"/>
  <c r="R16" i="10"/>
  <c r="L1014" i="2"/>
  <c r="L1073"/>
  <c r="F1056"/>
  <c r="F1022"/>
  <c r="F1021"/>
  <c r="F1001" s="1"/>
  <c r="F1002" s="1"/>
  <c r="C1058"/>
  <c r="C925"/>
  <c r="C906" s="1"/>
  <c r="C1147"/>
  <c r="C1173"/>
  <c r="R15" i="9"/>
  <c r="J877" i="2"/>
  <c r="L956"/>
  <c r="P918"/>
  <c r="Q918" s="1"/>
  <c r="Q17" i="9"/>
  <c r="T17" s="1"/>
  <c r="L958" i="2"/>
  <c r="P920"/>
  <c r="Q920" s="1"/>
  <c r="J879"/>
  <c r="L961"/>
  <c r="L1054" s="1"/>
  <c r="L923" s="1"/>
  <c r="L904" s="1"/>
  <c r="J882"/>
  <c r="I1056"/>
  <c r="I234"/>
  <c r="C199"/>
  <c r="F46"/>
  <c r="F26"/>
  <c r="F28" s="1"/>
  <c r="J500"/>
  <c r="L500" s="1"/>
  <c r="L486"/>
  <c r="J537"/>
  <c r="L537" s="1"/>
  <c r="L523"/>
  <c r="L224"/>
  <c r="L345"/>
  <c r="L350"/>
  <c r="I760"/>
  <c r="L209"/>
  <c r="L170" s="1"/>
  <c r="C630"/>
  <c r="C670"/>
  <c r="R16" i="7"/>
  <c r="L640" i="2"/>
  <c r="J656"/>
  <c r="L656" s="1"/>
  <c r="L598"/>
  <c r="I609"/>
  <c r="J612" s="1"/>
  <c r="C612"/>
  <c r="J803"/>
  <c r="L803" s="1"/>
  <c r="L783"/>
  <c r="L717"/>
  <c r="L748"/>
  <c r="F983"/>
  <c r="F982"/>
  <c r="R16" i="9"/>
  <c r="L957" i="2"/>
  <c r="P919"/>
  <c r="Q919" s="1"/>
  <c r="J878"/>
  <c r="D11" i="4"/>
  <c r="E11"/>
  <c r="I668" i="2"/>
  <c r="F964"/>
  <c r="B29" i="1"/>
  <c r="J546" i="2"/>
  <c r="L546" s="1"/>
  <c r="J532"/>
  <c r="L532" s="1"/>
  <c r="J511"/>
  <c r="L511" s="1"/>
  <c r="L476" s="1"/>
  <c r="J476"/>
  <c r="J497"/>
  <c r="L497" s="1"/>
  <c r="J462"/>
  <c r="J426"/>
  <c r="L426" s="1"/>
  <c r="J391"/>
  <c r="L391" s="1"/>
  <c r="L356" s="1"/>
  <c r="J370"/>
  <c r="J335"/>
  <c r="L335" s="1"/>
  <c r="J252"/>
  <c r="L252" s="1"/>
  <c r="J232"/>
  <c r="J440"/>
  <c r="L440" s="1"/>
  <c r="J405"/>
  <c r="L405" s="1"/>
  <c r="L370" s="1"/>
  <c r="J356"/>
  <c r="J321"/>
  <c r="L321" s="1"/>
  <c r="J301"/>
  <c r="L301" s="1"/>
  <c r="J287"/>
  <c r="L287" s="1"/>
  <c r="L218" s="1"/>
  <c r="J266"/>
  <c r="L266" s="1"/>
  <c r="J218"/>
  <c r="J197"/>
  <c r="J176"/>
  <c r="L26"/>
  <c r="L221"/>
  <c r="L223"/>
  <c r="S15" i="7"/>
  <c r="J657" i="2"/>
  <c r="L657" s="1"/>
  <c r="L619" s="1"/>
  <c r="L642"/>
  <c r="L602" s="1"/>
  <c r="J576"/>
  <c r="L576" s="1"/>
  <c r="L561"/>
  <c r="R18" i="7"/>
  <c r="J659" i="2"/>
  <c r="L659" s="1"/>
  <c r="L621" s="1"/>
  <c r="J646"/>
  <c r="L645"/>
  <c r="L605" s="1"/>
  <c r="J578"/>
  <c r="L564"/>
  <c r="N606"/>
  <c r="J622"/>
  <c r="N622" s="1"/>
  <c r="Q606"/>
  <c r="F670"/>
  <c r="F630"/>
  <c r="F632" s="1"/>
  <c r="J806"/>
  <c r="L806" s="1"/>
  <c r="L786"/>
  <c r="J843"/>
  <c r="L843" s="1"/>
  <c r="J790"/>
  <c r="L790" s="1"/>
  <c r="L736" s="1"/>
  <c r="S25" i="1" s="1"/>
  <c r="J734" i="2"/>
  <c r="J759"/>
  <c r="L743"/>
  <c r="C1022"/>
  <c r="J1015"/>
  <c r="L994"/>
  <c r="J1033"/>
  <c r="L1033" s="1"/>
  <c r="L1070" s="1"/>
  <c r="Q994"/>
  <c r="Q15" i="10"/>
  <c r="L1010" i="2"/>
  <c r="L1065"/>
  <c r="V27" i="3"/>
  <c r="E10"/>
  <c r="F112" i="2"/>
  <c r="B32" i="1"/>
  <c r="J535" i="2"/>
  <c r="L535" s="1"/>
  <c r="L521"/>
  <c r="J502"/>
  <c r="L502" s="1"/>
  <c r="L467" s="1"/>
  <c r="L488"/>
  <c r="L453" s="1"/>
  <c r="L167" s="1"/>
  <c r="L212"/>
  <c r="L174" s="1"/>
  <c r="L362"/>
  <c r="I478"/>
  <c r="J533"/>
  <c r="L533" s="1"/>
  <c r="J512"/>
  <c r="L512" s="1"/>
  <c r="J547"/>
  <c r="L547" s="1"/>
  <c r="J498"/>
  <c r="L498" s="1"/>
  <c r="J477"/>
  <c r="J441"/>
  <c r="L441" s="1"/>
  <c r="J406"/>
  <c r="L406" s="1"/>
  <c r="L371" s="1"/>
  <c r="J371"/>
  <c r="J357"/>
  <c r="J322"/>
  <c r="L322" s="1"/>
  <c r="J302"/>
  <c r="L302" s="1"/>
  <c r="J288"/>
  <c r="L288" s="1"/>
  <c r="J267"/>
  <c r="L267" s="1"/>
  <c r="J219"/>
  <c r="J198"/>
  <c r="J177"/>
  <c r="J463"/>
  <c r="J427"/>
  <c r="L427" s="1"/>
  <c r="J392"/>
  <c r="L392" s="1"/>
  <c r="L357" s="1"/>
  <c r="J336"/>
  <c r="L336" s="1"/>
  <c r="J253"/>
  <c r="L253" s="1"/>
  <c r="J233"/>
  <c r="L222"/>
  <c r="L187" s="1"/>
  <c r="F515"/>
  <c r="F478"/>
  <c r="F480" s="1"/>
  <c r="J575"/>
  <c r="L575" s="1"/>
  <c r="L559"/>
  <c r="L678"/>
  <c r="J694"/>
  <c r="L694" s="1"/>
  <c r="J859"/>
  <c r="L859" s="1"/>
  <c r="L839"/>
  <c r="U18" i="11"/>
  <c r="I19"/>
  <c r="K19" s="1"/>
  <c r="I24"/>
  <c r="K24" s="1"/>
  <c r="I28"/>
  <c r="K28" s="1"/>
  <c r="I15"/>
  <c r="K15" s="1"/>
  <c r="I20"/>
  <c r="K20" s="1"/>
  <c r="I27"/>
  <c r="K27" s="1"/>
  <c r="I17"/>
  <c r="K17" s="1"/>
  <c r="I29"/>
  <c r="K29" s="1"/>
  <c r="I16"/>
  <c r="K16" s="1"/>
  <c r="I21"/>
  <c r="K21" s="1"/>
  <c r="I25"/>
  <c r="K25" s="1"/>
  <c r="I23"/>
  <c r="K23" s="1"/>
  <c r="J856" i="2"/>
  <c r="L856" s="1"/>
  <c r="L836"/>
  <c r="L742"/>
  <c r="J805"/>
  <c r="L805" s="1"/>
  <c r="L752" s="1"/>
  <c r="L785"/>
  <c r="L731" s="1"/>
  <c r="L727"/>
  <c r="J962"/>
  <c r="L962" s="1"/>
  <c r="L1055" s="1"/>
  <c r="J887"/>
  <c r="L887" s="1"/>
  <c r="S26" i="1" s="1"/>
  <c r="J980" i="2"/>
  <c r="L980" s="1"/>
  <c r="L1074" s="1"/>
  <c r="L942"/>
  <c r="J940"/>
  <c r="Q15" i="9"/>
  <c r="P915" i="2"/>
  <c r="Q915" s="1"/>
  <c r="L953"/>
  <c r="J874"/>
  <c r="Q16" i="9"/>
  <c r="P916" i="2"/>
  <c r="Q916" s="1"/>
  <c r="J875"/>
  <c r="L954"/>
  <c r="L1047" s="1"/>
  <c r="L916" s="1"/>
  <c r="L897" s="1"/>
  <c r="C917"/>
  <c r="I1075"/>
  <c r="L1200"/>
  <c r="J531"/>
  <c r="L531" s="1"/>
  <c r="J510"/>
  <c r="L510" s="1"/>
  <c r="L475" s="1"/>
  <c r="J545"/>
  <c r="L545" s="1"/>
  <c r="J496"/>
  <c r="L496" s="1"/>
  <c r="L461" s="1"/>
  <c r="J475"/>
  <c r="J439"/>
  <c r="L439" s="1"/>
  <c r="J404"/>
  <c r="L404" s="1"/>
  <c r="J369"/>
  <c r="J355"/>
  <c r="J320"/>
  <c r="L320" s="1"/>
  <c r="J300"/>
  <c r="L300" s="1"/>
  <c r="J286"/>
  <c r="L286" s="1"/>
  <c r="L217" s="1"/>
  <c r="J265"/>
  <c r="L265" s="1"/>
  <c r="J217"/>
  <c r="J196"/>
  <c r="J175"/>
  <c r="J461"/>
  <c r="J425"/>
  <c r="L425" s="1"/>
  <c r="J390"/>
  <c r="L390" s="1"/>
  <c r="J334"/>
  <c r="L334" s="1"/>
  <c r="J251"/>
  <c r="L251" s="1"/>
  <c r="J231"/>
  <c r="L964"/>
  <c r="L874" l="1"/>
  <c r="N874"/>
  <c r="N888" s="1"/>
  <c r="J960"/>
  <c r="J943"/>
  <c r="Q943" s="1"/>
  <c r="Q940"/>
  <c r="J996" s="1"/>
  <c r="J978"/>
  <c r="L978" s="1"/>
  <c r="L981" s="1"/>
  <c r="L940"/>
  <c r="L944" s="1"/>
  <c r="L924"/>
  <c r="L905" s="1"/>
  <c r="S27" i="1" s="1"/>
  <c r="L233" i="2"/>
  <c r="L1046"/>
  <c r="L915" s="1"/>
  <c r="L896" s="1"/>
  <c r="J865"/>
  <c r="L865" s="1"/>
  <c r="J812"/>
  <c r="L812" s="1"/>
  <c r="L759" s="1"/>
  <c r="L732"/>
  <c r="J586"/>
  <c r="L586" s="1"/>
  <c r="J585"/>
  <c r="L585" s="1"/>
  <c r="L578"/>
  <c r="J660"/>
  <c r="L660" s="1"/>
  <c r="L646"/>
  <c r="U18" i="7"/>
  <c r="L188" i="2"/>
  <c r="J528"/>
  <c r="J458"/>
  <c r="J470" s="1"/>
  <c r="J422"/>
  <c r="J248"/>
  <c r="J191"/>
  <c r="N191" s="1"/>
  <c r="J183"/>
  <c r="Q176"/>
  <c r="J493"/>
  <c r="J387"/>
  <c r="J352"/>
  <c r="J364" s="1"/>
  <c r="J317"/>
  <c r="J283"/>
  <c r="J214"/>
  <c r="N176"/>
  <c r="B35" i="1"/>
  <c r="F945" i="2"/>
  <c r="F946" s="1"/>
  <c r="F965"/>
  <c r="L878"/>
  <c r="N878"/>
  <c r="L729"/>
  <c r="J629"/>
  <c r="J589"/>
  <c r="J690"/>
  <c r="J652"/>
  <c r="L600"/>
  <c r="L189"/>
  <c r="L451"/>
  <c r="L165" s="1"/>
  <c r="I199"/>
  <c r="C1146"/>
  <c r="J1146" s="1"/>
  <c r="F1058"/>
  <c r="F927" s="1"/>
  <c r="F925"/>
  <c r="F906" s="1"/>
  <c r="F908" s="1"/>
  <c r="J611"/>
  <c r="L749"/>
  <c r="J698"/>
  <c r="L698" s="1"/>
  <c r="L684"/>
  <c r="L169"/>
  <c r="F236"/>
  <c r="F199"/>
  <c r="F201" s="1"/>
  <c r="I97"/>
  <c r="J527"/>
  <c r="J492"/>
  <c r="J421"/>
  <c r="J386"/>
  <c r="J351"/>
  <c r="J363" s="1"/>
  <c r="J247"/>
  <c r="J213"/>
  <c r="J190"/>
  <c r="N190" s="1"/>
  <c r="J182"/>
  <c r="N175"/>
  <c r="J457"/>
  <c r="J469" s="1"/>
  <c r="J316"/>
  <c r="J282"/>
  <c r="Q175"/>
  <c r="L355"/>
  <c r="L179" s="1"/>
  <c r="L231"/>
  <c r="L196" s="1"/>
  <c r="L369"/>
  <c r="C898"/>
  <c r="I27" i="1"/>
  <c r="I32" s="1"/>
  <c r="I44" s="1"/>
  <c r="I48" s="1"/>
  <c r="N875" i="2"/>
  <c r="L875"/>
  <c r="J529"/>
  <c r="J494"/>
  <c r="J423"/>
  <c r="J388"/>
  <c r="J353"/>
  <c r="J365" s="1"/>
  <c r="J215"/>
  <c r="J192"/>
  <c r="N192" s="1"/>
  <c r="J184"/>
  <c r="N177"/>
  <c r="J459"/>
  <c r="J471" s="1"/>
  <c r="J318"/>
  <c r="J284"/>
  <c r="J249"/>
  <c r="Q177"/>
  <c r="L219"/>
  <c r="L463"/>
  <c r="L477"/>
  <c r="F114"/>
  <c r="F97"/>
  <c r="F99" s="1"/>
  <c r="F1243" s="1"/>
  <c r="F1246" s="1"/>
  <c r="F1253" s="1"/>
  <c r="E12" i="3"/>
  <c r="F12" s="1"/>
  <c r="T10"/>
  <c r="T12" s="1"/>
  <c r="F10"/>
  <c r="Q17" i="10"/>
  <c r="T17" s="1"/>
  <c r="L1015" i="2"/>
  <c r="L1051" s="1"/>
  <c r="L920" s="1"/>
  <c r="L901" s="1"/>
  <c r="V14" i="8"/>
  <c r="J841" i="2"/>
  <c r="J788"/>
  <c r="J737"/>
  <c r="Q737" s="1"/>
  <c r="N734"/>
  <c r="J755"/>
  <c r="N755" s="1"/>
  <c r="Q734"/>
  <c r="L753"/>
  <c r="L232"/>
  <c r="L197" s="1"/>
  <c r="L462"/>
  <c r="L180" s="1"/>
  <c r="B36" i="1"/>
  <c r="B37" s="1"/>
  <c r="B38" s="1"/>
  <c r="I630" i="2"/>
  <c r="L750"/>
  <c r="L618"/>
  <c r="L465"/>
  <c r="L186" s="1"/>
  <c r="I925"/>
  <c r="I906" s="1"/>
  <c r="N882"/>
  <c r="L882"/>
  <c r="J885"/>
  <c r="J884"/>
  <c r="L879"/>
  <c r="N879"/>
  <c r="N877"/>
  <c r="L877"/>
  <c r="L1050"/>
  <c r="L919" s="1"/>
  <c r="L900" s="1"/>
  <c r="L1049"/>
  <c r="L918" s="1"/>
  <c r="L899" s="1"/>
  <c r="J94"/>
  <c r="J93"/>
  <c r="Q89" l="1"/>
  <c r="J111"/>
  <c r="S94"/>
  <c r="V12" i="5"/>
  <c r="X12" s="1"/>
  <c r="J96" i="2"/>
  <c r="N885"/>
  <c r="L885"/>
  <c r="L841"/>
  <c r="L866" s="1"/>
  <c r="J861"/>
  <c r="L861" s="1"/>
  <c r="J296"/>
  <c r="L296" s="1"/>
  <c r="L284"/>
  <c r="AA23" i="6"/>
  <c r="AB23" s="1"/>
  <c r="J227" i="2"/>
  <c r="J400"/>
  <c r="L400" s="1"/>
  <c r="L388"/>
  <c r="J506"/>
  <c r="L506" s="1"/>
  <c r="L494"/>
  <c r="J328"/>
  <c r="L328" s="1"/>
  <c r="L316"/>
  <c r="J259"/>
  <c r="L259" s="1"/>
  <c r="L247"/>
  <c r="J398"/>
  <c r="L398" s="1"/>
  <c r="L386"/>
  <c r="J504"/>
  <c r="L504" s="1"/>
  <c r="L492"/>
  <c r="J1186"/>
  <c r="L1186" s="1"/>
  <c r="L1187" s="1"/>
  <c r="J1173"/>
  <c r="L1146"/>
  <c r="S38" i="1" s="1"/>
  <c r="S42" s="1"/>
  <c r="J705" i="2"/>
  <c r="L705" s="1"/>
  <c r="L690"/>
  <c r="B39" i="1"/>
  <c r="B42" s="1"/>
  <c r="B44" s="1"/>
  <c r="AA22" i="6"/>
  <c r="AB22" s="1"/>
  <c r="J226" i="2"/>
  <c r="J329"/>
  <c r="L329" s="1"/>
  <c r="L317"/>
  <c r="L387"/>
  <c r="L352" s="1"/>
  <c r="J399"/>
  <c r="L399" s="1"/>
  <c r="J434"/>
  <c r="L434" s="1"/>
  <c r="L422"/>
  <c r="J540"/>
  <c r="L540" s="1"/>
  <c r="L528"/>
  <c r="L606"/>
  <c r="L198"/>
  <c r="J110"/>
  <c r="Q88"/>
  <c r="J95"/>
  <c r="V11" i="5"/>
  <c r="N884" i="2"/>
  <c r="L884"/>
  <c r="J808"/>
  <c r="L808" s="1"/>
  <c r="L755" s="1"/>
  <c r="L788"/>
  <c r="K32" i="8"/>
  <c r="O32" s="1"/>
  <c r="K29"/>
  <c r="O29" s="1"/>
  <c r="K28"/>
  <c r="O28" s="1"/>
  <c r="K27"/>
  <c r="O27" s="1"/>
  <c r="K24"/>
  <c r="O24" s="1"/>
  <c r="K20"/>
  <c r="O20" s="1"/>
  <c r="K18"/>
  <c r="O18" s="1"/>
  <c r="K25"/>
  <c r="O25" s="1"/>
  <c r="K23"/>
  <c r="O23" s="1"/>
  <c r="K19"/>
  <c r="O19" s="1"/>
  <c r="K31"/>
  <c r="O31" s="1"/>
  <c r="K33"/>
  <c r="O33" s="1"/>
  <c r="L181" i="2"/>
  <c r="S22" i="1" s="1"/>
  <c r="L249" i="2"/>
  <c r="J261"/>
  <c r="L261" s="1"/>
  <c r="J330"/>
  <c r="L330" s="1"/>
  <c r="L318"/>
  <c r="J435"/>
  <c r="L435" s="1"/>
  <c r="L423"/>
  <c r="J541"/>
  <c r="L541" s="1"/>
  <c r="L529"/>
  <c r="C1257"/>
  <c r="C1259" s="1"/>
  <c r="C1256"/>
  <c r="J294"/>
  <c r="L294" s="1"/>
  <c r="L225" s="1"/>
  <c r="L282"/>
  <c r="AA21" i="6"/>
  <c r="J225" i="2"/>
  <c r="J433"/>
  <c r="L433" s="1"/>
  <c r="L421"/>
  <c r="J539"/>
  <c r="L539" s="1"/>
  <c r="L527"/>
  <c r="J689"/>
  <c r="J651"/>
  <c r="J628"/>
  <c r="J588"/>
  <c r="J608"/>
  <c r="J667"/>
  <c r="L667" s="1"/>
  <c r="L629" s="1"/>
  <c r="L652"/>
  <c r="L612" s="1"/>
  <c r="J571"/>
  <c r="L571" s="1"/>
  <c r="L589"/>
  <c r="J295"/>
  <c r="L295" s="1"/>
  <c r="L283"/>
  <c r="J505"/>
  <c r="L505" s="1"/>
  <c r="L470" s="1"/>
  <c r="L493"/>
  <c r="L458" s="1"/>
  <c r="J260"/>
  <c r="L260" s="1"/>
  <c r="L248"/>
  <c r="L622"/>
  <c r="J1035"/>
  <c r="L1035" s="1"/>
  <c r="L996"/>
  <c r="L1000" s="1"/>
  <c r="J1017"/>
  <c r="J999"/>
  <c r="Q999" s="1"/>
  <c r="Q996"/>
  <c r="Q18" i="9"/>
  <c r="P922" i="2"/>
  <c r="Q922" s="1"/>
  <c r="L960"/>
  <c r="L963" s="1"/>
  <c r="L965" s="1"/>
  <c r="J881"/>
  <c r="Q18" i="10" l="1"/>
  <c r="L1017" i="2"/>
  <c r="T18" i="9"/>
  <c r="I16"/>
  <c r="K16" s="1"/>
  <c r="I20"/>
  <c r="K20" s="1"/>
  <c r="I19"/>
  <c r="K19" s="1"/>
  <c r="I15"/>
  <c r="K15" s="1"/>
  <c r="I27"/>
  <c r="K27" s="1"/>
  <c r="I24"/>
  <c r="K24" s="1"/>
  <c r="I28"/>
  <c r="K28" s="1"/>
  <c r="I25"/>
  <c r="K25" s="1"/>
  <c r="I17"/>
  <c r="K17" s="1"/>
  <c r="I23"/>
  <c r="K23" s="1"/>
  <c r="I21"/>
  <c r="K21" s="1"/>
  <c r="I29"/>
  <c r="K29" s="1"/>
  <c r="L226" i="2"/>
  <c r="J570"/>
  <c r="L570" s="1"/>
  <c r="L588"/>
  <c r="S23" i="1" s="1"/>
  <c r="J666" i="2"/>
  <c r="L666" s="1"/>
  <c r="L651"/>
  <c r="L548"/>
  <c r="L442"/>
  <c r="L213"/>
  <c r="L303"/>
  <c r="J125"/>
  <c r="L110"/>
  <c r="L364"/>
  <c r="L457"/>
  <c r="L513"/>
  <c r="L351"/>
  <c r="L407"/>
  <c r="L268"/>
  <c r="L337"/>
  <c r="L459"/>
  <c r="L353"/>
  <c r="L215"/>
  <c r="L177" s="1"/>
  <c r="S96"/>
  <c r="J886"/>
  <c r="L881"/>
  <c r="N881"/>
  <c r="L1072"/>
  <c r="L1038"/>
  <c r="L214"/>
  <c r="L176" s="1"/>
  <c r="J609"/>
  <c r="Q608"/>
  <c r="J566"/>
  <c r="L566" s="1"/>
  <c r="J686"/>
  <c r="J648"/>
  <c r="J623"/>
  <c r="N623" s="1"/>
  <c r="J613"/>
  <c r="Q613" s="1"/>
  <c r="N608"/>
  <c r="J704"/>
  <c r="L704" s="1"/>
  <c r="L689"/>
  <c r="AB21" i="6"/>
  <c r="K32"/>
  <c r="K24"/>
  <c r="K22"/>
  <c r="K18"/>
  <c r="K15"/>
  <c r="K30"/>
  <c r="K26"/>
  <c r="K14"/>
  <c r="K27"/>
  <c r="K23"/>
  <c r="K20"/>
  <c r="K16"/>
  <c r="K31"/>
  <c r="K28"/>
  <c r="K19"/>
  <c r="L734" i="2"/>
  <c r="L813"/>
  <c r="L35" i="5"/>
  <c r="L33"/>
  <c r="L30"/>
  <c r="L28"/>
  <c r="L25"/>
  <c r="L24"/>
  <c r="L22"/>
  <c r="L17"/>
  <c r="L14"/>
  <c r="X11"/>
  <c r="L34"/>
  <c r="L31"/>
  <c r="L29"/>
  <c r="L27"/>
  <c r="L23"/>
  <c r="L21"/>
  <c r="L19"/>
  <c r="L18"/>
  <c r="L16"/>
  <c r="L13"/>
  <c r="L12"/>
  <c r="J1174" i="2"/>
  <c r="L1173"/>
  <c r="L1175" s="1"/>
  <c r="L469"/>
  <c r="L363"/>
  <c r="L190" s="1"/>
  <c r="L471"/>
  <c r="L365"/>
  <c r="L227"/>
  <c r="L192" s="1"/>
  <c r="J126"/>
  <c r="L111"/>
  <c r="N13" i="5" l="1"/>
  <c r="P13"/>
  <c r="N21"/>
  <c r="P21"/>
  <c r="N27"/>
  <c r="P27"/>
  <c r="N31"/>
  <c r="P31"/>
  <c r="P17"/>
  <c r="N17"/>
  <c r="P24"/>
  <c r="N24"/>
  <c r="P28"/>
  <c r="N28"/>
  <c r="P33"/>
  <c r="N33"/>
  <c r="L760" i="2"/>
  <c r="O28" i="6"/>
  <c r="S28"/>
  <c r="S16"/>
  <c r="O16"/>
  <c r="S23"/>
  <c r="O23"/>
  <c r="S14"/>
  <c r="O14"/>
  <c r="O30"/>
  <c r="S30"/>
  <c r="S18"/>
  <c r="O18"/>
  <c r="S24"/>
  <c r="O24"/>
  <c r="M30"/>
  <c r="M26"/>
  <c r="M16"/>
  <c r="M32"/>
  <c r="M24"/>
  <c r="M20"/>
  <c r="M23"/>
  <c r="M31"/>
  <c r="M28"/>
  <c r="M19"/>
  <c r="M15"/>
  <c r="M27"/>
  <c r="M22"/>
  <c r="M14"/>
  <c r="M18"/>
  <c r="R19" i="7"/>
  <c r="J661" i="2"/>
  <c r="L661" s="1"/>
  <c r="L648"/>
  <c r="J687"/>
  <c r="J649"/>
  <c r="J614"/>
  <c r="Q614" s="1"/>
  <c r="N609"/>
  <c r="J567"/>
  <c r="J624"/>
  <c r="N624" s="1"/>
  <c r="J610"/>
  <c r="Q609"/>
  <c r="L1075"/>
  <c r="N886"/>
  <c r="L886"/>
  <c r="L112"/>
  <c r="L234"/>
  <c r="L611"/>
  <c r="S24" i="1" s="1"/>
  <c r="S32" s="1"/>
  <c r="L191" i="2"/>
  <c r="T18" i="10"/>
  <c r="I17"/>
  <c r="K17" s="1"/>
  <c r="I23"/>
  <c r="K23" s="1"/>
  <c r="I29"/>
  <c r="K29" s="1"/>
  <c r="I16"/>
  <c r="K16" s="1"/>
  <c r="I21"/>
  <c r="K21" s="1"/>
  <c r="I25"/>
  <c r="K25" s="1"/>
  <c r="I19"/>
  <c r="K19" s="1"/>
  <c r="I28"/>
  <c r="K28" s="1"/>
  <c r="I20"/>
  <c r="K20" s="1"/>
  <c r="I27"/>
  <c r="K27" s="1"/>
  <c r="I15"/>
  <c r="K15" s="1"/>
  <c r="I24"/>
  <c r="K24" s="1"/>
  <c r="J141" i="2"/>
  <c r="L126"/>
  <c r="N18" i="5"/>
  <c r="P18"/>
  <c r="L1147" i="2"/>
  <c r="N12" i="5"/>
  <c r="P12"/>
  <c r="N16"/>
  <c r="P16"/>
  <c r="N19"/>
  <c r="P19"/>
  <c r="N23"/>
  <c r="P23"/>
  <c r="N29"/>
  <c r="P29"/>
  <c r="N34"/>
  <c r="P34"/>
  <c r="P14"/>
  <c r="N14"/>
  <c r="P22"/>
  <c r="N22"/>
  <c r="P25"/>
  <c r="N25"/>
  <c r="P30"/>
  <c r="N30"/>
  <c r="P35"/>
  <c r="N35"/>
  <c r="O19" i="6"/>
  <c r="S19"/>
  <c r="O31"/>
  <c r="S31"/>
  <c r="S20"/>
  <c r="O20"/>
  <c r="S27"/>
  <c r="O27"/>
  <c r="O26"/>
  <c r="S26"/>
  <c r="S15"/>
  <c r="O15"/>
  <c r="S22"/>
  <c r="O22"/>
  <c r="S32"/>
  <c r="O32"/>
  <c r="J699" i="2"/>
  <c r="L699" s="1"/>
  <c r="L686"/>
  <c r="L888"/>
  <c r="L372"/>
  <c r="L478"/>
  <c r="J140"/>
  <c r="L125"/>
  <c r="L127" s="1"/>
  <c r="L175"/>
  <c r="L628"/>
  <c r="L1053"/>
  <c r="L922" s="1"/>
  <c r="L903" s="1"/>
  <c r="L1020"/>
  <c r="J156" l="1"/>
  <c r="L156" s="1"/>
  <c r="L141"/>
  <c r="L94" s="1"/>
  <c r="L199"/>
  <c r="R20" i="7"/>
  <c r="U20" s="1"/>
  <c r="J662" i="2"/>
  <c r="L662" s="1"/>
  <c r="L649"/>
  <c r="L623"/>
  <c r="Q18" i="6"/>
  <c r="U18"/>
  <c r="U22"/>
  <c r="Q22"/>
  <c r="U15"/>
  <c r="Q15"/>
  <c r="U28"/>
  <c r="Q28"/>
  <c r="Q23"/>
  <c r="U23"/>
  <c r="U24"/>
  <c r="Q24"/>
  <c r="U16"/>
  <c r="Q16"/>
  <c r="U30"/>
  <c r="Q30"/>
  <c r="L1056" i="2"/>
  <c r="J155"/>
  <c r="L155" s="1"/>
  <c r="L157" s="1"/>
  <c r="L140"/>
  <c r="L142" s="1"/>
  <c r="L97"/>
  <c r="Q610"/>
  <c r="J569"/>
  <c r="J568"/>
  <c r="J688"/>
  <c r="J650"/>
  <c r="J625"/>
  <c r="N625" s="1"/>
  <c r="N610"/>
  <c r="J587"/>
  <c r="L587" s="1"/>
  <c r="J580"/>
  <c r="L580" s="1"/>
  <c r="L567"/>
  <c r="J700"/>
  <c r="L700" s="1"/>
  <c r="L687"/>
  <c r="L608"/>
  <c r="U19" i="7"/>
  <c r="I14"/>
  <c r="K14" s="1"/>
  <c r="I19"/>
  <c r="K19" s="1"/>
  <c r="I28"/>
  <c r="K28" s="1"/>
  <c r="I39"/>
  <c r="K39" s="1"/>
  <c r="I30"/>
  <c r="K30" s="1"/>
  <c r="I40"/>
  <c r="K40" s="1"/>
  <c r="I20"/>
  <c r="K20" s="1"/>
  <c r="I31"/>
  <c r="K31" s="1"/>
  <c r="I23"/>
  <c r="K23" s="1"/>
  <c r="I32"/>
  <c r="K32" s="1"/>
  <c r="I16"/>
  <c r="K16" s="1"/>
  <c r="I15"/>
  <c r="K15" s="1"/>
  <c r="I22"/>
  <c r="K22" s="1"/>
  <c r="I34"/>
  <c r="K34" s="1"/>
  <c r="I26"/>
  <c r="K26" s="1"/>
  <c r="I35"/>
  <c r="K35" s="1"/>
  <c r="I18"/>
  <c r="K18" s="1"/>
  <c r="I24"/>
  <c r="K24" s="1"/>
  <c r="I36"/>
  <c r="K36" s="1"/>
  <c r="I27"/>
  <c r="K27" s="1"/>
  <c r="I38"/>
  <c r="K38" s="1"/>
  <c r="U14" i="6"/>
  <c r="Q14"/>
  <c r="U27"/>
  <c r="Q27"/>
  <c r="U19"/>
  <c r="Q19"/>
  <c r="U31"/>
  <c r="Q31"/>
  <c r="U20"/>
  <c r="Q20"/>
  <c r="U32"/>
  <c r="Q32"/>
  <c r="U26"/>
  <c r="Q26"/>
  <c r="J701" i="2" l="1"/>
  <c r="L701" s="1"/>
  <c r="L688"/>
  <c r="J582"/>
  <c r="L582" s="1"/>
  <c r="L569"/>
  <c r="L624"/>
  <c r="L93"/>
  <c r="S16" i="1" s="1"/>
  <c r="S19" s="1"/>
  <c r="S44" s="1"/>
  <c r="S48" s="1"/>
  <c r="J663" i="2"/>
  <c r="L663" s="1"/>
  <c r="L625" s="1"/>
  <c r="L650"/>
  <c r="J581"/>
  <c r="L581" s="1"/>
  <c r="L568"/>
  <c r="L590" s="1"/>
  <c r="L592" s="1"/>
  <c r="L925"/>
  <c r="L906" s="1"/>
  <c r="L609"/>
  <c r="Y23" i="1" l="1"/>
  <c r="AC23" s="1"/>
  <c r="U23"/>
  <c r="L610" i="2"/>
  <c r="L668"/>
  <c r="L706"/>
  <c r="L630" l="1"/>
  <c r="Q23" i="1"/>
  <c r="W23"/>
  <c r="L1245" i="2" l="1"/>
  <c r="O46" i="1"/>
  <c r="Q46" l="1"/>
  <c r="U46"/>
  <c r="W46" s="1"/>
  <c r="C1189" i="2" l="1"/>
  <c r="C1240"/>
  <c r="L39" i="1" s="1"/>
  <c r="C129" i="2"/>
  <c r="C159"/>
  <c r="C1137"/>
  <c r="L37" i="1" s="1"/>
  <c r="C868" i="2"/>
  <c r="C1124"/>
  <c r="L36" i="1" s="1"/>
  <c r="C144" i="2"/>
  <c r="C1096"/>
  <c r="L1239" l="1"/>
  <c r="L1240" s="1"/>
  <c r="I1240"/>
  <c r="O39" i="1" s="1"/>
  <c r="C761" i="2"/>
  <c r="C762" s="1"/>
  <c r="L25" i="1" s="1"/>
  <c r="C815" i="2"/>
  <c r="L1123"/>
  <c r="L1124" s="1"/>
  <c r="I1124"/>
  <c r="O36" i="1" s="1"/>
  <c r="C1148" i="2"/>
  <c r="C1149" s="1"/>
  <c r="L38" i="1" s="1"/>
  <c r="C1177" i="2"/>
  <c r="L814"/>
  <c r="L815" s="1"/>
  <c r="I761"/>
  <c r="I815"/>
  <c r="L867"/>
  <c r="L868" s="1"/>
  <c r="I868"/>
  <c r="L1188"/>
  <c r="L1189" s="1"/>
  <c r="I1189"/>
  <c r="L1176"/>
  <c r="L1177" s="1"/>
  <c r="I1148"/>
  <c r="I1177"/>
  <c r="L1136"/>
  <c r="L1137" s="1"/>
  <c r="I1137"/>
  <c r="O37" i="1" s="1"/>
  <c r="C926" i="2"/>
  <c r="C907" s="1"/>
  <c r="C908" s="1"/>
  <c r="C1039"/>
  <c r="I982"/>
  <c r="C982"/>
  <c r="C1077"/>
  <c r="C927" s="1"/>
  <c r="L27" i="1" s="1"/>
  <c r="C82" i="2"/>
  <c r="C890"/>
  <c r="L26" i="1" s="1"/>
  <c r="C339" i="2"/>
  <c r="L443" l="1"/>
  <c r="L444" s="1"/>
  <c r="I444"/>
  <c r="L81"/>
  <c r="L82" s="1"/>
  <c r="I82"/>
  <c r="L549"/>
  <c r="L550" s="1"/>
  <c r="I550"/>
  <c r="L63"/>
  <c r="L64" s="1"/>
  <c r="I64"/>
  <c r="L113"/>
  <c r="L114" s="1"/>
  <c r="I114"/>
  <c r="L128"/>
  <c r="L129" s="1"/>
  <c r="I129"/>
  <c r="L514"/>
  <c r="L515" s="1"/>
  <c r="I479"/>
  <c r="I515"/>
  <c r="C983"/>
  <c r="C945"/>
  <c r="C946" s="1"/>
  <c r="C1040"/>
  <c r="C1001"/>
  <c r="C1002" s="1"/>
  <c r="L761"/>
  <c r="L762" s="1"/>
  <c r="I762"/>
  <c r="O25" i="1" s="1"/>
  <c r="C235" i="2"/>
  <c r="C270"/>
  <c r="C27"/>
  <c r="C28" s="1"/>
  <c r="C46"/>
  <c r="C373"/>
  <c r="C374" s="1"/>
  <c r="C444"/>
  <c r="C479"/>
  <c r="C480" s="1"/>
  <c r="C550"/>
  <c r="C708"/>
  <c r="C631"/>
  <c r="C632" s="1"/>
  <c r="L24" i="1" s="1"/>
  <c r="L1095" i="2"/>
  <c r="L1096" s="1"/>
  <c r="I1096"/>
  <c r="C98"/>
  <c r="C99" s="1"/>
  <c r="L16" i="1" s="1"/>
  <c r="L19" s="1"/>
  <c r="C114" i="2"/>
  <c r="L889"/>
  <c r="L890" s="1"/>
  <c r="I890"/>
  <c r="O26" i="1" s="1"/>
  <c r="L707" i="2"/>
  <c r="L708" s="1"/>
  <c r="I708"/>
  <c r="L338"/>
  <c r="L339" s="1"/>
  <c r="I339"/>
  <c r="L1201"/>
  <c r="L1202" s="1"/>
  <c r="I1202"/>
  <c r="O29" i="1" s="1"/>
  <c r="L669" i="2"/>
  <c r="L670" s="1"/>
  <c r="I631"/>
  <c r="I670"/>
  <c r="L45"/>
  <c r="L46" s="1"/>
  <c r="I27"/>
  <c r="I46"/>
  <c r="L143"/>
  <c r="L144" s="1"/>
  <c r="I144"/>
  <c r="I373"/>
  <c r="L408"/>
  <c r="L409" s="1"/>
  <c r="I409"/>
  <c r="L304"/>
  <c r="L305" s="1"/>
  <c r="I305"/>
  <c r="L982"/>
  <c r="L983" s="1"/>
  <c r="I983"/>
  <c r="I945"/>
  <c r="Q1137"/>
  <c r="Y37" i="1"/>
  <c r="U37"/>
  <c r="P1138" i="2"/>
  <c r="L1148"/>
  <c r="L1149" s="1"/>
  <c r="I1149"/>
  <c r="O38" i="1" s="1"/>
  <c r="Q1124" i="2"/>
  <c r="Y36" i="1"/>
  <c r="U36"/>
  <c r="P1125" i="2"/>
  <c r="Q1240"/>
  <c r="Y39" i="1"/>
  <c r="U39"/>
  <c r="P1241" i="2"/>
  <c r="I98"/>
  <c r="L98" l="1"/>
  <c r="L99" s="1"/>
  <c r="I99"/>
  <c r="O16" i="1" s="1"/>
  <c r="AH39"/>
  <c r="Q39"/>
  <c r="Q36"/>
  <c r="AH36"/>
  <c r="Q1149" i="2"/>
  <c r="Y38" i="1"/>
  <c r="U38"/>
  <c r="S1155" i="2"/>
  <c r="P1150"/>
  <c r="AH37" i="1"/>
  <c r="Q37"/>
  <c r="L373" i="2"/>
  <c r="L374" s="1"/>
  <c r="I374"/>
  <c r="L27"/>
  <c r="L28" s="1"/>
  <c r="I28"/>
  <c r="Y29" i="1"/>
  <c r="U29"/>
  <c r="P1203" i="2"/>
  <c r="Y26" i="1"/>
  <c r="U26"/>
  <c r="P891" i="2"/>
  <c r="Q1099"/>
  <c r="N30" i="11" s="1"/>
  <c r="L35" i="1"/>
  <c r="L42" s="1"/>
  <c r="C200" i="2"/>
  <c r="C201" s="1"/>
  <c r="L22" i="1" s="1"/>
  <c r="L32" s="1"/>
  <c r="C236" i="2"/>
  <c r="L1076"/>
  <c r="L1077" s="1"/>
  <c r="I1077"/>
  <c r="Y25" i="1"/>
  <c r="U25"/>
  <c r="P763" i="2"/>
  <c r="L1021"/>
  <c r="L1022" s="1"/>
  <c r="I1001"/>
  <c r="I1022"/>
  <c r="L269"/>
  <c r="L270" s="1"/>
  <c r="I235"/>
  <c r="I270"/>
  <c r="L158"/>
  <c r="L159" s="1"/>
  <c r="I159"/>
  <c r="Z39" i="1"/>
  <c r="AJ39"/>
  <c r="AJ36"/>
  <c r="Z36"/>
  <c r="Z37"/>
  <c r="AJ37"/>
  <c r="L945" i="2"/>
  <c r="L946" s="1"/>
  <c r="I946"/>
  <c r="L631"/>
  <c r="L632" s="1"/>
  <c r="I632"/>
  <c r="O24" i="1" s="1"/>
  <c r="L1039" i="2"/>
  <c r="L1040" s="1"/>
  <c r="I1040"/>
  <c r="L479"/>
  <c r="L480" s="1"/>
  <c r="I480"/>
  <c r="L1057"/>
  <c r="I926"/>
  <c r="I907" s="1"/>
  <c r="I908" s="1"/>
  <c r="I1058"/>
  <c r="I927" s="1"/>
  <c r="O27" i="1" s="1"/>
  <c r="Y24" l="1"/>
  <c r="U24"/>
  <c r="P633" i="2"/>
  <c r="L235"/>
  <c r="L236" s="1"/>
  <c r="I200"/>
  <c r="I236"/>
  <c r="Q25" i="1"/>
  <c r="AH25"/>
  <c r="L44"/>
  <c r="L48" s="1"/>
  <c r="Q26"/>
  <c r="AH26"/>
  <c r="Q29"/>
  <c r="AH29"/>
  <c r="O35"/>
  <c r="AJ38"/>
  <c r="Z38"/>
  <c r="O19"/>
  <c r="L926" i="2"/>
  <c r="L907" s="1"/>
  <c r="L908" s="1"/>
  <c r="U27" i="1" s="1"/>
  <c r="L1058" i="2"/>
  <c r="L927" s="1"/>
  <c r="L1001"/>
  <c r="L1002" s="1"/>
  <c r="I1002"/>
  <c r="AJ25" i="1"/>
  <c r="Z25"/>
  <c r="T33" i="8" s="1"/>
  <c r="C1243" i="2"/>
  <c r="C1246" s="1"/>
  <c r="AJ26" i="1"/>
  <c r="Z26"/>
  <c r="AJ29"/>
  <c r="Z29"/>
  <c r="Y35"/>
  <c r="U35"/>
  <c r="P29" i="2"/>
  <c r="Q38" i="1"/>
  <c r="AH38"/>
  <c r="Y16"/>
  <c r="U16"/>
  <c r="P100" i="2"/>
  <c r="U19" i="1" l="1"/>
  <c r="AH19" s="1"/>
  <c r="AH16"/>
  <c r="Q16"/>
  <c r="Q19" s="1"/>
  <c r="AH35"/>
  <c r="U42"/>
  <c r="Q35"/>
  <c r="Q42" s="1"/>
  <c r="Q1002" i="2"/>
  <c r="N30" i="10" s="1"/>
  <c r="Y27" i="1"/>
  <c r="O930" i="2"/>
  <c r="Q930" s="1"/>
  <c r="N30" i="9" s="1"/>
  <c r="O42" i="1"/>
  <c r="Q24"/>
  <c r="AH24"/>
  <c r="Z16"/>
  <c r="Y19"/>
  <c r="AJ16"/>
  <c r="Z35"/>
  <c r="Y42"/>
  <c r="AJ35"/>
  <c r="Q27"/>
  <c r="AH27"/>
  <c r="L200" i="2"/>
  <c r="L201" s="1"/>
  <c r="I201"/>
  <c r="Z24" i="1"/>
  <c r="AJ24"/>
  <c r="O22" l="1"/>
  <c r="I1243" i="2"/>
  <c r="I1246" s="1"/>
  <c r="AJ42" i="1"/>
  <c r="Z42"/>
  <c r="AJ19"/>
  <c r="Z19"/>
  <c r="AJ27"/>
  <c r="Z27"/>
  <c r="O32" i="7"/>
  <c r="Z23" i="1"/>
  <c r="AD23" s="1"/>
  <c r="U22"/>
  <c r="Y22"/>
  <c r="P202" i="2"/>
  <c r="L1243"/>
  <c r="L1246" s="1"/>
  <c r="T24" i="5"/>
  <c r="B6" i="3"/>
  <c r="B44" s="1"/>
  <c r="E44" s="1"/>
  <c r="AH42" i="1"/>
  <c r="P1097" i="2"/>
  <c r="E46" i="3" l="1"/>
  <c r="E48" s="1"/>
  <c r="J29" s="1"/>
  <c r="E35"/>
  <c r="Y32" i="1"/>
  <c r="Z22"/>
  <c r="X34" i="6" s="1"/>
  <c r="AJ22" i="1"/>
  <c r="U32"/>
  <c r="AH22"/>
  <c r="Q22"/>
  <c r="Q32" s="1"/>
  <c r="Q44" s="1"/>
  <c r="Q48" s="1"/>
  <c r="O32"/>
  <c r="O44" s="1"/>
  <c r="AF22" s="1"/>
  <c r="AA22" s="1"/>
  <c r="C1253" i="2"/>
  <c r="AB22" i="1" l="1"/>
  <c r="AC22"/>
  <c r="AD22" s="1"/>
  <c r="W22"/>
  <c r="AH32"/>
  <c r="U44"/>
  <c r="E40" i="3"/>
  <c r="C17" i="4" s="1"/>
  <c r="E37" i="3"/>
  <c r="E39" s="1"/>
  <c r="D17" i="4"/>
  <c r="G35" i="3"/>
  <c r="H35" s="1"/>
  <c r="O48" i="1"/>
  <c r="AF44"/>
  <c r="AF28"/>
  <c r="AA28" s="1"/>
  <c r="AF37"/>
  <c r="AA37" s="1"/>
  <c r="AF39"/>
  <c r="AA39" s="1"/>
  <c r="AF36"/>
  <c r="AA36" s="1"/>
  <c r="AF26"/>
  <c r="AA26" s="1"/>
  <c r="AF38"/>
  <c r="AA38" s="1"/>
  <c r="AF29"/>
  <c r="AA29" s="1"/>
  <c r="AF25"/>
  <c r="AA25" s="1"/>
  <c r="AF16"/>
  <c r="AA16" s="1"/>
  <c r="AF24"/>
  <c r="AA24" s="1"/>
  <c r="AF27"/>
  <c r="AA27" s="1"/>
  <c r="AF35"/>
  <c r="AA35" s="1"/>
  <c r="AJ32"/>
  <c r="Z32"/>
  <c r="Y44"/>
  <c r="P909" i="2" l="1"/>
  <c r="AJ44" i="1"/>
  <c r="Y48"/>
  <c r="Z44"/>
  <c r="AB35"/>
  <c r="AA42"/>
  <c r="W35"/>
  <c r="AC35"/>
  <c r="AD35" s="1"/>
  <c r="AB24"/>
  <c r="AC24"/>
  <c r="AD24" s="1"/>
  <c r="W24"/>
  <c r="AB25"/>
  <c r="W25"/>
  <c r="AC25"/>
  <c r="AD25" s="1"/>
  <c r="AB38"/>
  <c r="AC38"/>
  <c r="AD38" s="1"/>
  <c r="W38"/>
  <c r="AB36"/>
  <c r="W36"/>
  <c r="AC36"/>
  <c r="AD36" s="1"/>
  <c r="AB37"/>
  <c r="W37"/>
  <c r="AC37"/>
  <c r="AD37" s="1"/>
  <c r="U48"/>
  <c r="AH48" s="1"/>
  <c r="AH44"/>
  <c r="AB27"/>
  <c r="W27"/>
  <c r="AC27"/>
  <c r="AD27" s="1"/>
  <c r="AA19"/>
  <c r="AB16"/>
  <c r="W16"/>
  <c r="W19" s="1"/>
  <c r="AC16"/>
  <c r="AD16" s="1"/>
  <c r="AB29"/>
  <c r="W29"/>
  <c r="AC29"/>
  <c r="AD29" s="1"/>
  <c r="AB26"/>
  <c r="W26"/>
  <c r="AC26"/>
  <c r="AD26" s="1"/>
  <c r="AB39"/>
  <c r="W39"/>
  <c r="AC39"/>
  <c r="AD39" s="1"/>
  <c r="AB28"/>
  <c r="W28"/>
  <c r="AC28"/>
  <c r="AD28" s="1"/>
  <c r="AA32"/>
  <c r="W32" l="1"/>
  <c r="AB32"/>
  <c r="AC32"/>
  <c r="AB19"/>
  <c r="AC19"/>
  <c r="AD19" s="1"/>
  <c r="AA44"/>
  <c r="AB42"/>
  <c r="AC42"/>
  <c r="AD42" s="1"/>
  <c r="W42"/>
  <c r="W44" s="1"/>
  <c r="W48" s="1"/>
  <c r="AJ48"/>
  <c r="Z48"/>
  <c r="P928" i="2"/>
  <c r="P1243"/>
  <c r="P1244" s="1"/>
  <c r="AA48" i="1" l="1"/>
  <c r="AB48" s="1"/>
  <c r="AB44"/>
  <c r="AC44"/>
  <c r="AD44" s="1"/>
  <c r="I1253" i="2" l="1"/>
</calcChain>
</file>

<file path=xl/sharedStrings.xml><?xml version="1.0" encoding="utf-8"?>
<sst xmlns="http://schemas.openxmlformats.org/spreadsheetml/2006/main" count="2860" uniqueCount="460">
  <si>
    <t xml:space="preserve"> </t>
  </si>
  <si>
    <t>TABLE A. PRESENT AND PROPOSED RATES</t>
  </si>
  <si>
    <t>PACIFIC POWER &amp; LIGHT COMPANY</t>
  </si>
  <si>
    <t>ESTIMATED EFFECT OF PROPOSED PRICES</t>
  </si>
  <si>
    <t>ON REVENUES FROM ELECTRIC SALES TO ULTIMATE CONSUMERS</t>
  </si>
  <si>
    <t>IN WASHINGTON</t>
  </si>
  <si>
    <t>12 MONTHS ENDED JUNE 2012</t>
  </si>
  <si>
    <t>Hydro Deferral</t>
  </si>
  <si>
    <t>Actual</t>
  </si>
  <si>
    <t>Present</t>
  </si>
  <si>
    <t>Unbundled Base Revenues</t>
  </si>
  <si>
    <t>Surcharge</t>
  </si>
  <si>
    <t>Proposed</t>
  </si>
  <si>
    <t xml:space="preserve">Proposed </t>
  </si>
  <si>
    <t>Curr.</t>
  </si>
  <si>
    <t>Avg.</t>
  </si>
  <si>
    <t>Base</t>
  </si>
  <si>
    <t>Non NPC</t>
  </si>
  <si>
    <t>NPC</t>
  </si>
  <si>
    <t>Total Base</t>
  </si>
  <si>
    <t>Net</t>
  </si>
  <si>
    <t>Change</t>
  </si>
  <si>
    <t>Line</t>
  </si>
  <si>
    <t>Sch.</t>
  </si>
  <si>
    <t>Cust.</t>
  </si>
  <si>
    <t>MWH</t>
  </si>
  <si>
    <t>Revenues</t>
  </si>
  <si>
    <t>Increase</t>
  </si>
  <si>
    <t>Deferral</t>
  </si>
  <si>
    <t>Rates</t>
  </si>
  <si>
    <t>Cents/</t>
  </si>
  <si>
    <t>No.</t>
  </si>
  <si>
    <t>Description</t>
  </si>
  <si>
    <t>($000)</t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</si>
  <si>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</si>
  <si>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</si>
  <si>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</si>
  <si>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</si>
  <si>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</si>
  <si>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</si>
  <si>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</si>
  <si>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</si>
  <si>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</si>
  <si>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</si>
  <si>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</si>
  <si>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</si>
  <si>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</si>
  <si>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</si>
  <si>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</si>
  <si>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(8)-(7)</t>
  </si>
  <si>
    <t>(9)/(5)</t>
  </si>
  <si>
    <t>(7)/(5)</t>
  </si>
  <si>
    <t>(8/4)</t>
  </si>
  <si>
    <t>(9/4)</t>
  </si>
  <si>
    <t>Residential</t>
  </si>
  <si>
    <t>Residential Service</t>
  </si>
  <si>
    <t>16/17/18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</si>
  <si>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</si>
  <si>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</si>
  <si>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</si>
  <si>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</si>
  <si>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</si>
  <si>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</si>
  <si>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</si>
  <si>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</si>
  <si>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</si>
  <si>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</si>
  <si>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</si>
  <si>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</si>
  <si>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</si>
  <si>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</si>
  <si>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</si>
  <si>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</si>
  <si>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</si>
  <si>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</si>
  <si>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</si>
  <si>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</si>
  <si>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</si>
  <si>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</si>
  <si>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</si>
  <si>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STATE OF WASHINGTON</t>
  </si>
  <si>
    <t>(Including Effects of Unbilled Revenue, Unbilled MWh and Weather Normalization)</t>
  </si>
  <si>
    <t>Prior</t>
  </si>
  <si>
    <t>Units</t>
  </si>
  <si>
    <t xml:space="preserve">Prior </t>
  </si>
  <si>
    <t>Dollars</t>
  </si>
  <si>
    <t>Price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</si>
  <si>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</si>
  <si>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</si>
  <si>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</si>
  <si>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</si>
  <si>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</si>
  <si>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</si>
  <si>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</si>
  <si>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</si>
  <si>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</si>
  <si>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</si>
  <si>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</si>
  <si>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PCAM-Base - NPC per kWh</t>
  </si>
  <si>
    <t>¢</t>
  </si>
  <si>
    <t>Total Bills</t>
  </si>
  <si>
    <t>Subtotal</t>
  </si>
  <si>
    <t xml:space="preserve">  Unbilled</t>
  </si>
  <si>
    <t>Total</t>
  </si>
  <si>
    <t>Target Dollars</t>
  </si>
  <si>
    <t>Difference</t>
  </si>
  <si>
    <t>Outdoor Area Lighting Service-Residential</t>
  </si>
  <si>
    <t>Outdoor Area Lighting Service-Commercial</t>
  </si>
  <si>
    <t>Outdoor Area Lighting Service-Industrial</t>
  </si>
  <si>
    <t>SCHEDULE 16/18</t>
  </si>
  <si>
    <t>Residential Service-Combined</t>
  </si>
  <si>
    <t>% Increase</t>
  </si>
  <si>
    <t xml:space="preserve">  Basic Charge</t>
  </si>
  <si>
    <t xml:space="preserve">  1st 600 kWh</t>
  </si>
  <si>
    <t xml:space="preserve">  All addt'l kWh</t>
  </si>
  <si>
    <t xml:space="preserve">  kW demand </t>
  </si>
  <si>
    <t>Minimum kW Charge</t>
  </si>
  <si>
    <t xml:space="preserve">  kW demand in minimum</t>
  </si>
  <si>
    <t>PCAM-Base - 1st 600 kWh</t>
  </si>
  <si>
    <t>PCAM-Base - All Addt'l kWh</t>
  </si>
  <si>
    <t>Total Rate - 1st 600 kWh</t>
  </si>
  <si>
    <t>Total Rate - All Addt'l kWh</t>
  </si>
  <si>
    <t xml:space="preserve">  Subtotal</t>
  </si>
  <si>
    <t xml:space="preserve">  Total</t>
  </si>
  <si>
    <t>SCHEDULE 16</t>
  </si>
  <si>
    <t>Includes Schedule 16 Net Metering</t>
  </si>
  <si>
    <t>SCHEDULE 17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</si>
  <si>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</si>
  <si>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</si>
  <si>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</si>
  <si>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</si>
  <si>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</si>
  <si>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</si>
  <si>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</si>
  <si>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</si>
  <si>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</si>
  <si>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</si>
  <si>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</si>
  <si>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</si>
  <si>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</si>
  <si>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</si>
  <si>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</si>
  <si>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PCAM-Base - 1st 1,000 kWh</t>
  </si>
  <si>
    <t>PCAM-Base -Next 8,000 kWh</t>
  </si>
  <si>
    <t>PCAM-Base - All Additional kWh</t>
  </si>
  <si>
    <t>Total Rate - 1st 1,000 kWh</t>
  </si>
  <si>
    <t>Total Rate - Next 8,000 kWh</t>
  </si>
  <si>
    <t>Total Rate - All Additional kWh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</si>
  <si>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</si>
  <si>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</si>
  <si>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</si>
  <si>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</si>
  <si>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</si>
  <si>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</si>
  <si>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Target</t>
  </si>
  <si>
    <t>Small General Service-Combined</t>
  </si>
  <si>
    <t>Small General Service-Residential</t>
  </si>
  <si>
    <t xml:space="preserve">  All kW&gt;15</t>
  </si>
  <si>
    <t>Small General Service-Commercial</t>
  </si>
  <si>
    <t>Includes Schedule 24 Net Metering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</si>
  <si>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</si>
  <si>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</si>
  <si>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</si>
  <si>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</si>
  <si>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</si>
  <si>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</si>
  <si>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</si>
  <si>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</si>
  <si>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</si>
  <si>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</si>
  <si>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</si>
  <si>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</si>
  <si>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</si>
  <si>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</si>
  <si>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</si>
  <si>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>PCAM-Base - 1st 40,000 kWh</t>
  </si>
  <si>
    <t>PCAM-Base - All additional kWh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</si>
  <si>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</si>
  <si>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</si>
  <si>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</si>
  <si>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</si>
  <si>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</si>
  <si>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</si>
  <si>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</si>
  <si>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 xml:space="preserve">  </t>
  </si>
  <si>
    <t>SCHEDULE 36</t>
  </si>
  <si>
    <t>Large General Service &lt; 1,000 kW-Grand Combined</t>
  </si>
  <si>
    <t xml:space="preserve"> Minimum kW</t>
  </si>
  <si>
    <t>Total Rate - 1st 40,000 kWh</t>
  </si>
  <si>
    <t>Total Rate - All additional kWh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</si>
  <si>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</si>
  <si>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</si>
  <si>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</si>
  <si>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</si>
  <si>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</si>
  <si>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</si>
  <si>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</si>
  <si>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</si>
  <si>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</si>
  <si>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</si>
  <si>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</si>
  <si>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</si>
  <si>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</si>
  <si>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</si>
  <si>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</si>
  <si>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</si>
  <si>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</si>
  <si>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</si>
  <si>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</si>
  <si>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</si>
  <si>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</si>
  <si>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</si>
  <si>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>PCAM-Base - All kWh</t>
  </si>
  <si>
    <t>Total Rate - All kWh</t>
  </si>
  <si>
    <t>Single Phase Min</t>
  </si>
  <si>
    <t>Three Phase &lt;51kW Min</t>
  </si>
  <si>
    <t>SCHEDULE 40X</t>
  </si>
  <si>
    <t>Agricultural Pumping Service-Industrial</t>
  </si>
  <si>
    <t>SCHEDULE 47T</t>
  </si>
  <si>
    <t>Large Partial Requirements Service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</si>
  <si>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</si>
  <si>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</si>
  <si>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</si>
  <si>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</si>
  <si>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>SCHEDULE 48T</t>
  </si>
  <si>
    <t>Large General Service 1,000 kW and over-Grand Combined</t>
  </si>
  <si>
    <t>Large General Service 1,000 kW and over-Combined</t>
  </si>
  <si>
    <t>Includes 47T</t>
  </si>
  <si>
    <t>Large General Service 1,000 kW and over-Secondary Combined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</si>
  <si>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</si>
  <si>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</si>
  <si>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</si>
  <si>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</si>
  <si>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</si>
  <si>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</si>
  <si>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</si>
  <si>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1,000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</si>
  <si>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</si>
  <si>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</si>
  <si>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</si>
  <si>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</si>
  <si>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</si>
  <si>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</si>
  <si>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</si>
  <si>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</si>
  <si>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</si>
  <si>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</si>
  <si>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</si>
  <si>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</si>
  <si>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</si>
  <si>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</si>
  <si>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</si>
  <si>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</si>
  <si>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</si>
  <si>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</si>
  <si>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</si>
  <si>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</si>
  <si>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</si>
  <si>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</si>
  <si>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</si>
  <si>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</si>
  <si>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</si>
  <si>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</si>
  <si>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</si>
  <si>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>Total Energy Rate per kWh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</si>
  <si>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</si>
  <si>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</si>
  <si>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</si>
  <si>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</si>
  <si>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</si>
  <si>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</si>
  <si>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</si>
  <si>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</si>
  <si>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</si>
  <si>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</si>
  <si>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</si>
  <si>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</si>
  <si>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</si>
  <si>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</si>
  <si>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</si>
  <si>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</si>
  <si>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</si>
  <si>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</si>
  <si>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</si>
  <si>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Listed Lumen-Energy Only-above</t>
  </si>
  <si>
    <t>Total Energy Rate</t>
  </si>
  <si>
    <t>SCHEDULE 53M</t>
  </si>
  <si>
    <t>Customer-Owned Street Lighting Service</t>
  </si>
  <si>
    <t>Option A (Co. O&amp;M) kWh</t>
  </si>
  <si>
    <t>Option B (Cust. O&amp;M) kWh</t>
  </si>
  <si>
    <t>SCHEDULE 54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</si>
  <si>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</si>
  <si>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</si>
  <si>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</si>
  <si>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</si>
  <si>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</si>
  <si>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</si>
  <si>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</si>
  <si>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</si>
  <si>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</si>
  <si>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</si>
  <si>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</si>
  <si>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</si>
  <si>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</si>
  <si>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</si>
  <si>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</si>
  <si>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</si>
  <si>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Check</t>
  </si>
  <si>
    <t>Tables 2 &amp; 3</t>
  </si>
  <si>
    <t>Table1</t>
  </si>
  <si>
    <t>Error Check</t>
  </si>
  <si>
    <t>Bills</t>
  </si>
  <si>
    <t>Customers</t>
  </si>
  <si>
    <t>Table 2</t>
  </si>
  <si>
    <t>Pacific Power &amp; Light Company</t>
  </si>
  <si>
    <t>Washington Low Income</t>
  </si>
  <si>
    <t>Schedule 91 Surcharge Rates Proposal</t>
  </si>
  <si>
    <t>Number of customers served</t>
  </si>
  <si>
    <t>Increase in average dollar subsidy/ client</t>
  </si>
  <si>
    <t>Current</t>
  </si>
  <si>
    <t>Program *</t>
  </si>
  <si>
    <t>Program with</t>
  </si>
  <si>
    <t>Increase Over</t>
  </si>
  <si>
    <t xml:space="preserve">Current </t>
  </si>
  <si>
    <t>Est. Annual</t>
  </si>
  <si>
    <t>Admin Costs</t>
  </si>
  <si>
    <t>Estimated</t>
  </si>
  <si>
    <t>Current*</t>
  </si>
  <si>
    <t>Annual Revenues Collections</t>
  </si>
  <si>
    <t>current</t>
  </si>
  <si>
    <t>proposed</t>
  </si>
  <si>
    <t>Monthly</t>
  </si>
  <si>
    <t>Annual</t>
  </si>
  <si>
    <t>Prior Year</t>
  </si>
  <si>
    <t>Administrative Costs ($/cust)</t>
  </si>
  <si>
    <t>Collections</t>
  </si>
  <si>
    <t>Available for subsidy</t>
  </si>
  <si>
    <t xml:space="preserve">   Increase</t>
  </si>
  <si>
    <t>Aug 05</t>
  </si>
  <si>
    <t>Schedule 91 Charges</t>
  </si>
  <si>
    <t>16/18(#2)</t>
  </si>
  <si>
    <t>(#1)</t>
  </si>
  <si>
    <t>47T</t>
  </si>
  <si>
    <t>48T</t>
  </si>
  <si>
    <t>Number of Qualifying Customers</t>
  </si>
  <si>
    <t>Rev excess/(short)</t>
  </si>
  <si>
    <t>(#1) Annual Amount</t>
  </si>
  <si>
    <t>(#2) Reduced number of customers by change in new Schedule 17 customers</t>
  </si>
  <si>
    <t>Cost per Qualifying Customer</t>
  </si>
  <si>
    <t>/Customer</t>
  </si>
  <si>
    <t>Average Credit per Customer - (Credit/Customers)</t>
  </si>
  <si>
    <t>Agency Charge per Qualifying Customer</t>
  </si>
  <si>
    <t>Average Cost per Qualifying Customer</t>
  </si>
  <si>
    <t xml:space="preserve">Annual Revenues - (Average Cost x Customers) </t>
  </si>
  <si>
    <t>Annual Credits to Customers</t>
  </si>
  <si>
    <t>Proposed Credit Increase</t>
  </si>
  <si>
    <t xml:space="preserve">Current Credit per Participant plus 25.9% </t>
  </si>
  <si>
    <t>total participants</t>
  </si>
  <si>
    <t>Total benefits</t>
  </si>
  <si>
    <t>Admin Expense</t>
  </si>
  <si>
    <t>Total Program cost</t>
  </si>
  <si>
    <t xml:space="preserve">*Ordered in Docket No. UE-130694 effective June 20, 2013. </t>
  </si>
  <si>
    <t xml:space="preserve">Washington Low Income </t>
  </si>
  <si>
    <t>Energy Rate Credit Proposal</t>
  </si>
  <si>
    <t>% of Federal</t>
  </si>
  <si>
    <t xml:space="preserve">Total </t>
  </si>
  <si>
    <t>Discount/</t>
  </si>
  <si>
    <t>Rate</t>
  </si>
  <si>
    <t>Poverty Level (FPL)</t>
  </si>
  <si>
    <t>Credit</t>
  </si>
  <si>
    <t>Customer</t>
  </si>
  <si>
    <t>¢/kWh</t>
  </si>
  <si>
    <t xml:space="preserve">kWh </t>
  </si>
  <si>
    <t>0-75%</t>
  </si>
  <si>
    <t>76-100%</t>
  </si>
  <si>
    <t>101-150%</t>
  </si>
  <si>
    <t>Monthly Billing Comparison</t>
  </si>
  <si>
    <t>Schedule 16 - Residential Service</t>
  </si>
  <si>
    <t>Monthly Basic Charge</t>
  </si>
  <si>
    <t>Present Price</t>
  </si>
  <si>
    <t>Proposed Price</t>
  </si>
  <si>
    <t>$</t>
  </si>
  <si>
    <t>Basic</t>
  </si>
  <si>
    <t>Energy - 1st 600</t>
  </si>
  <si>
    <t>Energy</t>
  </si>
  <si>
    <t>SBC</t>
  </si>
  <si>
    <t>BPA Credit</t>
  </si>
  <si>
    <t>Low Income-Current</t>
  </si>
  <si>
    <t>Low Income-Proposed</t>
  </si>
  <si>
    <t>Hydro Deferral Surcharge</t>
  </si>
  <si>
    <t>REC Adjust</t>
  </si>
  <si>
    <t>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</si>
  <si>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</si>
  <si>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</si>
  <si>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</si>
  <si>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REC Credit, Low Income Charge and BPA Credit.</t>
    </r>
  </si>
  <si>
    <t>Schedule 24 - Small General Service</t>
  </si>
  <si>
    <t>kW</t>
  </si>
  <si>
    <t>Monthly Billing *</t>
  </si>
  <si>
    <t>Dollar</t>
  </si>
  <si>
    <t>Percent</t>
  </si>
  <si>
    <t>Load Size/</t>
  </si>
  <si>
    <t>kWh per kW</t>
  </si>
  <si>
    <t>Present Price Schedule 24</t>
  </si>
  <si>
    <t>Proposed Price Schedule 24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</si>
  <si>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</si>
  <si>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</si>
  <si>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</si>
  <si>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</si>
  <si>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</si>
  <si>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</si>
  <si>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</si>
  <si>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</si>
  <si>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</si>
  <si>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</si>
  <si>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</si>
  <si>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</si>
  <si>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</si>
  <si>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 xml:space="preserve">       * Includes SBC Charge, REC Credit and No change to the Low Income Charge.</t>
  </si>
  <si>
    <t>Schedule 36 - Large General Service &lt; 1,000 kW</t>
  </si>
  <si>
    <t xml:space="preserve">Present </t>
  </si>
  <si>
    <t>Schedule 36</t>
  </si>
  <si>
    <t xml:space="preserve">Schedule 36 </t>
  </si>
  <si>
    <t>Plus</t>
  </si>
  <si>
    <t>&lt;100</t>
  </si>
  <si>
    <t>101 - 300</t>
  </si>
  <si>
    <t>&gt;300</t>
  </si>
  <si>
    <t>1st 40,000</t>
  </si>
  <si>
    <t>Add'l</t>
  </si>
  <si>
    <t>Low Income-current</t>
  </si>
  <si>
    <t xml:space="preserve">       * Includes SBC Charge, REC Credit and includes no change to the Low Income Charge.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</si>
  <si>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</si>
  <si>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</si>
  <si>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</si>
  <si>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</si>
  <si>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</si>
  <si>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Schedule 40 ***</t>
  </si>
  <si>
    <t>Schedule 40 **</t>
  </si>
  <si>
    <t>Monthly **</t>
  </si>
  <si>
    <t>All kWh</t>
  </si>
  <si>
    <t>Monthly Bill</t>
  </si>
  <si>
    <t>Charge</t>
  </si>
  <si>
    <t>Bill</t>
  </si>
  <si>
    <t>0-50 kW</t>
  </si>
  <si>
    <t>51-300 kW</t>
  </si>
  <si>
    <t>&gt;300 kW</t>
  </si>
  <si>
    <t xml:space="preserve">       * Includes SBC Charge, REC Credit, BPA Credit and no change to the Low Income charge.</t>
  </si>
  <si>
    <t xml:space="preserve">      ** Does not include November Load Size Charge.</t>
  </si>
  <si>
    <t>Schedule 48T - Large General Service - Secondary</t>
  </si>
  <si>
    <t>1,000 kW and Over</t>
  </si>
  <si>
    <t>Price Schedule 48T</t>
  </si>
  <si>
    <t xml:space="preserve">Price Schedule 48T </t>
  </si>
  <si>
    <t>&lt;=3000</t>
  </si>
  <si>
    <t>&gt;3000</t>
  </si>
  <si>
    <t xml:space="preserve">       * Includes SBC Charge, REC Credit and no change to the Low Income Charge.</t>
  </si>
  <si>
    <t>Schedule 48T - Large General Service - Primary</t>
  </si>
  <si>
    <t>30,000 kW and Over</t>
  </si>
  <si>
    <t>Served by Dedicated Facilities</t>
  </si>
  <si>
    <t>&gt;30000</t>
  </si>
  <si>
    <r>
      <t xml:space="preserve">Monthly Energy Charge </t>
    </r>
    <r>
      <rPr>
        <vertAlign val="superscript"/>
        <sz val="11"/>
        <rFont val="Times New Roman"/>
        <family val="1"/>
      </rPr>
      <t>1</t>
    </r>
  </si>
</sst>
</file>

<file path=xl/styles.xml><?xml version="1.0" encoding="utf-8"?>
<styleSheet xmlns="http://schemas.openxmlformats.org/spreadsheetml/2006/main">
  <numFmts count="3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_(* #,##0.00000_);_(* \(#,##0.00000\);_(* &quot;-&quot;??_);_(@_)"/>
    <numFmt numFmtId="172" formatCode="0.000000%"/>
    <numFmt numFmtId="173" formatCode="&quot;$&quot;#,##0.000000_);\(&quot;$&quot;#,##0.000000\)"/>
    <numFmt numFmtId="174" formatCode="0.000"/>
    <numFmt numFmtId="175" formatCode="0.000000_)"/>
    <numFmt numFmtId="176" formatCode="0.0000%"/>
    <numFmt numFmtId="177" formatCode="0.00_)"/>
    <numFmt numFmtId="178" formatCode="0.000%"/>
    <numFmt numFmtId="179" formatCode="0.0000000%"/>
    <numFmt numFmtId="180" formatCode="#,##0.0_);\(#,##0.0\)"/>
    <numFmt numFmtId="181" formatCode="&quot;$&quot;#,##0.00000_);\(&quot;$&quot;#,##0.00000\)"/>
    <numFmt numFmtId="182" formatCode="0.000000000_)"/>
    <numFmt numFmtId="183" formatCode="#,##0.00000"/>
    <numFmt numFmtId="184" formatCode="_(* #,##0.00000000_);_(* \(#,##0.00000000\);_(* &quot;-&quot;??_);_(@_)"/>
    <numFmt numFmtId="185" formatCode="0.00000000_)"/>
    <numFmt numFmtId="186" formatCode="&quot;$&quot;#,##0.000_);\(&quot;$&quot;#,##0.000\)"/>
    <numFmt numFmtId="187" formatCode="#,##0.000"/>
    <numFmt numFmtId="188" formatCode="0.0000_)"/>
    <numFmt numFmtId="189" formatCode="_(&quot;$&quot;* #,##0.000000_);_(&quot;$&quot;* \(#,##0.000000\);_(&quot;$&quot;* &quot;-&quot;??_);_(@_)"/>
    <numFmt numFmtId="190" formatCode="_(&quot;$&quot;* #,##0.00000_);_(&quot;$&quot;* \(#,##0.00000\);_(&quot;$&quot;* &quot;-&quot;??_);_(@_)"/>
    <numFmt numFmtId="191" formatCode="&quot;$&quot;#,##0;[Red]&quot;$&quot;#,##0"/>
    <numFmt numFmtId="192" formatCode="0.00000E+0;\-0.00000E+0"/>
    <numFmt numFmtId="193" formatCode="_(* #,##0.0000_);_(* \(#,##0.0000\);_(* &quot;-&quot;??_);_(@_)"/>
    <numFmt numFmtId="194" formatCode="########\-###\-###"/>
    <numFmt numFmtId="195" formatCode="General_)"/>
  </numFmts>
  <fonts count="40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2"/>
      <color indexed="8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sz val="7"/>
      <name val="Arial"/>
      <family val="2"/>
    </font>
    <font>
      <sz val="10"/>
      <name val="SWISS"/>
    </font>
    <font>
      <sz val="10"/>
      <name val="LinePrinte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2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7" fillId="0" borderId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left"/>
    </xf>
    <xf numFmtId="194" fontId="7" fillId="0" borderId="0"/>
    <xf numFmtId="168" fontId="12" fillId="0" borderId="0" applyFont="0" applyAlignment="0" applyProtection="0"/>
    <xf numFmtId="0" fontId="7" fillId="0" borderId="0">
      <alignment wrapText="1"/>
    </xf>
    <xf numFmtId="41" fontId="3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wrapText="1"/>
    </xf>
    <xf numFmtId="0" fontId="7" fillId="0" borderId="0"/>
    <xf numFmtId="0" fontId="7" fillId="0" borderId="0"/>
    <xf numFmtId="0" fontId="2" fillId="0" borderId="0"/>
    <xf numFmtId="0" fontId="7" fillId="0" borderId="0">
      <alignment wrapText="1"/>
    </xf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95" fontId="39" fillId="0" borderId="0">
      <alignment horizontal="left"/>
    </xf>
  </cellStyleXfs>
  <cellXfs count="635">
    <xf numFmtId="0" fontId="0" fillId="0" borderId="0" xfId="0"/>
    <xf numFmtId="0" fontId="2" fillId="0" borderId="0" xfId="4" applyFill="1"/>
    <xf numFmtId="0" fontId="3" fillId="0" borderId="0" xfId="4" applyFont="1" applyFill="1"/>
    <xf numFmtId="0" fontId="2" fillId="0" borderId="0" xfId="4" applyFont="1" applyFill="1"/>
    <xf numFmtId="0" fontId="4" fillId="0" borderId="0" xfId="4" quotePrefix="1" applyFont="1" applyFill="1" applyAlignment="1"/>
    <xf numFmtId="0" fontId="4" fillId="0" borderId="0" xfId="4" applyFont="1" applyFill="1" applyAlignment="1"/>
    <xf numFmtId="0" fontId="2" fillId="0" borderId="0" xfId="4" applyFill="1" applyBorder="1"/>
    <xf numFmtId="0" fontId="4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4" applyFont="1" applyFill="1" applyBorder="1" applyAlignment="1">
      <alignment horizontal="left"/>
    </xf>
    <xf numFmtId="0" fontId="2" fillId="0" borderId="1" xfId="4" applyFont="1" applyFill="1" applyBorder="1" applyAlignment="1"/>
    <xf numFmtId="0" fontId="2" fillId="0" borderId="0" xfId="4" applyFont="1" applyFill="1" applyBorder="1" applyAlignment="1"/>
    <xf numFmtId="0" fontId="2" fillId="0" borderId="1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2" fillId="0" borderId="0" xfId="4" quotePrefix="1" applyFont="1" applyFill="1" applyBorder="1" applyAlignment="1">
      <alignment horizontal="center"/>
    </xf>
    <xf numFmtId="5" fontId="2" fillId="0" borderId="2" xfId="5" applyNumberFormat="1" applyFont="1" applyBorder="1" applyAlignment="1">
      <alignment horizontal="center"/>
    </xf>
    <xf numFmtId="5" fontId="2" fillId="0" borderId="0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2" fillId="0" borderId="0" xfId="4" applyFill="1" applyAlignment="1">
      <alignment horizontal="center"/>
    </xf>
    <xf numFmtId="5" fontId="2" fillId="0" borderId="0" xfId="5" applyNumberFormat="1" applyBorder="1" applyAlignment="1">
      <alignment horizontal="center"/>
    </xf>
    <xf numFmtId="0" fontId="2" fillId="0" borderId="0" xfId="4" quotePrefix="1" applyFont="1" applyFill="1" applyAlignment="1">
      <alignment horizontal="center"/>
    </xf>
    <xf numFmtId="0" fontId="2" fillId="0" borderId="0" xfId="4" applyFill="1" applyBorder="1" applyAlignment="1">
      <alignment horizontal="center"/>
    </xf>
    <xf numFmtId="0" fontId="2" fillId="0" borderId="3" xfId="4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6" fontId="2" fillId="0" borderId="3" xfId="4" quotePrefix="1" applyNumberFormat="1" applyFont="1" applyFill="1" applyBorder="1" applyAlignment="1">
      <alignment horizontal="center"/>
    </xf>
    <xf numFmtId="5" fontId="2" fillId="0" borderId="1" xfId="5" quotePrefix="1" applyNumberFormat="1" applyFont="1" applyBorder="1" applyAlignment="1">
      <alignment horizontal="center"/>
    </xf>
    <xf numFmtId="5" fontId="2" fillId="0" borderId="1" xfId="5" quotePrefix="1" applyNumberFormat="1" applyBorder="1" applyAlignment="1">
      <alignment horizontal="center"/>
    </xf>
    <xf numFmtId="6" fontId="2" fillId="0" borderId="0" xfId="4" quotePrefix="1" applyNumberFormat="1" applyFont="1" applyFill="1" applyBorder="1" applyAlignment="1">
      <alignment horizontal="center"/>
    </xf>
    <xf numFmtId="0" fontId="2" fillId="0" borderId="1" xfId="4" quotePrefix="1" applyFont="1" applyFill="1" applyBorder="1" applyAlignment="1">
      <alignment horizontal="center"/>
    </xf>
    <xf numFmtId="6" fontId="2" fillId="0" borderId="1" xfId="4" quotePrefix="1" applyNumberFormat="1" applyFont="1" applyFill="1" applyBorder="1" applyAlignment="1">
      <alignment horizontal="center"/>
    </xf>
    <xf numFmtId="0" fontId="2" fillId="0" borderId="0" xfId="4" quotePrefix="1" applyFont="1" applyFill="1"/>
    <xf numFmtId="0" fontId="6" fillId="0" borderId="0" xfId="4" applyFont="1" applyFill="1"/>
    <xf numFmtId="0" fontId="3" fillId="0" borderId="0" xfId="4" quotePrefix="1" applyFont="1" applyFill="1" applyAlignment="1">
      <alignment horizontal="center"/>
    </xf>
    <xf numFmtId="37" fontId="2" fillId="0" borderId="0" xfId="4" applyNumberFormat="1" applyFont="1" applyFill="1" applyProtection="1"/>
    <xf numFmtId="5" fontId="3" fillId="0" borderId="0" xfId="4" applyNumberFormat="1" applyFont="1" applyFill="1" applyProtection="1">
      <protection locked="0"/>
    </xf>
    <xf numFmtId="10" fontId="3" fillId="0" borderId="0" xfId="3" applyNumberFormat="1" applyFont="1" applyFill="1" applyProtection="1">
      <protection locked="0"/>
    </xf>
    <xf numFmtId="5" fontId="3" fillId="0" borderId="0" xfId="3" applyNumberFormat="1" applyFont="1" applyFill="1" applyProtection="1">
      <protection locked="0"/>
    </xf>
    <xf numFmtId="164" fontId="3" fillId="0" borderId="0" xfId="3" applyNumberFormat="1" applyFont="1" applyFill="1" applyProtection="1">
      <protection locked="0"/>
    </xf>
    <xf numFmtId="165" fontId="3" fillId="0" borderId="0" xfId="1" applyNumberFormat="1" applyFont="1" applyFill="1" applyProtection="1">
      <protection locked="0"/>
    </xf>
    <xf numFmtId="166" fontId="2" fillId="0" borderId="0" xfId="4" applyNumberFormat="1" applyFont="1" applyFill="1" applyProtection="1"/>
    <xf numFmtId="167" fontId="0" fillId="0" borderId="0" xfId="0" applyNumberFormat="1" applyFill="1" applyBorder="1" applyProtection="1"/>
    <xf numFmtId="0" fontId="2" fillId="0" borderId="0" xfId="4" applyFont="1" applyFill="1" applyBorder="1"/>
    <xf numFmtId="10" fontId="3" fillId="0" borderId="0" xfId="3" applyNumberFormat="1" applyFont="1" applyFill="1" applyBorder="1" applyProtection="1">
      <protection locked="0"/>
    </xf>
    <xf numFmtId="2" fontId="2" fillId="0" borderId="0" xfId="4" applyNumberFormat="1" applyFont="1" applyFill="1"/>
    <xf numFmtId="0" fontId="2" fillId="0" borderId="3" xfId="4" applyFill="1" applyBorder="1"/>
    <xf numFmtId="0" fontId="2" fillId="0" borderId="1" xfId="4" applyFill="1" applyBorder="1"/>
    <xf numFmtId="164" fontId="2" fillId="0" borderId="1" xfId="3" applyNumberFormat="1" applyFont="1" applyFill="1" applyBorder="1"/>
    <xf numFmtId="164" fontId="2" fillId="0" borderId="1" xfId="4" applyNumberFormat="1" applyFill="1" applyBorder="1"/>
    <xf numFmtId="165" fontId="2" fillId="0" borderId="1" xfId="4" applyNumberFormat="1" applyFill="1" applyBorder="1"/>
    <xf numFmtId="167" fontId="2" fillId="0" borderId="1" xfId="4" applyNumberFormat="1" applyFill="1" applyBorder="1"/>
    <xf numFmtId="0" fontId="0" fillId="0" borderId="0" xfId="0" applyFill="1" applyBorder="1"/>
    <xf numFmtId="164" fontId="2" fillId="0" borderId="0" xfId="4" applyNumberFormat="1" applyFill="1"/>
    <xf numFmtId="165" fontId="2" fillId="0" borderId="0" xfId="4" applyNumberFormat="1" applyFill="1"/>
    <xf numFmtId="167" fontId="2" fillId="0" borderId="0" xfId="4" applyNumberFormat="1" applyFill="1"/>
    <xf numFmtId="0" fontId="8" fillId="0" borderId="0" xfId="6" applyFont="1" applyFill="1" applyAlignment="1">
      <alignment horizontal="center"/>
    </xf>
    <xf numFmtId="37" fontId="2" fillId="0" borderId="0" xfId="4" applyNumberFormat="1" applyFill="1" applyProtection="1"/>
    <xf numFmtId="5" fontId="2" fillId="0" borderId="0" xfId="4" applyNumberFormat="1" applyFill="1" applyProtection="1"/>
    <xf numFmtId="165" fontId="3" fillId="0" borderId="0" xfId="3" applyNumberFormat="1" applyFont="1" applyFill="1" applyProtection="1">
      <protection locked="0"/>
    </xf>
    <xf numFmtId="37" fontId="2" fillId="0" borderId="0" xfId="4" applyNumberFormat="1" applyFill="1"/>
    <xf numFmtId="5" fontId="2" fillId="0" borderId="0" xfId="4" applyNumberFormat="1" applyFill="1"/>
    <xf numFmtId="164" fontId="2" fillId="0" borderId="0" xfId="3" applyNumberFormat="1" applyFont="1" applyFill="1"/>
    <xf numFmtId="0" fontId="8" fillId="0" borderId="0" xfId="6" applyFont="1" applyFill="1"/>
    <xf numFmtId="5" fontId="2" fillId="0" borderId="1" xfId="4" applyNumberFormat="1" applyFill="1" applyBorder="1" applyProtection="1"/>
    <xf numFmtId="37" fontId="2" fillId="0" borderId="3" xfId="4" applyNumberFormat="1" applyFill="1" applyBorder="1" applyProtection="1"/>
    <xf numFmtId="5" fontId="2" fillId="0" borderId="3" xfId="4" applyNumberFormat="1" applyFill="1" applyBorder="1" applyProtection="1"/>
    <xf numFmtId="5" fontId="2" fillId="0" borderId="0" xfId="4" applyNumberFormat="1" applyFill="1" applyBorder="1" applyProtection="1"/>
    <xf numFmtId="164" fontId="3" fillId="0" borderId="1" xfId="3" applyNumberFormat="1" applyFont="1" applyFill="1" applyBorder="1" applyProtection="1">
      <protection locked="0"/>
    </xf>
    <xf numFmtId="166" fontId="2" fillId="0" borderId="1" xfId="4" applyNumberFormat="1" applyFont="1" applyFill="1" applyBorder="1" applyProtection="1"/>
    <xf numFmtId="167" fontId="0" fillId="0" borderId="1" xfId="0" applyNumberFormat="1" applyFill="1" applyBorder="1" applyProtection="1"/>
    <xf numFmtId="167" fontId="2" fillId="0" borderId="0" xfId="0" applyNumberFormat="1" applyFont="1" applyFill="1" applyBorder="1" applyProtection="1"/>
    <xf numFmtId="37" fontId="2" fillId="0" borderId="0" xfId="4" applyNumberFormat="1" applyFill="1" applyBorder="1" applyProtection="1"/>
    <xf numFmtId="164" fontId="2" fillId="0" borderId="0" xfId="4" applyNumberFormat="1" applyFill="1" applyBorder="1" applyProtection="1"/>
    <xf numFmtId="10" fontId="2" fillId="0" borderId="0" xfId="4" applyNumberFormat="1" applyFill="1" applyBorder="1" applyProtection="1"/>
    <xf numFmtId="165" fontId="2" fillId="0" borderId="0" xfId="4" applyNumberFormat="1" applyFill="1" applyBorder="1" applyProtection="1"/>
    <xf numFmtId="167" fontId="2" fillId="0" borderId="0" xfId="4" applyNumberFormat="1" applyFill="1" applyBorder="1" applyProtection="1"/>
    <xf numFmtId="0" fontId="9" fillId="0" borderId="0" xfId="4" applyFont="1" applyFill="1"/>
    <xf numFmtId="37" fontId="2" fillId="0" borderId="4" xfId="4" applyNumberFormat="1" applyFill="1" applyBorder="1"/>
    <xf numFmtId="5" fontId="2" fillId="0" borderId="4" xfId="4" applyNumberFormat="1" applyFill="1" applyBorder="1"/>
    <xf numFmtId="5" fontId="2" fillId="0" borderId="0" xfId="4" applyNumberFormat="1" applyFill="1" applyBorder="1"/>
    <xf numFmtId="164" fontId="3" fillId="0" borderId="4" xfId="3" applyNumberFormat="1" applyFont="1" applyFill="1" applyBorder="1" applyProtection="1">
      <protection locked="0"/>
    </xf>
    <xf numFmtId="165" fontId="3" fillId="0" borderId="4" xfId="1" applyNumberFormat="1" applyFont="1" applyFill="1" applyBorder="1" applyProtection="1">
      <protection locked="0"/>
    </xf>
    <xf numFmtId="167" fontId="0" fillId="0" borderId="4" xfId="0" applyNumberFormat="1" applyFill="1" applyBorder="1" applyProtection="1"/>
    <xf numFmtId="37" fontId="2" fillId="0" borderId="0" xfId="4" applyNumberFormat="1" applyFill="1" applyBorder="1"/>
    <xf numFmtId="10" fontId="3" fillId="0" borderId="0" xfId="3" quotePrefix="1" applyNumberFormat="1" applyFont="1" applyFill="1" applyBorder="1" applyProtection="1">
      <protection locked="0"/>
    </xf>
    <xf numFmtId="5" fontId="3" fillId="0" borderId="0" xfId="3" quotePrefix="1" applyNumberFormat="1" applyFont="1" applyFill="1" applyBorder="1" applyProtection="1">
      <protection locked="0"/>
    </xf>
    <xf numFmtId="0" fontId="10" fillId="0" borderId="0" xfId="6" applyFont="1" applyFill="1"/>
    <xf numFmtId="37" fontId="2" fillId="0" borderId="4" xfId="4" applyNumberFormat="1" applyFont="1" applyFill="1" applyBorder="1" applyProtection="1"/>
    <xf numFmtId="5" fontId="3" fillId="0" borderId="4" xfId="3" applyNumberFormat="1" applyFont="1" applyFill="1" applyBorder="1" applyProtection="1">
      <protection locked="0"/>
    </xf>
    <xf numFmtId="5" fontId="2" fillId="0" borderId="0" xfId="4" applyNumberFormat="1" applyFont="1" applyFill="1"/>
    <xf numFmtId="168" fontId="2" fillId="0" borderId="0" xfId="1" applyNumberFormat="1" applyFont="1" applyFill="1"/>
    <xf numFmtId="0" fontId="2" fillId="0" borderId="0" xfId="4" applyFont="1" applyFill="1" applyAlignment="1">
      <alignment horizontal="right"/>
    </xf>
    <xf numFmtId="43" fontId="2" fillId="0" borderId="0" xfId="1" applyFont="1" applyFill="1"/>
    <xf numFmtId="10" fontId="2" fillId="0" borderId="0" xfId="3" applyNumberFormat="1" applyFont="1" applyFill="1"/>
    <xf numFmtId="169" fontId="11" fillId="0" borderId="0" xfId="2" applyNumberFormat="1" applyFont="1" applyFill="1"/>
    <xf numFmtId="164" fontId="11" fillId="0" borderId="0" xfId="3" applyNumberFormat="1" applyFont="1" applyFill="1" applyBorder="1" applyProtection="1">
      <protection locked="0"/>
    </xf>
    <xf numFmtId="1" fontId="2" fillId="0" borderId="0" xfId="4" applyNumberFormat="1" applyFill="1"/>
    <xf numFmtId="164" fontId="2" fillId="0" borderId="0" xfId="3" applyNumberFormat="1" applyFont="1" applyFill="1" applyBorder="1"/>
    <xf numFmtId="1" fontId="11" fillId="0" borderId="0" xfId="4" applyNumberFormat="1" applyFont="1" applyFill="1"/>
    <xf numFmtId="164" fontId="11" fillId="0" borderId="0" xfId="3" applyNumberFormat="1" applyFont="1" applyFill="1"/>
    <xf numFmtId="170" fontId="2" fillId="0" borderId="0" xfId="4" applyNumberFormat="1" applyFill="1"/>
    <xf numFmtId="164" fontId="12" fillId="0" borderId="0" xfId="3" applyNumberFormat="1" applyFont="1" applyFill="1"/>
    <xf numFmtId="0" fontId="13" fillId="0" borderId="0" xfId="0" applyFont="1" applyFill="1" applyAlignment="1">
      <alignment horizontal="centerContinuous"/>
    </xf>
    <xf numFmtId="0" fontId="0" fillId="0" borderId="0" xfId="0" applyFill="1" applyAlignment="1" applyProtection="1">
      <alignment horizontal="centerContinuous"/>
    </xf>
    <xf numFmtId="37" fontId="0" fillId="0" borderId="0" xfId="0" applyNumberFormat="1" applyFill="1" applyAlignment="1" applyProtection="1">
      <alignment horizontal="centerContinuous"/>
    </xf>
    <xf numFmtId="0" fontId="0" fillId="0" borderId="0" xfId="0" applyFill="1"/>
    <xf numFmtId="3" fontId="0" fillId="0" borderId="0" xfId="0" applyNumberFormat="1" applyFill="1" applyBorder="1"/>
    <xf numFmtId="0" fontId="10" fillId="0" borderId="0" xfId="0" quotePrefix="1" applyFont="1" applyFill="1" applyAlignment="1" applyProtection="1">
      <alignment horizontal="centerContinuous"/>
    </xf>
    <xf numFmtId="0" fontId="14" fillId="0" borderId="0" xfId="0" applyFont="1" applyFill="1" applyAlignment="1" applyProtection="1">
      <alignment horizontal="centerContinuous"/>
    </xf>
    <xf numFmtId="37" fontId="14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4" fillId="0" borderId="0" xfId="0" applyFont="1" applyFill="1" applyProtection="1"/>
    <xf numFmtId="37" fontId="10" fillId="0" borderId="0" xfId="0" applyNumberFormat="1" applyFont="1" applyFill="1" applyAlignment="1" applyProtection="1">
      <alignment horizontal="center"/>
    </xf>
    <xf numFmtId="0" fontId="10" fillId="0" borderId="0" xfId="0" applyFont="1" applyFill="1" applyProtection="1"/>
    <xf numFmtId="0" fontId="10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37" fontId="10" fillId="0" borderId="3" xfId="0" applyNumberFormat="1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3" xfId="0" applyFont="1" applyFill="1" applyBorder="1" applyProtection="1"/>
    <xf numFmtId="0" fontId="15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12" fillId="0" borderId="0" xfId="2" applyNumberFormat="1" applyFont="1" applyFill="1"/>
    <xf numFmtId="5" fontId="3" fillId="0" borderId="0" xfId="0" applyNumberFormat="1" applyFont="1" applyFill="1" applyProtection="1"/>
    <xf numFmtId="5" fontId="0" fillId="0" borderId="0" xfId="0" applyNumberFormat="1" applyFill="1"/>
    <xf numFmtId="43" fontId="0" fillId="0" borderId="0" xfId="0" applyNumberFormat="1" applyFill="1"/>
    <xf numFmtId="7" fontId="12" fillId="0" borderId="0" xfId="0" applyNumberFormat="1" applyFont="1" applyFill="1"/>
    <xf numFmtId="0" fontId="12" fillId="0" borderId="0" xfId="2" applyNumberFormat="1" applyFont="1" applyFill="1"/>
    <xf numFmtId="0" fontId="12" fillId="0" borderId="0" xfId="0" applyFont="1" applyFill="1"/>
    <xf numFmtId="7" fontId="12" fillId="0" borderId="0" xfId="2" applyNumberFormat="1" applyFont="1" applyFill="1" applyBorder="1"/>
    <xf numFmtId="0" fontId="2" fillId="0" borderId="0" xfId="0" applyFont="1" applyFill="1"/>
    <xf numFmtId="167" fontId="12" fillId="0" borderId="0" xfId="0" applyNumberFormat="1" applyFont="1" applyFill="1" applyProtection="1">
      <protection locked="0"/>
    </xf>
    <xf numFmtId="0" fontId="3" fillId="0" borderId="0" xfId="0" applyFont="1" applyFill="1" applyProtection="1"/>
    <xf numFmtId="37" fontId="0" fillId="0" borderId="0" xfId="0" applyNumberFormat="1" applyFill="1" applyBorder="1"/>
    <xf numFmtId="171" fontId="2" fillId="0" borderId="0" xfId="1" applyNumberFormat="1" applyFont="1" applyFill="1"/>
    <xf numFmtId="5" fontId="0" fillId="0" borderId="0" xfId="0" applyNumberFormat="1" applyFill="1" applyBorder="1" applyProtection="1"/>
    <xf numFmtId="3" fontId="2" fillId="0" borderId="0" xfId="0" applyNumberFormat="1" applyFont="1" applyFill="1" applyAlignment="1">
      <alignment horizontal="center"/>
    </xf>
    <xf numFmtId="37" fontId="0" fillId="0" borderId="5" xfId="0" applyNumberFormat="1" applyFont="1" applyFill="1" applyBorder="1" applyProtection="1"/>
    <xf numFmtId="5" fontId="3" fillId="0" borderId="5" xfId="0" applyNumberFormat="1" applyFont="1" applyFill="1" applyBorder="1" applyProtection="1"/>
    <xf numFmtId="5" fontId="3" fillId="0" borderId="6" xfId="0" applyNumberFormat="1" applyFont="1" applyFill="1" applyBorder="1" applyProtection="1"/>
    <xf numFmtId="0" fontId="0" fillId="0" borderId="7" xfId="0" applyFill="1" applyBorder="1"/>
    <xf numFmtId="5" fontId="0" fillId="0" borderId="2" xfId="0" applyNumberFormat="1" applyFill="1" applyBorder="1"/>
    <xf numFmtId="164" fontId="0" fillId="0" borderId="8" xfId="3" applyNumberFormat="1" applyFont="1" applyFill="1" applyBorder="1"/>
    <xf numFmtId="10" fontId="0" fillId="0" borderId="0" xfId="3" applyNumberFormat="1" applyFont="1" applyFill="1" applyBorder="1"/>
    <xf numFmtId="37" fontId="0" fillId="0" borderId="0" xfId="0" applyNumberFormat="1" applyFill="1" applyProtection="1"/>
    <xf numFmtId="0" fontId="0" fillId="0" borderId="0" xfId="0" applyFill="1" applyProtection="1"/>
    <xf numFmtId="0" fontId="0" fillId="0" borderId="9" xfId="0" applyFill="1" applyBorder="1"/>
    <xf numFmtId="5" fontId="0" fillId="0" borderId="1" xfId="0" applyNumberFormat="1" applyFill="1" applyBorder="1"/>
    <xf numFmtId="0" fontId="0" fillId="0" borderId="10" xfId="0" applyFill="1" applyBorder="1"/>
    <xf numFmtId="172" fontId="2" fillId="0" borderId="0" xfId="3" applyNumberFormat="1" applyFont="1" applyFill="1"/>
    <xf numFmtId="0" fontId="16" fillId="0" borderId="0" xfId="7" applyFont="1" applyFill="1" applyBorder="1"/>
    <xf numFmtId="173" fontId="16" fillId="0" borderId="0" xfId="7" applyNumberFormat="1" applyFont="1" applyFill="1" applyBorder="1"/>
    <xf numFmtId="0" fontId="16" fillId="0" borderId="0" xfId="7" applyFont="1" applyFill="1" applyBorder="1" applyAlignment="1">
      <alignment horizontal="right"/>
    </xf>
    <xf numFmtId="168" fontId="16" fillId="0" borderId="0" xfId="1" applyNumberFormat="1" applyFont="1" applyFill="1" applyBorder="1"/>
    <xf numFmtId="0" fontId="16" fillId="0" borderId="0" xfId="7" applyFont="1" applyFill="1" applyBorder="1" applyAlignment="1">
      <alignment horizontal="left"/>
    </xf>
    <xf numFmtId="7" fontId="16" fillId="0" borderId="0" xfId="7" applyNumberFormat="1" applyFont="1" applyFill="1" applyBorder="1" applyAlignment="1">
      <alignment horizontal="right"/>
    </xf>
    <xf numFmtId="171" fontId="16" fillId="0" borderId="0" xfId="1" applyNumberFormat="1" applyFont="1" applyFill="1" applyBorder="1"/>
    <xf numFmtId="168" fontId="17" fillId="0" borderId="0" xfId="1" applyNumberFormat="1" applyFont="1" applyFill="1" applyBorder="1"/>
    <xf numFmtId="7" fontId="16" fillId="0" borderId="0" xfId="7" applyNumberFormat="1" applyFont="1" applyFill="1" applyBorder="1"/>
    <xf numFmtId="0" fontId="16" fillId="0" borderId="0" xfId="7" applyFont="1" applyFill="1" applyBorder="1" applyAlignment="1">
      <alignment horizontal="center"/>
    </xf>
    <xf numFmtId="10" fontId="18" fillId="0" borderId="0" xfId="7" applyNumberFormat="1" applyFont="1" applyFill="1" applyBorder="1"/>
    <xf numFmtId="5" fontId="16" fillId="0" borderId="0" xfId="7" applyNumberFormat="1" applyFont="1" applyFill="1" applyBorder="1"/>
    <xf numFmtId="10" fontId="16" fillId="0" borderId="0" xfId="3" applyNumberFormat="1" applyFont="1" applyFill="1" applyBorder="1"/>
    <xf numFmtId="0" fontId="15" fillId="0" borderId="0" xfId="0" applyFont="1" applyFill="1" applyProtection="1"/>
    <xf numFmtId="37" fontId="3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0" fontId="3" fillId="0" borderId="0" xfId="0" applyFont="1" applyFill="1" applyProtection="1">
      <protection locked="0"/>
    </xf>
    <xf numFmtId="3" fontId="2" fillId="0" borderId="0" xfId="0" applyNumberFormat="1" applyFont="1" applyFill="1" applyBorder="1" applyAlignment="1">
      <alignment horizontal="center"/>
    </xf>
    <xf numFmtId="7" fontId="12" fillId="0" borderId="0" xfId="0" applyNumberFormat="1" applyFont="1" applyFill="1" applyProtection="1">
      <protection locked="0"/>
    </xf>
    <xf numFmtId="9" fontId="0" fillId="0" borderId="0" xfId="3" applyFont="1" applyFill="1"/>
    <xf numFmtId="3" fontId="2" fillId="0" borderId="0" xfId="0" applyNumberFormat="1" applyFont="1" applyFill="1"/>
    <xf numFmtId="174" fontId="0" fillId="0" borderId="0" xfId="0" applyNumberFormat="1" applyFill="1"/>
    <xf numFmtId="169" fontId="2" fillId="0" borderId="0" xfId="2" applyNumberFormat="1" applyFont="1" applyFill="1"/>
    <xf numFmtId="0" fontId="3" fillId="0" borderId="0" xfId="0" applyFont="1" applyFill="1"/>
    <xf numFmtId="7" fontId="3" fillId="0" borderId="0" xfId="0" applyNumberFormat="1" applyFont="1" applyFill="1" applyProtection="1">
      <protection locked="0"/>
    </xf>
    <xf numFmtId="0" fontId="2" fillId="2" borderId="0" xfId="0" applyFont="1" applyFill="1"/>
    <xf numFmtId="0" fontId="0" fillId="2" borderId="0" xfId="0" applyFill="1"/>
    <xf numFmtId="37" fontId="3" fillId="2" borderId="0" xfId="0" applyNumberFormat="1" applyFont="1" applyFill="1" applyProtection="1"/>
    <xf numFmtId="7" fontId="12" fillId="2" borderId="0" xfId="2" applyNumberFormat="1" applyFont="1" applyFill="1" applyBorder="1"/>
    <xf numFmtId="0" fontId="0" fillId="2" borderId="0" xfId="0" applyFill="1" applyBorder="1"/>
    <xf numFmtId="5" fontId="3" fillId="2" borderId="0" xfId="0" applyNumberFormat="1" applyFont="1" applyFill="1" applyProtection="1"/>
    <xf numFmtId="167" fontId="12" fillId="2" borderId="0" xfId="0" applyNumberFormat="1" applyFont="1" applyFill="1" applyProtection="1">
      <protection locked="0"/>
    </xf>
    <xf numFmtId="0" fontId="3" fillId="2" borderId="0" xfId="0" applyFont="1" applyFill="1" applyProtection="1"/>
    <xf numFmtId="168" fontId="3" fillId="0" borderId="0" xfId="0" applyNumberFormat="1" applyFont="1" applyFill="1" applyProtection="1"/>
    <xf numFmtId="167" fontId="3" fillId="0" borderId="0" xfId="0" applyNumberFormat="1" applyFont="1" applyFill="1" applyProtection="1">
      <protection locked="0"/>
    </xf>
    <xf numFmtId="5" fontId="3" fillId="0" borderId="0" xfId="0" applyNumberFormat="1" applyFont="1" applyFill="1" applyProtection="1">
      <protection locked="0"/>
    </xf>
    <xf numFmtId="168" fontId="3" fillId="0" borderId="0" xfId="1" applyNumberFormat="1" applyFont="1" applyFill="1" applyProtection="1"/>
    <xf numFmtId="37" fontId="3" fillId="0" borderId="1" xfId="0" applyNumberFormat="1" applyFont="1" applyFill="1" applyBorder="1" applyProtection="1"/>
    <xf numFmtId="5" fontId="3" fillId="0" borderId="3" xfId="0" applyNumberFormat="1" applyFont="1" applyFill="1" applyBorder="1" applyProtection="1"/>
    <xf numFmtId="37" fontId="0" fillId="0" borderId="6" xfId="0" applyNumberFormat="1" applyFont="1" applyFill="1" applyBorder="1" applyProtection="1"/>
    <xf numFmtId="37" fontId="0" fillId="0" borderId="2" xfId="0" applyNumberFormat="1" applyFill="1" applyBorder="1"/>
    <xf numFmtId="175" fontId="3" fillId="0" borderId="0" xfId="0" applyNumberFormat="1" applyFont="1" applyFill="1" applyProtection="1"/>
    <xf numFmtId="5" fontId="16" fillId="0" borderId="1" xfId="7" applyNumberFormat="1" applyFont="1" applyFill="1" applyBorder="1"/>
    <xf numFmtId="176" fontId="2" fillId="0" borderId="0" xfId="3" applyNumberFormat="1" applyFont="1" applyFill="1" applyBorder="1"/>
    <xf numFmtId="0" fontId="19" fillId="0" borderId="0" xfId="0" applyFont="1" applyFill="1" applyProtection="1"/>
    <xf numFmtId="0" fontId="2" fillId="0" borderId="0" xfId="0" applyFont="1" applyFill="1" applyBorder="1"/>
    <xf numFmtId="5" fontId="3" fillId="0" borderId="0" xfId="0" applyNumberFormat="1" applyFont="1" applyFill="1" applyBorder="1" applyProtection="1"/>
    <xf numFmtId="37" fontId="3" fillId="0" borderId="3" xfId="0" applyNumberFormat="1" applyFont="1" applyFill="1" applyBorder="1" applyProtection="1"/>
    <xf numFmtId="169" fontId="3" fillId="0" borderId="0" xfId="2" applyNumberFormat="1" applyFont="1" applyFill="1" applyProtection="1"/>
    <xf numFmtId="0" fontId="0" fillId="0" borderId="0" xfId="0" applyFill="1" applyAlignment="1">
      <alignment horizontal="right"/>
    </xf>
    <xf numFmtId="9" fontId="2" fillId="0" borderId="0" xfId="3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5" fontId="0" fillId="0" borderId="0" xfId="0" applyNumberFormat="1" applyFont="1" applyFill="1" applyProtection="1"/>
    <xf numFmtId="5" fontId="0" fillId="0" borderId="0" xfId="0" applyNumberFormat="1" applyFont="1" applyFill="1" applyBorder="1" applyProtection="1"/>
    <xf numFmtId="0" fontId="0" fillId="0" borderId="0" xfId="0" applyFont="1" applyFill="1" applyProtection="1"/>
    <xf numFmtId="5" fontId="12" fillId="0" borderId="0" xfId="0" applyNumberFormat="1" applyFont="1" applyFill="1" applyProtection="1">
      <protection locked="0"/>
    </xf>
    <xf numFmtId="0" fontId="12" fillId="0" borderId="0" xfId="0" applyFont="1" applyFill="1" applyProtection="1">
      <protection locked="0"/>
    </xf>
    <xf numFmtId="9" fontId="0" fillId="0" borderId="0" xfId="0" applyNumberFormat="1" applyFill="1"/>
    <xf numFmtId="168" fontId="0" fillId="0" borderId="0" xfId="0" applyNumberFormat="1" applyFill="1"/>
    <xf numFmtId="7" fontId="0" fillId="0" borderId="0" xfId="0" applyNumberFormat="1" applyFill="1"/>
    <xf numFmtId="177" fontId="12" fillId="0" borderId="0" xfId="0" applyNumberFormat="1" applyFont="1" applyFill="1" applyProtection="1">
      <protection locked="0"/>
    </xf>
    <xf numFmtId="37" fontId="0" fillId="2" borderId="0" xfId="0" applyNumberFormat="1" applyFont="1" applyFill="1" applyProtection="1"/>
    <xf numFmtId="0" fontId="0" fillId="2" borderId="0" xfId="0" applyFont="1" applyFill="1" applyProtection="1"/>
    <xf numFmtId="5" fontId="0" fillId="2" borderId="0" xfId="0" applyNumberFormat="1" applyFont="1" applyFill="1" applyBorder="1" applyProtection="1"/>
    <xf numFmtId="0" fontId="9" fillId="0" borderId="0" xfId="0" applyFont="1" applyFill="1" applyProtection="1"/>
    <xf numFmtId="164" fontId="12" fillId="0" borderId="0" xfId="0" applyNumberFormat="1" applyFont="1" applyFill="1" applyProtection="1"/>
    <xf numFmtId="165" fontId="2" fillId="0" borderId="0" xfId="1" applyNumberFormat="1" applyFont="1" applyFill="1"/>
    <xf numFmtId="7" fontId="0" fillId="0" borderId="0" xfId="0" applyNumberFormat="1" applyFont="1" applyFill="1" applyProtection="1"/>
    <xf numFmtId="166" fontId="0" fillId="0" borderId="0" xfId="0" applyNumberFormat="1" applyFont="1" applyFill="1" applyProtection="1"/>
    <xf numFmtId="39" fontId="0" fillId="0" borderId="0" xfId="0" applyNumberFormat="1" applyFont="1" applyFill="1" applyProtection="1"/>
    <xf numFmtId="7" fontId="12" fillId="0" borderId="0" xfId="0" applyNumberFormat="1" applyFont="1" applyFill="1" applyProtection="1"/>
    <xf numFmtId="39" fontId="12" fillId="0" borderId="0" xfId="0" applyNumberFormat="1" applyFont="1" applyFill="1" applyProtection="1">
      <protection locked="0"/>
    </xf>
    <xf numFmtId="178" fontId="2" fillId="0" borderId="0" xfId="3" applyNumberFormat="1" applyFont="1" applyFill="1"/>
    <xf numFmtId="37" fontId="0" fillId="0" borderId="1" xfId="0" applyNumberFormat="1" applyFont="1" applyFill="1" applyBorder="1" applyProtection="1"/>
    <xf numFmtId="5" fontId="0" fillId="0" borderId="3" xfId="0" applyNumberFormat="1" applyFont="1" applyFill="1" applyBorder="1" applyProtection="1"/>
    <xf numFmtId="10" fontId="18" fillId="0" borderId="0" xfId="7" applyNumberFormat="1" applyFont="1" applyFill="1"/>
    <xf numFmtId="164" fontId="0" fillId="0" borderId="6" xfId="0" applyNumberFormat="1" applyFont="1" applyFill="1" applyBorder="1" applyProtection="1"/>
    <xf numFmtId="10" fontId="15" fillId="0" borderId="6" xfId="0" applyNumberFormat="1" applyFont="1" applyFill="1" applyBorder="1" applyProtection="1"/>
    <xf numFmtId="5" fontId="0" fillId="0" borderId="6" xfId="0" applyNumberFormat="1" applyFont="1" applyFill="1" applyBorder="1" applyProtection="1"/>
    <xf numFmtId="168" fontId="0" fillId="0" borderId="6" xfId="0" applyNumberFormat="1" applyFont="1" applyFill="1" applyBorder="1" applyProtection="1"/>
    <xf numFmtId="0" fontId="3" fillId="0" borderId="6" xfId="0" applyFont="1" applyFill="1" applyBorder="1" applyProtection="1"/>
    <xf numFmtId="168" fontId="2" fillId="0" borderId="6" xfId="1" applyNumberFormat="1" applyFont="1" applyFill="1" applyBorder="1" applyProtection="1"/>
    <xf numFmtId="5" fontId="16" fillId="0" borderId="0" xfId="7" applyNumberFormat="1" applyFont="1" applyFill="1"/>
    <xf numFmtId="164" fontId="2" fillId="0" borderId="8" xfId="3" applyNumberFormat="1" applyFont="1" applyFill="1" applyBorder="1"/>
    <xf numFmtId="10" fontId="2" fillId="0" borderId="0" xfId="3" applyNumberFormat="1" applyFont="1" applyFill="1" applyBorder="1"/>
    <xf numFmtId="172" fontId="2" fillId="0" borderId="10" xfId="3" applyNumberFormat="1" applyFont="1" applyFill="1" applyBorder="1"/>
    <xf numFmtId="172" fontId="2" fillId="0" borderId="0" xfId="3" applyNumberFormat="1" applyFont="1" applyFill="1" applyBorder="1"/>
    <xf numFmtId="179" fontId="2" fillId="0" borderId="0" xfId="3" applyNumberFormat="1" applyFont="1" applyFill="1"/>
    <xf numFmtId="5" fontId="0" fillId="0" borderId="0" xfId="0" applyNumberFormat="1" applyFill="1" applyBorder="1"/>
    <xf numFmtId="10" fontId="3" fillId="0" borderId="0" xfId="3" applyNumberFormat="1" applyFont="1" applyFill="1" applyProtection="1"/>
    <xf numFmtId="168" fontId="2" fillId="0" borderId="0" xfId="1" applyNumberFormat="1" applyFont="1" applyFill="1" applyBorder="1"/>
    <xf numFmtId="37" fontId="0" fillId="0" borderId="3" xfId="0" applyNumberFormat="1" applyFont="1" applyFill="1" applyBorder="1" applyProtection="1"/>
    <xf numFmtId="37" fontId="0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10" fontId="15" fillId="0" borderId="0" xfId="0" applyNumberFormat="1" applyFont="1" applyFill="1" applyBorder="1" applyProtection="1"/>
    <xf numFmtId="0" fontId="3" fillId="0" borderId="0" xfId="0" applyFont="1" applyFill="1" applyBorder="1" applyProtection="1"/>
    <xf numFmtId="7" fontId="2" fillId="0" borderId="0" xfId="0" applyNumberFormat="1" applyFont="1" applyFill="1" applyProtection="1"/>
    <xf numFmtId="37" fontId="12" fillId="0" borderId="0" xfId="0" applyNumberFormat="1" applyFont="1" applyFill="1" applyProtection="1"/>
    <xf numFmtId="7" fontId="15" fillId="0" borderId="0" xfId="0" applyNumberFormat="1" applyFont="1" applyFill="1" applyProtection="1"/>
    <xf numFmtId="180" fontId="0" fillId="0" borderId="0" xfId="0" applyNumberFormat="1" applyFont="1" applyFill="1" applyProtection="1"/>
    <xf numFmtId="181" fontId="12" fillId="0" borderId="0" xfId="0" applyNumberFormat="1" applyFont="1" applyFill="1" applyProtection="1"/>
    <xf numFmtId="43" fontId="12" fillId="0" borderId="0" xfId="1" applyFont="1" applyFill="1" applyProtection="1">
      <protection locked="0"/>
    </xf>
    <xf numFmtId="0" fontId="20" fillId="0" borderId="0" xfId="0" applyFont="1" applyFill="1" applyProtection="1"/>
    <xf numFmtId="5" fontId="12" fillId="0" borderId="0" xfId="0" applyNumberFormat="1" applyFont="1" applyFill="1" applyProtection="1"/>
    <xf numFmtId="167" fontId="0" fillId="0" borderId="0" xfId="0" applyNumberFormat="1" applyFont="1" applyFill="1" applyProtection="1"/>
    <xf numFmtId="177" fontId="3" fillId="0" borderId="0" xfId="0" applyNumberFormat="1" applyFont="1" applyFill="1" applyProtection="1">
      <protection locked="0"/>
    </xf>
    <xf numFmtId="181" fontId="2" fillId="0" borderId="0" xfId="0" applyNumberFormat="1" applyFont="1" applyFill="1" applyProtection="1"/>
    <xf numFmtId="5" fontId="15" fillId="0" borderId="0" xfId="0" applyNumberFormat="1" applyFont="1" applyFill="1" applyProtection="1"/>
    <xf numFmtId="37" fontId="3" fillId="0" borderId="6" xfId="0" applyNumberFormat="1" applyFont="1" applyFill="1" applyBorder="1" applyProtection="1"/>
    <xf numFmtId="182" fontId="0" fillId="0" borderId="0" xfId="0" applyNumberFormat="1" applyFont="1" applyFill="1" applyProtection="1"/>
    <xf numFmtId="0" fontId="2" fillId="0" borderId="0" xfId="0" applyFont="1" applyFill="1" applyBorder="1" applyAlignment="1">
      <alignment horizontal="center"/>
    </xf>
    <xf numFmtId="7" fontId="2" fillId="0" borderId="0" xfId="0" applyNumberFormat="1" applyFont="1" applyFill="1" applyProtection="1">
      <protection locked="0"/>
    </xf>
    <xf numFmtId="165" fontId="12" fillId="0" borderId="0" xfId="1" applyNumberFormat="1" applyFont="1" applyFill="1" applyProtection="1">
      <protection locked="0"/>
    </xf>
    <xf numFmtId="165" fontId="12" fillId="2" borderId="0" xfId="1" applyNumberFormat="1" applyFont="1" applyFill="1" applyProtection="1">
      <protection locked="0"/>
    </xf>
    <xf numFmtId="5" fontId="0" fillId="2" borderId="0" xfId="0" applyNumberFormat="1" applyFont="1" applyFill="1" applyProtection="1"/>
    <xf numFmtId="183" fontId="0" fillId="0" borderId="0" xfId="0" applyNumberFormat="1" applyFill="1"/>
    <xf numFmtId="5" fontId="15" fillId="0" borderId="0" xfId="0" applyNumberFormat="1" applyFont="1" applyFill="1" applyProtection="1">
      <protection locked="0"/>
    </xf>
    <xf numFmtId="0" fontId="15" fillId="0" borderId="0" xfId="0" applyFont="1" applyFill="1" applyProtection="1">
      <protection locked="0"/>
    </xf>
    <xf numFmtId="169" fontId="3" fillId="0" borderId="0" xfId="0" applyNumberFormat="1" applyFont="1" applyFill="1" applyProtection="1"/>
    <xf numFmtId="184" fontId="2" fillId="0" borderId="0" xfId="1" applyNumberFormat="1" applyFont="1" applyFill="1"/>
    <xf numFmtId="7" fontId="16" fillId="0" borderId="0" xfId="7" applyNumberFormat="1" applyFont="1" applyFill="1"/>
    <xf numFmtId="166" fontId="12" fillId="0" borderId="0" xfId="0" applyNumberFormat="1" applyFont="1" applyFill="1" applyProtection="1">
      <protection locked="0"/>
    </xf>
    <xf numFmtId="165" fontId="12" fillId="0" borderId="0" xfId="0" applyNumberFormat="1" applyFont="1" applyFill="1" applyProtection="1">
      <protection locked="0"/>
    </xf>
    <xf numFmtId="43" fontId="12" fillId="0" borderId="0" xfId="0" applyNumberFormat="1" applyFont="1" applyFill="1" applyProtection="1">
      <protection locked="0"/>
    </xf>
    <xf numFmtId="43" fontId="12" fillId="0" borderId="0" xfId="1" applyNumberFormat="1" applyFont="1" applyFill="1" applyProtection="1">
      <protection locked="0"/>
    </xf>
    <xf numFmtId="185" fontId="3" fillId="0" borderId="0" xfId="0" applyNumberFormat="1" applyFont="1" applyFill="1" applyProtection="1"/>
    <xf numFmtId="5" fontId="3" fillId="0" borderId="0" xfId="0" applyNumberFormat="1" applyFont="1" applyFill="1"/>
    <xf numFmtId="7" fontId="3" fillId="0" borderId="0" xfId="0" applyNumberFormat="1" applyFont="1" applyFill="1" applyProtection="1"/>
    <xf numFmtId="186" fontId="3" fillId="0" borderId="0" xfId="0" applyNumberFormat="1" applyFont="1" applyFill="1" applyProtection="1"/>
    <xf numFmtId="10" fontId="0" fillId="0" borderId="0" xfId="3" applyNumberFormat="1" applyFont="1" applyFill="1"/>
    <xf numFmtId="10" fontId="0" fillId="0" borderId="0" xfId="0" applyNumberFormat="1" applyFill="1" applyBorder="1"/>
    <xf numFmtId="7" fontId="0" fillId="0" borderId="0" xfId="0" applyNumberFormat="1" applyFill="1" applyProtection="1"/>
    <xf numFmtId="4" fontId="0" fillId="0" borderId="0" xfId="0" applyNumberFormat="1" applyFill="1"/>
    <xf numFmtId="165" fontId="12" fillId="0" borderId="0" xfId="1" applyNumberFormat="1" applyFont="1" applyFill="1" applyProtection="1"/>
    <xf numFmtId="187" fontId="0" fillId="0" borderId="0" xfId="0" applyNumberFormat="1" applyFill="1"/>
    <xf numFmtId="43" fontId="12" fillId="0" borderId="0" xfId="1" applyFont="1" applyFill="1" applyProtection="1"/>
    <xf numFmtId="165" fontId="12" fillId="2" borderId="0" xfId="1" applyNumberFormat="1" applyFont="1" applyFill="1" applyProtection="1"/>
    <xf numFmtId="174" fontId="3" fillId="0" borderId="0" xfId="0" applyNumberFormat="1" applyFont="1" applyFill="1" applyProtection="1"/>
    <xf numFmtId="43" fontId="12" fillId="0" borderId="0" xfId="1" applyNumberFormat="1" applyFont="1" applyFill="1" applyProtection="1"/>
    <xf numFmtId="37" fontId="3" fillId="0" borderId="0" xfId="0" applyNumberFormat="1" applyFont="1" applyFill="1" applyBorder="1" applyProtection="1"/>
    <xf numFmtId="164" fontId="0" fillId="0" borderId="0" xfId="0" applyNumberFormat="1" applyFill="1" applyBorder="1" applyProtection="1"/>
    <xf numFmtId="176" fontId="2" fillId="0" borderId="10" xfId="3" applyNumberFormat="1" applyFont="1" applyFill="1" applyBorder="1"/>
    <xf numFmtId="174" fontId="12" fillId="0" borderId="0" xfId="0" applyNumberFormat="1" applyFont="1" applyFill="1" applyProtection="1"/>
    <xf numFmtId="167" fontId="3" fillId="0" borderId="0" xfId="0" applyNumberFormat="1" applyFont="1" applyFill="1" applyProtection="1"/>
    <xf numFmtId="181" fontId="3" fillId="0" borderId="0" xfId="0" applyNumberFormat="1" applyFont="1" applyFill="1" applyProtection="1"/>
    <xf numFmtId="186" fontId="0" fillId="0" borderId="0" xfId="0" applyNumberFormat="1" applyFont="1" applyFill="1" applyProtection="1"/>
    <xf numFmtId="174" fontId="0" fillId="0" borderId="0" xfId="0" applyNumberFormat="1" applyFont="1" applyFill="1"/>
    <xf numFmtId="37" fontId="3" fillId="0" borderId="5" xfId="0" applyNumberFormat="1" applyFont="1" applyFill="1" applyBorder="1" applyProtection="1"/>
    <xf numFmtId="164" fontId="2" fillId="0" borderId="10" xfId="3" applyNumberFormat="1" applyFont="1" applyFill="1" applyBorder="1"/>
    <xf numFmtId="167" fontId="12" fillId="0" borderId="0" xfId="1" applyNumberFormat="1" applyFont="1" applyFill="1" applyProtection="1"/>
    <xf numFmtId="167" fontId="12" fillId="0" borderId="0" xfId="0" applyNumberFormat="1" applyFont="1" applyFill="1" applyProtection="1"/>
    <xf numFmtId="5" fontId="3" fillId="0" borderId="1" xfId="0" applyNumberFormat="1" applyFont="1" applyFill="1" applyBorder="1" applyProtection="1"/>
    <xf numFmtId="37" fontId="0" fillId="0" borderId="11" xfId="0" applyNumberFormat="1" applyFont="1" applyFill="1" applyBorder="1" applyProtection="1"/>
    <xf numFmtId="5" fontId="3" fillId="0" borderId="11" xfId="0" applyNumberFormat="1" applyFont="1" applyFill="1" applyBorder="1" applyProtection="1"/>
    <xf numFmtId="0" fontId="0" fillId="0" borderId="0" xfId="0" applyFill="1" applyAlignment="1">
      <alignment horizontal="center"/>
    </xf>
    <xf numFmtId="0" fontId="12" fillId="0" borderId="0" xfId="0" applyFont="1" applyFill="1" applyProtection="1"/>
    <xf numFmtId="9" fontId="2" fillId="0" borderId="0" xfId="3" applyFont="1" applyFill="1"/>
    <xf numFmtId="169" fontId="0" fillId="0" borderId="0" xfId="0" applyNumberFormat="1" applyFill="1" applyBorder="1"/>
    <xf numFmtId="37" fontId="0" fillId="0" borderId="4" xfId="0" applyNumberFormat="1" applyFont="1" applyFill="1" applyBorder="1" applyProtection="1"/>
    <xf numFmtId="5" fontId="3" fillId="0" borderId="4" xfId="0" applyNumberFormat="1" applyFont="1" applyFill="1" applyBorder="1" applyProtection="1"/>
    <xf numFmtId="10" fontId="0" fillId="0" borderId="9" xfId="3" applyNumberFormat="1" applyFont="1" applyFill="1" applyBorder="1"/>
    <xf numFmtId="3" fontId="0" fillId="0" borderId="10" xfId="0" applyNumberFormat="1" applyFill="1" applyBorder="1"/>
    <xf numFmtId="3" fontId="2" fillId="0" borderId="0" xfId="0" applyNumberFormat="1" applyFont="1" applyFill="1" applyBorder="1"/>
    <xf numFmtId="164" fontId="0" fillId="0" borderId="0" xfId="3" applyNumberFormat="1" applyFont="1" applyFill="1" applyBorder="1"/>
    <xf numFmtId="164" fontId="0" fillId="0" borderId="0" xfId="0" applyNumberFormat="1" applyFill="1" applyBorder="1"/>
    <xf numFmtId="167" fontId="12" fillId="2" borderId="0" xfId="0" applyNumberFormat="1" applyFont="1" applyFill="1" applyProtection="1"/>
    <xf numFmtId="5" fontId="2" fillId="0" borderId="3" xfId="0" applyNumberFormat="1" applyFont="1" applyFill="1" applyBorder="1" applyProtection="1"/>
    <xf numFmtId="37" fontId="0" fillId="2" borderId="0" xfId="0" applyNumberFormat="1" applyFill="1"/>
    <xf numFmtId="164" fontId="0" fillId="0" borderId="0" xfId="3" applyNumberFormat="1" applyFont="1" applyFill="1"/>
    <xf numFmtId="0" fontId="2" fillId="0" borderId="0" xfId="3" applyNumberFormat="1" applyFont="1" applyFill="1"/>
    <xf numFmtId="164" fontId="0" fillId="0" borderId="0" xfId="0" applyNumberFormat="1" applyFill="1"/>
    <xf numFmtId="0" fontId="12" fillId="2" borderId="0" xfId="0" applyFont="1" applyFill="1" applyProtection="1"/>
    <xf numFmtId="174" fontId="12" fillId="2" borderId="0" xfId="0" applyNumberFormat="1" applyFont="1" applyFill="1" applyProtection="1"/>
    <xf numFmtId="44" fontId="16" fillId="0" borderId="0" xfId="7" applyNumberFormat="1" applyFont="1" applyFill="1" applyBorder="1"/>
    <xf numFmtId="5" fontId="2" fillId="0" borderId="0" xfId="2" applyNumberFormat="1" applyFont="1" applyFill="1" applyBorder="1"/>
    <xf numFmtId="0" fontId="16" fillId="0" borderId="7" xfId="7" applyFont="1" applyFill="1" applyBorder="1"/>
    <xf numFmtId="5" fontId="16" fillId="0" borderId="2" xfId="7" applyNumberFormat="1" applyFont="1" applyFill="1" applyBorder="1" applyAlignment="1">
      <alignment horizontal="right"/>
    </xf>
    <xf numFmtId="0" fontId="16" fillId="0" borderId="0" xfId="7" applyFont="1" applyFill="1"/>
    <xf numFmtId="0" fontId="16" fillId="0" borderId="9" xfId="7" applyFont="1" applyFill="1" applyBorder="1"/>
    <xf numFmtId="164" fontId="0" fillId="0" borderId="10" xfId="3" applyNumberFormat="1" applyFont="1" applyFill="1" applyBorder="1"/>
    <xf numFmtId="5" fontId="3" fillId="0" borderId="0" xfId="0" applyNumberFormat="1" applyFont="1" applyFill="1" applyAlignment="1" applyProtection="1">
      <alignment horizontal="right"/>
    </xf>
    <xf numFmtId="188" fontId="3" fillId="0" borderId="0" xfId="0" applyNumberFormat="1" applyFont="1" applyFill="1" applyProtection="1"/>
    <xf numFmtId="167" fontId="3" fillId="0" borderId="5" xfId="0" applyNumberFormat="1" applyFont="1" applyFill="1" applyBorder="1" applyProtection="1"/>
    <xf numFmtId="0" fontId="3" fillId="0" borderId="5" xfId="0" applyFont="1" applyFill="1" applyBorder="1" applyProtection="1"/>
    <xf numFmtId="167" fontId="3" fillId="0" borderId="6" xfId="0" applyNumberFormat="1" applyFont="1" applyFill="1" applyBorder="1" applyProtection="1"/>
    <xf numFmtId="0" fontId="2" fillId="0" borderId="0" xfId="0" applyFont="1" applyFill="1" applyProtection="1"/>
    <xf numFmtId="174" fontId="2" fillId="0" borderId="0" xfId="0" applyNumberFormat="1" applyFont="1" applyFill="1" applyProtection="1"/>
    <xf numFmtId="167" fontId="3" fillId="0" borderId="0" xfId="0" applyNumberFormat="1" applyFont="1" applyFill="1" applyBorder="1" applyProtection="1"/>
    <xf numFmtId="183" fontId="0" fillId="0" borderId="0" xfId="0" applyNumberFormat="1" applyFill="1" applyBorder="1"/>
    <xf numFmtId="9" fontId="2" fillId="0" borderId="0" xfId="3" applyFont="1" applyFill="1" applyBorder="1"/>
    <xf numFmtId="0" fontId="0" fillId="0" borderId="3" xfId="0" applyFill="1" applyBorder="1" applyProtection="1"/>
    <xf numFmtId="5" fontId="3" fillId="0" borderId="3" xfId="0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9" fillId="0" borderId="0" xfId="0" applyFont="1" applyFill="1"/>
    <xf numFmtId="43" fontId="16" fillId="0" borderId="0" xfId="1" applyNumberFormat="1" applyFont="1" applyFill="1" applyBorder="1"/>
    <xf numFmtId="0" fontId="11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12" fillId="0" borderId="0" xfId="0" applyNumberFormat="1" applyFont="1" applyFill="1" applyBorder="1"/>
    <xf numFmtId="0" fontId="20" fillId="0" borderId="0" xfId="0" applyFont="1" applyFill="1"/>
    <xf numFmtId="5" fontId="12" fillId="0" borderId="0" xfId="0" applyNumberFormat="1" applyFont="1" applyFill="1" applyBorder="1"/>
    <xf numFmtId="7" fontId="2" fillId="0" borderId="0" xfId="2" applyNumberFormat="1" applyFont="1" applyFill="1"/>
    <xf numFmtId="44" fontId="2" fillId="0" borderId="0" xfId="2" applyFont="1" applyFill="1" applyBorder="1"/>
    <xf numFmtId="189" fontId="2" fillId="0" borderId="0" xfId="2" applyNumberFormat="1" applyFont="1" applyFill="1" applyBorder="1"/>
    <xf numFmtId="37" fontId="3" fillId="0" borderId="12" xfId="0" applyNumberFormat="1" applyFont="1" applyFill="1" applyBorder="1" applyProtection="1"/>
    <xf numFmtId="37" fontId="2" fillId="0" borderId="0" xfId="0" applyNumberFormat="1" applyFont="1" applyFill="1" applyProtection="1"/>
    <xf numFmtId="7" fontId="19" fillId="0" borderId="0" xfId="0" applyNumberFormat="1" applyFont="1" applyFill="1" applyProtection="1"/>
    <xf numFmtId="37" fontId="3" fillId="0" borderId="13" xfId="0" applyNumberFormat="1" applyFont="1" applyFill="1" applyBorder="1" applyProtection="1"/>
    <xf numFmtId="5" fontId="12" fillId="0" borderId="13" xfId="0" applyNumberFormat="1" applyFont="1" applyFill="1" applyBorder="1" applyProtection="1"/>
    <xf numFmtId="5" fontId="3" fillId="0" borderId="13" xfId="0" applyNumberFormat="1" applyFont="1" applyFill="1" applyBorder="1" applyProtection="1"/>
    <xf numFmtId="0" fontId="2" fillId="0" borderId="7" xfId="0" applyFont="1" applyFill="1" applyBorder="1"/>
    <xf numFmtId="5" fontId="2" fillId="0" borderId="8" xfId="0" applyNumberFormat="1" applyFont="1" applyFill="1" applyBorder="1"/>
    <xf numFmtId="5" fontId="0" fillId="0" borderId="10" xfId="0" applyNumberFormat="1" applyFill="1" applyBorder="1"/>
    <xf numFmtId="176" fontId="2" fillId="0" borderId="0" xfId="3" applyNumberFormat="1" applyFont="1" applyFill="1"/>
    <xf numFmtId="37" fontId="3" fillId="0" borderId="2" xfId="0" applyNumberFormat="1" applyFont="1" applyFill="1" applyBorder="1" applyProtection="1"/>
    <xf numFmtId="7" fontId="12" fillId="0" borderId="2" xfId="0" applyNumberFormat="1" applyFont="1" applyFill="1" applyBorder="1" applyProtection="1"/>
    <xf numFmtId="5" fontId="3" fillId="0" borderId="2" xfId="0" applyNumberFormat="1" applyFont="1" applyFill="1" applyBorder="1" applyProtection="1"/>
    <xf numFmtId="0" fontId="3" fillId="0" borderId="2" xfId="0" applyFont="1" applyFill="1" applyBorder="1" applyProtection="1"/>
    <xf numFmtId="7" fontId="2" fillId="0" borderId="2" xfId="0" applyNumberFormat="1" applyFont="1" applyFill="1" applyBorder="1" applyProtection="1"/>
    <xf numFmtId="5" fontId="3" fillId="0" borderId="14" xfId="0" applyNumberFormat="1" applyFont="1" applyFill="1" applyBorder="1" applyProtection="1"/>
    <xf numFmtId="0" fontId="9" fillId="0" borderId="0" xfId="0" applyFont="1" applyFill="1" applyBorder="1" applyProtection="1"/>
    <xf numFmtId="175" fontId="9" fillId="0" borderId="0" xfId="0" applyNumberFormat="1" applyFont="1" applyFill="1" applyProtection="1"/>
    <xf numFmtId="37" fontId="9" fillId="0" borderId="13" xfId="0" applyNumberFormat="1" applyFont="1" applyFill="1" applyBorder="1" applyProtection="1"/>
    <xf numFmtId="168" fontId="21" fillId="0" borderId="13" xfId="1" applyNumberFormat="1" applyFont="1" applyFill="1" applyBorder="1" applyProtection="1"/>
    <xf numFmtId="5" fontId="9" fillId="0" borderId="13" xfId="0" applyNumberFormat="1" applyFont="1" applyFill="1" applyBorder="1" applyProtection="1"/>
    <xf numFmtId="169" fontId="9" fillId="0" borderId="13" xfId="2" applyNumberFormat="1" applyFont="1" applyFill="1" applyBorder="1" applyProtection="1"/>
    <xf numFmtId="7" fontId="21" fillId="0" borderId="13" xfId="0" applyNumberFormat="1" applyFont="1" applyFill="1" applyBorder="1" applyProtection="1"/>
    <xf numFmtId="169" fontId="12" fillId="0" borderId="0" xfId="0" applyNumberFormat="1" applyFont="1" applyFill="1" applyProtection="1"/>
    <xf numFmtId="190" fontId="2" fillId="0" borderId="0" xfId="2" applyNumberFormat="1" applyFont="1" applyFill="1"/>
    <xf numFmtId="0" fontId="22" fillId="0" borderId="0" xfId="0" applyFont="1" applyFill="1" applyProtection="1"/>
    <xf numFmtId="0" fontId="0" fillId="0" borderId="0" xfId="0" applyFont="1" applyFill="1"/>
    <xf numFmtId="0" fontId="7" fillId="0" borderId="0" xfId="8"/>
    <xf numFmtId="0" fontId="23" fillId="0" borderId="0" xfId="8" applyFont="1" applyAlignment="1">
      <alignment horizontal="center"/>
    </xf>
    <xf numFmtId="168" fontId="7" fillId="0" borderId="0" xfId="1" applyNumberFormat="1" applyFont="1" applyAlignment="1">
      <alignment horizontal="right"/>
    </xf>
    <xf numFmtId="168" fontId="7" fillId="0" borderId="0" xfId="1" applyNumberFormat="1" applyFont="1" applyAlignment="1">
      <alignment horizontal="center"/>
    </xf>
    <xf numFmtId="0" fontId="23" fillId="0" borderId="1" xfId="8" applyFont="1" applyBorder="1" applyAlignment="1">
      <alignment horizontal="center"/>
    </xf>
    <xf numFmtId="0" fontId="7" fillId="0" borderId="0" xfId="8" applyAlignment="1">
      <alignment horizontal="right"/>
    </xf>
    <xf numFmtId="164" fontId="7" fillId="0" borderId="0" xfId="3" applyNumberFormat="1"/>
    <xf numFmtId="0" fontId="24" fillId="0" borderId="15" xfId="8" applyFont="1" applyBorder="1" applyAlignment="1">
      <alignment horizontal="center"/>
    </xf>
    <xf numFmtId="0" fontId="24" fillId="0" borderId="2" xfId="8" applyFont="1" applyBorder="1" applyAlignment="1">
      <alignment horizontal="center"/>
    </xf>
    <xf numFmtId="0" fontId="7" fillId="0" borderId="8" xfId="8" applyBorder="1"/>
    <xf numFmtId="44" fontId="7" fillId="0" borderId="0" xfId="2"/>
    <xf numFmtId="0" fontId="7" fillId="0" borderId="15" xfId="8" applyBorder="1" applyAlignment="1">
      <alignment horizontal="center"/>
    </xf>
    <xf numFmtId="0" fontId="7" fillId="0" borderId="0" xfId="8" applyBorder="1" applyAlignment="1">
      <alignment horizontal="center"/>
    </xf>
    <xf numFmtId="0" fontId="7" fillId="0" borderId="16" xfId="8" applyBorder="1"/>
    <xf numFmtId="0" fontId="7" fillId="0" borderId="0" xfId="8" applyBorder="1"/>
    <xf numFmtId="0" fontId="7" fillId="0" borderId="7" xfId="8" applyBorder="1"/>
    <xf numFmtId="0" fontId="7" fillId="0" borderId="2" xfId="8" applyBorder="1"/>
    <xf numFmtId="10" fontId="24" fillId="0" borderId="0" xfId="3" applyNumberFormat="1" applyFont="1"/>
    <xf numFmtId="0" fontId="7" fillId="0" borderId="15" xfId="8" applyBorder="1" applyAlignment="1">
      <alignment horizontal="right"/>
    </xf>
    <xf numFmtId="178" fontId="7" fillId="0" borderId="0" xfId="8" applyNumberFormat="1" applyBorder="1" applyAlignment="1">
      <alignment horizontal="center"/>
    </xf>
    <xf numFmtId="0" fontId="7" fillId="0" borderId="1" xfId="8" applyBorder="1"/>
    <xf numFmtId="0" fontId="7" fillId="0" borderId="0" xfId="8" applyAlignment="1">
      <alignment horizontal="center"/>
    </xf>
    <xf numFmtId="0" fontId="7" fillId="0" borderId="15" xfId="8" applyBorder="1"/>
    <xf numFmtId="0" fontId="7" fillId="0" borderId="16" xfId="8" applyFont="1" applyBorder="1" applyAlignment="1">
      <alignment horizontal="center"/>
    </xf>
    <xf numFmtId="0" fontId="7" fillId="0" borderId="16" xfId="8" applyBorder="1" applyAlignment="1">
      <alignment horizontal="center"/>
    </xf>
    <xf numFmtId="164" fontId="7" fillId="0" borderId="16" xfId="8" applyNumberFormat="1" applyBorder="1" applyAlignment="1">
      <alignment horizontal="right"/>
    </xf>
    <xf numFmtId="5" fontId="7" fillId="0" borderId="15" xfId="8" applyNumberFormat="1" applyBorder="1" applyAlignment="1">
      <alignment horizontal="right"/>
    </xf>
    <xf numFmtId="5" fontId="7" fillId="0" borderId="0" xfId="8" applyNumberFormat="1" applyFont="1" applyBorder="1" applyAlignment="1">
      <alignment horizontal="right"/>
    </xf>
    <xf numFmtId="5" fontId="7" fillId="0" borderId="16" xfId="8" applyNumberFormat="1" applyFont="1" applyBorder="1"/>
    <xf numFmtId="5" fontId="7" fillId="0" borderId="0" xfId="8" applyNumberFormat="1"/>
    <xf numFmtId="5" fontId="7" fillId="0" borderId="15" xfId="8" applyNumberFormat="1" applyBorder="1"/>
    <xf numFmtId="5" fontId="7" fillId="0" borderId="16" xfId="8" applyNumberFormat="1" applyBorder="1"/>
    <xf numFmtId="0" fontId="7" fillId="0" borderId="1" xfId="8" applyBorder="1" applyAlignment="1">
      <alignment horizontal="right"/>
    </xf>
    <xf numFmtId="5" fontId="7" fillId="0" borderId="1" xfId="8" applyNumberFormat="1" applyBorder="1" applyAlignment="1">
      <alignment horizontal="right"/>
    </xf>
    <xf numFmtId="5" fontId="7" fillId="0" borderId="10" xfId="8" applyNumberFormat="1" applyBorder="1"/>
    <xf numFmtId="16" fontId="7" fillId="0" borderId="0" xfId="8" quotePrefix="1" applyNumberFormat="1" applyBorder="1" applyAlignment="1">
      <alignment horizontal="center"/>
    </xf>
    <xf numFmtId="16" fontId="7" fillId="0" borderId="16" xfId="8" applyNumberFormat="1" applyBorder="1" applyAlignment="1">
      <alignment horizontal="center"/>
    </xf>
    <xf numFmtId="5" fontId="25" fillId="0" borderId="0" xfId="8" applyNumberFormat="1" applyFont="1" applyBorder="1"/>
    <xf numFmtId="5" fontId="7" fillId="0" borderId="7" xfId="8" applyNumberFormat="1" applyBorder="1" applyAlignment="1">
      <alignment horizontal="right"/>
    </xf>
    <xf numFmtId="5" fontId="7" fillId="0" borderId="2" xfId="8" applyNumberFormat="1" applyBorder="1" applyAlignment="1">
      <alignment horizontal="right"/>
    </xf>
    <xf numFmtId="5" fontId="7" fillId="0" borderId="0" xfId="8" applyNumberFormat="1" applyBorder="1"/>
    <xf numFmtId="0" fontId="25" fillId="0" borderId="0" xfId="8" applyFont="1" applyBorder="1" applyAlignment="1"/>
    <xf numFmtId="0" fontId="25" fillId="0" borderId="0" xfId="8" applyFont="1" applyBorder="1" applyAlignment="1">
      <alignment horizontal="center"/>
    </xf>
    <xf numFmtId="0" fontId="25" fillId="0" borderId="16" xfId="8" applyFont="1" applyBorder="1" applyAlignment="1">
      <alignment horizontal="center"/>
    </xf>
    <xf numFmtId="9" fontId="7" fillId="0" borderId="0" xfId="3" applyBorder="1" applyAlignment="1">
      <alignment horizontal="right"/>
    </xf>
    <xf numFmtId="0" fontId="7" fillId="0" borderId="0" xfId="8" applyAlignment="1">
      <alignment horizontal="left"/>
    </xf>
    <xf numFmtId="7" fontId="7" fillId="0" borderId="15" xfId="2" applyNumberFormat="1" applyBorder="1" applyAlignment="1">
      <alignment horizontal="right"/>
    </xf>
    <xf numFmtId="7" fontId="7" fillId="0" borderId="0" xfId="2" applyNumberFormat="1" applyBorder="1" applyAlignment="1">
      <alignment horizontal="right"/>
    </xf>
    <xf numFmtId="7" fontId="7" fillId="0" borderId="0" xfId="8" applyNumberFormat="1" applyBorder="1"/>
    <xf numFmtId="37" fontId="7" fillId="0" borderId="0" xfId="8" applyNumberFormat="1" applyBorder="1"/>
    <xf numFmtId="37" fontId="7" fillId="0" borderId="15" xfId="8" applyNumberFormat="1" applyBorder="1"/>
    <xf numFmtId="9" fontId="7" fillId="0" borderId="0" xfId="3" applyNumberFormat="1"/>
    <xf numFmtId="0" fontId="7" fillId="0" borderId="0" xfId="8" quotePrefix="1" applyFont="1" applyAlignment="1">
      <alignment horizontal="left"/>
    </xf>
    <xf numFmtId="0" fontId="7" fillId="0" borderId="0" xfId="8" quotePrefix="1" applyBorder="1"/>
    <xf numFmtId="44" fontId="7" fillId="0" borderId="0" xfId="2" applyBorder="1" applyAlignment="1">
      <alignment horizontal="right"/>
    </xf>
    <xf numFmtId="37" fontId="25" fillId="0" borderId="0" xfId="8" applyNumberFormat="1" applyFont="1" applyBorder="1"/>
    <xf numFmtId="5" fontId="25" fillId="0" borderId="16" xfId="8" applyNumberFormat="1" applyFont="1" applyBorder="1"/>
    <xf numFmtId="7" fontId="25" fillId="0" borderId="0" xfId="8" applyNumberFormat="1" applyFont="1" applyBorder="1"/>
    <xf numFmtId="0" fontId="7" fillId="0" borderId="0" xfId="8" applyBorder="1" applyAlignment="1">
      <alignment horizontal="right"/>
    </xf>
    <xf numFmtId="191" fontId="7" fillId="0" borderId="0" xfId="8" applyNumberFormat="1"/>
    <xf numFmtId="0" fontId="7" fillId="0" borderId="15" xfId="1" applyNumberFormat="1" applyFont="1" applyBorder="1" applyAlignment="1">
      <alignment horizontal="right"/>
    </xf>
    <xf numFmtId="168" fontId="7" fillId="0" borderId="9" xfId="1" applyNumberFormat="1" applyBorder="1" applyAlignment="1">
      <alignment horizontal="right"/>
    </xf>
    <xf numFmtId="168" fontId="7" fillId="0" borderId="1" xfId="1" applyNumberFormat="1" applyFont="1" applyBorder="1" applyAlignment="1">
      <alignment horizontal="right"/>
    </xf>
    <xf numFmtId="168" fontId="7" fillId="0" borderId="1" xfId="8" applyNumberFormat="1" applyFont="1" applyBorder="1"/>
    <xf numFmtId="43" fontId="7" fillId="0" borderId="0" xfId="1" applyNumberFormat="1" applyBorder="1" applyAlignment="1">
      <alignment horizontal="right"/>
    </xf>
    <xf numFmtId="168" fontId="7" fillId="0" borderId="0" xfId="1" applyNumberFormat="1" applyFont="1" applyBorder="1" applyAlignment="1">
      <alignment horizontal="right"/>
    </xf>
    <xf numFmtId="0" fontId="24" fillId="0" borderId="0" xfId="8" applyFont="1" applyBorder="1"/>
    <xf numFmtId="0" fontId="0" fillId="0" borderId="0" xfId="0" applyAlignment="1">
      <alignment horizontal="right"/>
    </xf>
    <xf numFmtId="0" fontId="7" fillId="0" borderId="0" xfId="8" quotePrefix="1" applyAlignment="1">
      <alignment horizontal="left"/>
    </xf>
    <xf numFmtId="168" fontId="7" fillId="0" borderId="0" xfId="1" applyNumberFormat="1" applyBorder="1" applyAlignment="1">
      <alignment horizontal="right"/>
    </xf>
    <xf numFmtId="0" fontId="24" fillId="0" borderId="0" xfId="8" applyFont="1" applyAlignment="1">
      <alignment horizontal="left"/>
    </xf>
    <xf numFmtId="7" fontId="7" fillId="0" borderId="0" xfId="8" applyNumberFormat="1" applyAlignment="1">
      <alignment horizontal="right"/>
    </xf>
    <xf numFmtId="7" fontId="7" fillId="0" borderId="0" xfId="8" applyNumberFormat="1"/>
    <xf numFmtId="10" fontId="7" fillId="0" borderId="0" xfId="3" applyNumberFormat="1"/>
    <xf numFmtId="7" fontId="0" fillId="0" borderId="0" xfId="0" applyNumberFormat="1"/>
    <xf numFmtId="7" fontId="25" fillId="0" borderId="0" xfId="8" applyNumberFormat="1" applyFont="1" applyAlignment="1">
      <alignment horizontal="right"/>
    </xf>
    <xf numFmtId="5" fontId="7" fillId="0" borderId="0" xfId="8" applyNumberFormat="1" applyAlignment="1">
      <alignment horizontal="right"/>
    </xf>
    <xf numFmtId="0" fontId="7" fillId="0" borderId="0" xfId="8" applyFont="1" applyAlignment="1">
      <alignment horizontal="left"/>
    </xf>
    <xf numFmtId="5" fontId="7" fillId="0" borderId="0" xfId="8" applyNumberFormat="1" applyFont="1"/>
    <xf numFmtId="0" fontId="7" fillId="0" borderId="0" xfId="8" applyFont="1"/>
    <xf numFmtId="9" fontId="7" fillId="0" borderId="0" xfId="8" applyNumberFormat="1"/>
    <xf numFmtId="168" fontId="7" fillId="0" borderId="0" xfId="1" applyNumberFormat="1"/>
    <xf numFmtId="0" fontId="7" fillId="0" borderId="0" xfId="8" applyFill="1" applyAlignment="1">
      <alignment horizontal="left"/>
    </xf>
    <xf numFmtId="5" fontId="7" fillId="0" borderId="0" xfId="0" applyNumberFormat="1" applyFont="1"/>
    <xf numFmtId="0" fontId="24" fillId="0" borderId="17" xfId="8" applyFont="1" applyBorder="1"/>
    <xf numFmtId="0" fontId="20" fillId="0" borderId="14" xfId="0" applyFont="1" applyBorder="1"/>
    <xf numFmtId="0" fontId="0" fillId="0" borderId="14" xfId="0" applyBorder="1"/>
    <xf numFmtId="5" fontId="24" fillId="0" borderId="18" xfId="0" applyNumberFormat="1" applyFont="1" applyBorder="1"/>
    <xf numFmtId="0" fontId="7" fillId="0" borderId="0" xfId="8" quotePrefix="1" applyFill="1" applyBorder="1" applyAlignment="1">
      <alignment horizontal="left"/>
    </xf>
    <xf numFmtId="0" fontId="0" fillId="0" borderId="0" xfId="0" applyAlignment="1">
      <alignment horizontal="center"/>
    </xf>
    <xf numFmtId="0" fontId="25" fillId="0" borderId="0" xfId="8" applyFont="1" applyAlignment="1">
      <alignment horizontal="left"/>
    </xf>
    <xf numFmtId="0" fontId="25" fillId="0" borderId="0" xfId="8" applyFont="1" applyAlignment="1">
      <alignment horizontal="center"/>
    </xf>
    <xf numFmtId="0" fontId="26" fillId="0" borderId="0" xfId="8" quotePrefix="1" applyFont="1" applyFill="1" applyAlignment="1" applyProtection="1">
      <alignment horizontal="center"/>
    </xf>
    <xf numFmtId="37" fontId="7" fillId="0" borderId="0" xfId="8" applyNumberFormat="1" applyFill="1" applyBorder="1"/>
    <xf numFmtId="166" fontId="24" fillId="0" borderId="0" xfId="8" applyNumberFormat="1" applyFont="1"/>
    <xf numFmtId="174" fontId="0" fillId="0" borderId="0" xfId="0" applyNumberFormat="1"/>
    <xf numFmtId="5" fontId="0" fillId="0" borderId="0" xfId="0" applyNumberFormat="1"/>
    <xf numFmtId="0" fontId="8" fillId="0" borderId="0" xfId="9" applyFont="1" applyFill="1"/>
    <xf numFmtId="0" fontId="10" fillId="0" borderId="0" xfId="9" applyFont="1" applyFill="1"/>
    <xf numFmtId="0" fontId="10" fillId="0" borderId="0" xfId="9" applyFont="1" applyFill="1" applyAlignment="1">
      <alignment horizontal="centerContinuous"/>
    </xf>
    <xf numFmtId="0" fontId="27" fillId="0" borderId="0" xfId="9" applyFont="1" applyFill="1" applyBorder="1" applyAlignment="1">
      <alignment horizontal="centerContinuous"/>
    </xf>
    <xf numFmtId="0" fontId="27" fillId="0" borderId="0" xfId="9" applyFont="1" applyFill="1" applyAlignment="1">
      <alignment horizontal="centerContinuous"/>
    </xf>
    <xf numFmtId="0" fontId="8" fillId="0" borderId="0" xfId="9" applyFont="1" applyFill="1" applyAlignment="1">
      <alignment horizontal="centerContinuous"/>
    </xf>
    <xf numFmtId="0" fontId="8" fillId="0" borderId="0" xfId="9" applyFill="1"/>
    <xf numFmtId="0" fontId="8" fillId="0" borderId="0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Continuous"/>
    </xf>
    <xf numFmtId="0" fontId="29" fillId="0" borderId="19" xfId="9" applyFont="1" applyFill="1" applyBorder="1"/>
    <xf numFmtId="0" fontId="29" fillId="0" borderId="20" xfId="9" applyFont="1" applyFill="1" applyBorder="1"/>
    <xf numFmtId="0" fontId="8" fillId="0" borderId="1" xfId="9" applyFont="1" applyFill="1" applyBorder="1" applyAlignment="1">
      <alignment horizontal="center"/>
    </xf>
    <xf numFmtId="0" fontId="8" fillId="0" borderId="3" xfId="9" applyFont="1" applyFill="1" applyBorder="1" applyAlignment="1">
      <alignment horizontal="centerContinuous"/>
    </xf>
    <xf numFmtId="0" fontId="28" fillId="0" borderId="0" xfId="9" applyFont="1" applyFill="1"/>
    <xf numFmtId="0" fontId="29" fillId="0" borderId="21" xfId="9" applyFont="1" applyFill="1" applyBorder="1"/>
    <xf numFmtId="7" fontId="30" fillId="0" borderId="22" xfId="9" applyNumberFormat="1" applyFont="1" applyFill="1" applyBorder="1"/>
    <xf numFmtId="0" fontId="31" fillId="0" borderId="0" xfId="9" applyFont="1" applyFill="1"/>
    <xf numFmtId="174" fontId="30" fillId="0" borderId="22" xfId="9" applyNumberFormat="1" applyFont="1" applyFill="1" applyBorder="1"/>
    <xf numFmtId="165" fontId="30" fillId="0" borderId="22" xfId="1" applyNumberFormat="1" applyFont="1" applyFill="1" applyBorder="1" applyAlignment="1">
      <alignment horizontal="right"/>
    </xf>
    <xf numFmtId="43" fontId="8" fillId="0" borderId="0" xfId="9" applyNumberFormat="1" applyFont="1" applyFill="1"/>
    <xf numFmtId="164" fontId="8" fillId="0" borderId="0" xfId="3" applyNumberFormat="1" applyFont="1" applyFill="1"/>
    <xf numFmtId="37" fontId="8" fillId="0" borderId="0" xfId="9" applyNumberFormat="1" applyFont="1" applyFill="1" applyProtection="1"/>
    <xf numFmtId="7" fontId="8" fillId="0" borderId="0" xfId="9" applyNumberFormat="1" applyFill="1"/>
    <xf numFmtId="7" fontId="8" fillId="0" borderId="0" xfId="9" applyNumberFormat="1" applyFont="1" applyFill="1"/>
    <xf numFmtId="10" fontId="8" fillId="0" borderId="0" xfId="9" applyNumberFormat="1" applyFont="1" applyFill="1" applyProtection="1"/>
    <xf numFmtId="0" fontId="29" fillId="0" borderId="23" xfId="9" applyFont="1" applyFill="1" applyBorder="1"/>
    <xf numFmtId="174" fontId="30" fillId="0" borderId="24" xfId="9" applyNumberFormat="1" applyFont="1" applyFill="1" applyBorder="1"/>
    <xf numFmtId="0" fontId="29" fillId="0" borderId="0" xfId="9" applyFont="1" applyFill="1"/>
    <xf numFmtId="174" fontId="29" fillId="0" borderId="0" xfId="9" applyNumberFormat="1" applyFont="1" applyFill="1"/>
    <xf numFmtId="0" fontId="8" fillId="0" borderId="0" xfId="9" applyFont="1" applyFill="1" applyBorder="1"/>
    <xf numFmtId="7" fontId="8" fillId="0" borderId="0" xfId="9" applyNumberFormat="1" applyFont="1" applyFill="1" applyProtection="1"/>
    <xf numFmtId="164" fontId="29" fillId="0" borderId="0" xfId="9" applyNumberFormat="1" applyFont="1" applyFill="1"/>
    <xf numFmtId="0" fontId="8" fillId="0" borderId="0" xfId="9" applyFont="1" applyFill="1" applyAlignment="1">
      <alignment horizontal="right"/>
    </xf>
    <xf numFmtId="10" fontId="8" fillId="0" borderId="0" xfId="3" applyNumberFormat="1" applyFont="1" applyFill="1" applyAlignment="1">
      <alignment horizontal="center"/>
    </xf>
    <xf numFmtId="177" fontId="8" fillId="0" borderId="0" xfId="9" applyNumberFormat="1" applyFont="1" applyFill="1" applyProtection="1"/>
    <xf numFmtId="37" fontId="8" fillId="0" borderId="1" xfId="9" applyNumberFormat="1" applyFont="1" applyFill="1" applyBorder="1" applyProtection="1"/>
    <xf numFmtId="0" fontId="8" fillId="0" borderId="1" xfId="9" applyFont="1" applyFill="1" applyBorder="1"/>
    <xf numFmtId="7" fontId="8" fillId="0" borderId="1" xfId="9" applyNumberFormat="1" applyFont="1" applyFill="1" applyBorder="1" applyProtection="1"/>
    <xf numFmtId="177" fontId="8" fillId="0" borderId="1" xfId="9" applyNumberFormat="1" applyFont="1" applyFill="1" applyBorder="1" applyProtection="1"/>
    <xf numFmtId="0" fontId="32" fillId="0" borderId="0" xfId="9" applyFont="1" applyFill="1"/>
    <xf numFmtId="0" fontId="32" fillId="0" borderId="0" xfId="9" quotePrefix="1" applyFont="1" applyFill="1" applyBorder="1" applyAlignment="1">
      <alignment horizontal="left"/>
    </xf>
    <xf numFmtId="5" fontId="8" fillId="0" borderId="0" xfId="9" applyNumberFormat="1" applyFont="1" applyFill="1"/>
    <xf numFmtId="0" fontId="8" fillId="0" borderId="0" xfId="9" applyFont="1" applyFill="1" applyAlignment="1" applyProtection="1">
      <alignment horizontal="left"/>
    </xf>
    <xf numFmtId="44" fontId="8" fillId="0" borderId="0" xfId="2" applyFont="1" applyFill="1"/>
    <xf numFmtId="0" fontId="8" fillId="0" borderId="0" xfId="9" applyFont="1" applyFill="1" applyProtection="1"/>
    <xf numFmtId="0" fontId="10" fillId="0" borderId="0" xfId="9" applyFont="1" applyFill="1" applyAlignment="1" applyProtection="1">
      <alignment horizontal="centerContinuous"/>
    </xf>
    <xf numFmtId="0" fontId="27" fillId="0" borderId="0" xfId="9" applyFont="1" applyFill="1" applyBorder="1" applyAlignment="1" applyProtection="1">
      <alignment horizontal="center"/>
    </xf>
    <xf numFmtId="0" fontId="34" fillId="0" borderId="0" xfId="9" applyFont="1" applyFill="1" applyAlignment="1" applyProtection="1">
      <alignment horizontal="centerContinuous"/>
    </xf>
    <xf numFmtId="0" fontId="34" fillId="0" borderId="0" xfId="9" applyFont="1" applyFill="1" applyAlignment="1">
      <alignment horizontal="centerContinuous"/>
    </xf>
    <xf numFmtId="0" fontId="35" fillId="0" borderId="0" xfId="9" applyFont="1" applyFill="1" applyAlignment="1" applyProtection="1">
      <alignment horizontal="centerContinuous"/>
    </xf>
    <xf numFmtId="0" fontId="8" fillId="0" borderId="0" xfId="9" applyFont="1" applyFill="1" applyAlignment="1" applyProtection="1">
      <alignment horizontal="centerContinuous"/>
    </xf>
    <xf numFmtId="0" fontId="8" fillId="0" borderId="0" xfId="9" applyFont="1" applyFill="1" applyAlignment="1" applyProtection="1"/>
    <xf numFmtId="0" fontId="2" fillId="0" borderId="0" xfId="9" applyFont="1" applyFill="1" applyAlignment="1" applyProtection="1">
      <alignment horizontal="center"/>
    </xf>
    <xf numFmtId="0" fontId="2" fillId="0" borderId="0" xfId="9" applyFont="1" applyFill="1" applyProtection="1"/>
    <xf numFmtId="0" fontId="2" fillId="0" borderId="3" xfId="9" applyFont="1" applyFill="1" applyBorder="1" applyAlignment="1" applyProtection="1">
      <alignment horizontal="centerContinuous"/>
    </xf>
    <xf numFmtId="0" fontId="2" fillId="0" borderId="0" xfId="9" applyFont="1" applyFill="1" applyAlignment="1" applyProtection="1">
      <alignment horizontal="centerContinuous"/>
    </xf>
    <xf numFmtId="0" fontId="2" fillId="0" borderId="0" xfId="9" applyFont="1" applyFill="1"/>
    <xf numFmtId="0" fontId="2" fillId="0" borderId="0" xfId="9" applyFont="1" applyFill="1" applyBorder="1" applyAlignment="1" applyProtection="1">
      <alignment horizontal="center"/>
    </xf>
    <xf numFmtId="0" fontId="2" fillId="0" borderId="1" xfId="9" applyFont="1" applyFill="1" applyBorder="1" applyAlignment="1" applyProtection="1">
      <alignment horizontal="centerContinuous"/>
    </xf>
    <xf numFmtId="0" fontId="2" fillId="0" borderId="0" xfId="9" applyFont="1" applyFill="1" applyAlignment="1" applyProtection="1"/>
    <xf numFmtId="0" fontId="2" fillId="0" borderId="1" xfId="9" applyFont="1" applyFill="1" applyBorder="1" applyAlignment="1" applyProtection="1">
      <alignment horizontal="center"/>
    </xf>
    <xf numFmtId="0" fontId="36" fillId="0" borderId="0" xfId="9" applyFont="1" applyFill="1" applyProtection="1"/>
    <xf numFmtId="0" fontId="36" fillId="0" borderId="0" xfId="9" applyFont="1" applyFill="1" applyAlignment="1" applyProtection="1">
      <alignment horizontal="center"/>
    </xf>
    <xf numFmtId="0" fontId="2" fillId="0" borderId="3" xfId="9" applyFont="1" applyFill="1" applyBorder="1" applyAlignment="1" applyProtection="1">
      <alignment horizontal="center"/>
    </xf>
    <xf numFmtId="0" fontId="2" fillId="0" borderId="0" xfId="9" applyFont="1" applyFill="1" applyBorder="1" applyProtection="1"/>
    <xf numFmtId="0" fontId="8" fillId="0" borderId="19" xfId="9" applyFont="1" applyFill="1" applyBorder="1"/>
    <xf numFmtId="0" fontId="8" fillId="0" borderId="25" xfId="9" applyFont="1" applyFill="1" applyBorder="1"/>
    <xf numFmtId="0" fontId="8" fillId="0" borderId="20" xfId="9" applyFont="1" applyFill="1" applyBorder="1"/>
    <xf numFmtId="0" fontId="8" fillId="0" borderId="21" xfId="9" applyFont="1" applyFill="1" applyBorder="1"/>
    <xf numFmtId="0" fontId="8" fillId="0" borderId="22" xfId="9" applyFont="1" applyFill="1" applyBorder="1"/>
    <xf numFmtId="37" fontId="2" fillId="0" borderId="0" xfId="9" applyNumberFormat="1" applyFont="1" applyFill="1" applyProtection="1"/>
    <xf numFmtId="164" fontId="2" fillId="0" borderId="0" xfId="3" applyNumberFormat="1" applyFont="1" applyFill="1" applyProtection="1"/>
    <xf numFmtId="5" fontId="2" fillId="0" borderId="0" xfId="9" applyNumberFormat="1" applyFont="1" applyFill="1" applyProtection="1"/>
    <xf numFmtId="10" fontId="2" fillId="0" borderId="0" xfId="9" applyNumberFormat="1" applyFont="1" applyFill="1" applyProtection="1"/>
    <xf numFmtId="7" fontId="30" fillId="0" borderId="0" xfId="9" applyNumberFormat="1" applyFont="1" applyFill="1" applyBorder="1"/>
    <xf numFmtId="0" fontId="30" fillId="0" borderId="0" xfId="9" applyFont="1" applyFill="1" applyBorder="1"/>
    <xf numFmtId="7" fontId="8" fillId="0" borderId="0" xfId="2" applyNumberFormat="1" applyFont="1" applyFill="1"/>
    <xf numFmtId="7" fontId="29" fillId="0" borderId="0" xfId="9" applyNumberFormat="1" applyFont="1" applyFill="1" applyBorder="1"/>
    <xf numFmtId="0" fontId="8" fillId="0" borderId="21" xfId="9" applyFont="1" applyFill="1" applyBorder="1" applyAlignment="1">
      <alignment horizontal="right"/>
    </xf>
    <xf numFmtId="168" fontId="29" fillId="0" borderId="0" xfId="1" applyNumberFormat="1" applyFont="1" applyFill="1" applyBorder="1" applyAlignment="1">
      <alignment horizontal="right"/>
    </xf>
    <xf numFmtId="0" fontId="30" fillId="0" borderId="22" xfId="9" applyFont="1" applyFill="1" applyBorder="1"/>
    <xf numFmtId="0" fontId="8" fillId="0" borderId="0" xfId="9" applyFont="1" applyFill="1" applyBorder="1" applyAlignment="1">
      <alignment horizontal="right"/>
    </xf>
    <xf numFmtId="5" fontId="2" fillId="0" borderId="0" xfId="9" applyNumberFormat="1" applyFont="1" applyFill="1"/>
    <xf numFmtId="165" fontId="30" fillId="0" borderId="0" xfId="1" applyNumberFormat="1" applyFont="1" applyFill="1" applyBorder="1"/>
    <xf numFmtId="165" fontId="30" fillId="0" borderId="22" xfId="1" applyNumberFormat="1" applyFont="1" applyFill="1" applyBorder="1"/>
    <xf numFmtId="0" fontId="29" fillId="0" borderId="26" xfId="9" applyFont="1" applyFill="1" applyBorder="1"/>
    <xf numFmtId="0" fontId="29" fillId="0" borderId="24" xfId="9" applyFont="1" applyFill="1" applyBorder="1"/>
    <xf numFmtId="174" fontId="8" fillId="0" borderId="0" xfId="9" applyNumberFormat="1" applyFont="1" applyFill="1"/>
    <xf numFmtId="193" fontId="2" fillId="0" borderId="0" xfId="1" applyNumberFormat="1" applyFont="1" applyFill="1" applyProtection="1"/>
    <xf numFmtId="165" fontId="2" fillId="0" borderId="0" xfId="1" applyNumberFormat="1" applyFont="1" applyFill="1" applyProtection="1"/>
    <xf numFmtId="0" fontId="2" fillId="0" borderId="0" xfId="9" applyFont="1" applyFill="1" applyBorder="1"/>
    <xf numFmtId="164" fontId="2" fillId="0" borderId="0" xfId="3" applyNumberFormat="1" applyFont="1" applyFill="1" applyBorder="1" applyProtection="1"/>
    <xf numFmtId="10" fontId="8" fillId="0" borderId="0" xfId="3" applyNumberFormat="1" applyFont="1" applyFill="1"/>
    <xf numFmtId="0" fontId="32" fillId="0" borderId="0" xfId="9" quotePrefix="1" applyFont="1" applyFill="1"/>
    <xf numFmtId="0" fontId="27" fillId="0" borderId="0" xfId="9" applyFont="1" applyFill="1" applyBorder="1" applyAlignment="1" applyProtection="1">
      <alignment horizontal="centerContinuous"/>
    </xf>
    <xf numFmtId="0" fontId="2" fillId="0" borderId="0" xfId="9" applyFont="1" applyFill="1" applyAlignment="1">
      <alignment horizontal="center"/>
    </xf>
    <xf numFmtId="0" fontId="8" fillId="0" borderId="26" xfId="9" applyFont="1" applyFill="1" applyBorder="1"/>
    <xf numFmtId="0" fontId="2" fillId="0" borderId="0" xfId="9" applyFont="1" applyFill="1" applyAlignment="1" applyProtection="1">
      <alignment horizontal="left"/>
    </xf>
    <xf numFmtId="0" fontId="8" fillId="0" borderId="27" xfId="9" applyFont="1" applyFill="1" applyBorder="1" applyAlignment="1">
      <alignment horizontal="left"/>
    </xf>
    <xf numFmtId="0" fontId="8" fillId="0" borderId="25" xfId="9" applyFont="1" applyFill="1" applyBorder="1" applyAlignment="1">
      <alignment horizontal="centerContinuous"/>
    </xf>
    <xf numFmtId="0" fontId="8" fillId="0" borderId="20" xfId="9" applyFont="1" applyFill="1" applyBorder="1" applyAlignment="1">
      <alignment horizontal="centerContinuous"/>
    </xf>
    <xf numFmtId="0" fontId="8" fillId="0" borderId="22" xfId="9" applyFont="1" applyFill="1" applyBorder="1" applyAlignment="1">
      <alignment horizontal="center"/>
    </xf>
    <xf numFmtId="5" fontId="30" fillId="0" borderId="0" xfId="9" applyNumberFormat="1" applyFont="1" applyFill="1" applyBorder="1"/>
    <xf numFmtId="174" fontId="30" fillId="0" borderId="0" xfId="9" applyNumberFormat="1" applyFont="1" applyFill="1" applyBorder="1"/>
    <xf numFmtId="174" fontId="8" fillId="0" borderId="22" xfId="9" applyNumberFormat="1" applyFont="1" applyFill="1" applyBorder="1"/>
    <xf numFmtId="0" fontId="8" fillId="0" borderId="23" xfId="9" applyFont="1" applyFill="1" applyBorder="1"/>
    <xf numFmtId="165" fontId="29" fillId="0" borderId="26" xfId="1" applyNumberFormat="1" applyFont="1" applyFill="1" applyBorder="1"/>
    <xf numFmtId="0" fontId="8" fillId="0" borderId="24" xfId="9" applyFont="1" applyFill="1" applyBorder="1"/>
    <xf numFmtId="0" fontId="2" fillId="0" borderId="1" xfId="9" applyFont="1" applyFill="1" applyBorder="1" applyProtection="1"/>
    <xf numFmtId="0" fontId="2" fillId="0" borderId="1" xfId="9" applyFont="1" applyFill="1" applyBorder="1"/>
    <xf numFmtId="0" fontId="35" fillId="0" borderId="0" xfId="9" applyFont="1" applyFill="1" applyBorder="1" applyAlignment="1">
      <alignment horizontal="centerContinuous"/>
    </xf>
    <xf numFmtId="0" fontId="8" fillId="0" borderId="0" xfId="9" applyFont="1" applyFill="1" applyAlignment="1" applyProtection="1">
      <alignment horizontal="center"/>
    </xf>
    <xf numFmtId="0" fontId="8" fillId="0" borderId="0" xfId="9" applyFont="1" applyFill="1" applyAlignment="1">
      <alignment horizontal="center"/>
    </xf>
    <xf numFmtId="0" fontId="8" fillId="0" borderId="19" xfId="9" applyFont="1" applyFill="1" applyBorder="1" applyAlignment="1">
      <alignment horizontal="center"/>
    </xf>
    <xf numFmtId="0" fontId="8" fillId="0" borderId="0" xfId="9" applyFont="1" applyFill="1" applyBorder="1" applyAlignment="1" applyProtection="1">
      <alignment horizontal="center"/>
    </xf>
    <xf numFmtId="0" fontId="8" fillId="0" borderId="1" xfId="9" applyFont="1" applyFill="1" applyBorder="1" applyAlignment="1" applyProtection="1">
      <alignment horizontal="center"/>
    </xf>
    <xf numFmtId="0" fontId="31" fillId="0" borderId="0" xfId="9" applyFont="1" applyFill="1" applyAlignment="1">
      <alignment horizontal="center"/>
    </xf>
    <xf numFmtId="0" fontId="29" fillId="0" borderId="22" xfId="9" applyFont="1" applyFill="1" applyBorder="1"/>
    <xf numFmtId="0" fontId="29" fillId="0" borderId="0" xfId="9" applyFont="1" applyFill="1" applyBorder="1"/>
    <xf numFmtId="0" fontId="8" fillId="0" borderId="7" xfId="9" applyFont="1" applyFill="1" applyBorder="1"/>
    <xf numFmtId="0" fontId="8" fillId="0" borderId="2" xfId="9" applyFont="1" applyFill="1" applyBorder="1"/>
    <xf numFmtId="0" fontId="8" fillId="0" borderId="8" xfId="9" applyFont="1" applyFill="1" applyBorder="1"/>
    <xf numFmtId="0" fontId="31" fillId="0" borderId="0" xfId="9" applyFont="1" applyFill="1" applyBorder="1"/>
    <xf numFmtId="0" fontId="8" fillId="0" borderId="15" xfId="9" applyFont="1" applyFill="1" applyBorder="1"/>
    <xf numFmtId="7" fontId="30" fillId="0" borderId="16" xfId="9" applyNumberFormat="1" applyFont="1" applyFill="1" applyBorder="1"/>
    <xf numFmtId="5" fontId="8" fillId="0" borderId="0" xfId="9" applyNumberFormat="1" applyFont="1" applyFill="1" applyProtection="1"/>
    <xf numFmtId="5" fontId="30" fillId="0" borderId="16" xfId="9" applyNumberFormat="1" applyFont="1" applyFill="1" applyBorder="1"/>
    <xf numFmtId="0" fontId="8" fillId="0" borderId="9" xfId="9" applyFont="1" applyFill="1" applyBorder="1"/>
    <xf numFmtId="5" fontId="30" fillId="0" borderId="1" xfId="9" applyNumberFormat="1" applyFont="1" applyFill="1" applyBorder="1"/>
    <xf numFmtId="0" fontId="30" fillId="0" borderId="1" xfId="9" applyFont="1" applyFill="1" applyBorder="1"/>
    <xf numFmtId="5" fontId="30" fillId="0" borderId="10" xfId="9" applyNumberFormat="1" applyFont="1" applyFill="1" applyBorder="1"/>
    <xf numFmtId="0" fontId="32" fillId="0" borderId="0" xfId="9" quotePrefix="1" applyFont="1" applyFill="1" applyBorder="1"/>
    <xf numFmtId="0" fontId="35" fillId="0" borderId="0" xfId="9" applyFont="1" applyFill="1" applyAlignment="1">
      <alignment horizontal="centerContinuous"/>
    </xf>
    <xf numFmtId="0" fontId="8" fillId="0" borderId="1" xfId="9" applyFont="1" applyFill="1" applyBorder="1" applyAlignment="1">
      <alignment horizontal="centerContinuous"/>
    </xf>
    <xf numFmtId="0" fontId="8" fillId="0" borderId="19" xfId="9" applyFont="1" applyFill="1" applyBorder="1" applyAlignment="1">
      <alignment horizontal="centerContinuous"/>
    </xf>
    <xf numFmtId="0" fontId="2" fillId="0" borderId="1" xfId="4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0" fontId="2" fillId="0" borderId="0" xfId="4" quotePrefix="1" applyFont="1" applyFill="1" applyAlignment="1">
      <alignment horizontal="left"/>
    </xf>
    <xf numFmtId="0" fontId="4" fillId="0" borderId="0" xfId="4" quotePrefix="1" applyFont="1" applyFill="1" applyAlignment="1">
      <alignment horizontal="center"/>
    </xf>
    <xf numFmtId="0" fontId="4" fillId="0" borderId="0" xfId="4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quotePrefix="1" applyNumberFormat="1" applyFont="1" applyFill="1" applyAlignment="1">
      <alignment horizontal="center"/>
    </xf>
    <xf numFmtId="0" fontId="10" fillId="0" borderId="0" xfId="0" quotePrefix="1" applyFont="1" applyFill="1" applyAlignment="1" applyProtection="1">
      <alignment horizontal="center"/>
    </xf>
    <xf numFmtId="0" fontId="23" fillId="0" borderId="0" xfId="8" applyFont="1" applyAlignment="1">
      <alignment horizontal="center"/>
    </xf>
    <xf numFmtId="0" fontId="7" fillId="0" borderId="1" xfId="8" applyBorder="1" applyAlignment="1">
      <alignment horizontal="center"/>
    </xf>
    <xf numFmtId="0" fontId="7" fillId="0" borderId="10" xfId="8" applyBorder="1" applyAlignment="1">
      <alignment horizontal="center"/>
    </xf>
    <xf numFmtId="192" fontId="23" fillId="0" borderId="0" xfId="8" applyNumberFormat="1" applyFont="1" applyBorder="1" applyAlignment="1">
      <alignment horizontal="center"/>
    </xf>
    <xf numFmtId="0" fontId="7" fillId="0" borderId="0" xfId="8" applyBorder="1" applyAlignment="1">
      <alignment horizontal="center"/>
    </xf>
    <xf numFmtId="0" fontId="27" fillId="0" borderId="0" xfId="9" applyFont="1" applyFill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2" fillId="0" borderId="0" xfId="0" applyFont="1"/>
    <xf numFmtId="0" fontId="7" fillId="0" borderId="0" xfId="8" applyFont="1" applyAlignment="1">
      <alignment horizontal="right"/>
    </xf>
  </cellXfs>
  <cellStyles count="32">
    <cellStyle name="Comma" xfId="1" builtinId="3"/>
    <cellStyle name="Comma 2" xfId="10"/>
    <cellStyle name="Comma 2 2" xfId="11"/>
    <cellStyle name="Comma 3" xfId="12"/>
    <cellStyle name="Comma 4" xfId="13"/>
    <cellStyle name="Currency" xfId="2" builtinId="4"/>
    <cellStyle name="Currency 2" xfId="14"/>
    <cellStyle name="General" xfId="15"/>
    <cellStyle name="Marathon" xfId="16"/>
    <cellStyle name="nONE" xfId="17"/>
    <cellStyle name="Normal" xfId="0" builtinId="0"/>
    <cellStyle name="Normal 2" xfId="18"/>
    <cellStyle name="Normal 2 2" xfId="19"/>
    <cellStyle name="Normal 3" xfId="20"/>
    <cellStyle name="Normal 3 2" xfId="21"/>
    <cellStyle name="Normal 4" xfId="22"/>
    <cellStyle name="Normal 4 2" xfId="23"/>
    <cellStyle name="Normal 5" xfId="24"/>
    <cellStyle name="Normal 6" xfId="25"/>
    <cellStyle name="Normal 7" xfId="26"/>
    <cellStyle name="Normal 8" xfId="27"/>
    <cellStyle name="Normal 9" xfId="28"/>
    <cellStyle name="Normal_EAST Blocking 901 2" xfId="5"/>
    <cellStyle name="Normal_East for 38.6M" xfId="7"/>
    <cellStyle name="Normal_Low Income Proposal" xfId="8"/>
    <cellStyle name="Normal_OR Blocking 04" xfId="6"/>
    <cellStyle name="Normal_OR Blocking 98 No Forecast" xfId="9"/>
    <cellStyle name="Normal_WA98" xfId="4"/>
    <cellStyle name="Percent" xfId="3" builtinId="5"/>
    <cellStyle name="Percent 2" xfId="29"/>
    <cellStyle name="Percent 3" xfId="30"/>
    <cellStyle name="TRANSMISSION RELIABILITY PORTION OF PROJECT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9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>
    <pageSetUpPr fitToPage="1"/>
  </sheetPr>
  <dimension ref="B1:AP59"/>
  <sheetViews>
    <sheetView view="pageBreakPreview" topLeftCell="B1" zoomScale="60" zoomScaleNormal="55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125" style="1" customWidth="1"/>
    <col min="14" max="14" width="10.25" style="1" hidden="1" customWidth="1"/>
    <col min="15" max="15" width="10.25" style="1" bestFit="1" customWidth="1"/>
    <col min="16" max="16" width="2.75" style="1" customWidth="1"/>
    <col min="17" max="17" width="12.5" style="1" customWidth="1"/>
    <col min="18" max="18" width="2.75" style="1" customWidth="1"/>
    <col min="19" max="19" width="11.5" style="1" customWidth="1"/>
    <col min="20" max="20" width="2.75" style="1" customWidth="1"/>
    <col min="21" max="21" width="12.625" style="1" customWidth="1"/>
    <col min="22" max="22" width="2" style="1" hidden="1" customWidth="1"/>
    <col min="23" max="23" width="20.25" style="1" hidden="1" customWidth="1"/>
    <col min="24" max="24" width="3.625" style="1" customWidth="1"/>
    <col min="25" max="25" width="16.125" style="1" bestFit="1" customWidth="1"/>
    <col min="26" max="26" width="12.375" style="1" customWidth="1"/>
    <col min="27" max="27" width="14.125" style="1" hidden="1" customWidth="1"/>
    <col min="28" max="28" width="12.25" style="1" hidden="1" customWidth="1"/>
    <col min="29" max="29" width="14.5" style="1" hidden="1" customWidth="1"/>
    <col min="30" max="30" width="15.25" style="1" hidden="1" customWidth="1"/>
    <col min="31" max="31" width="6.75" style="1" hidden="1" customWidth="1"/>
    <col min="32" max="32" width="20.75" style="1" hidden="1" customWidth="1"/>
    <col min="33" max="33" width="3.875" style="1" customWidth="1"/>
    <col min="34" max="34" width="11.75" style="1" bestFit="1" customWidth="1"/>
    <col min="35" max="35" width="2.125" style="1" customWidth="1"/>
    <col min="36" max="36" width="8.25" style="1" customWidth="1"/>
    <col min="37" max="37" width="3.125" style="1" customWidth="1"/>
    <col min="38" max="38" width="7.25" style="1" customWidth="1"/>
    <col min="39" max="39" width="0.125" style="1" customWidth="1"/>
    <col min="40" max="40" width="10.25" style="1" customWidth="1"/>
    <col min="41" max="41" width="13.5" style="1" bestFit="1" customWidth="1"/>
    <col min="42" max="16384" width="10.25" style="1"/>
  </cols>
  <sheetData>
    <row r="1" spans="2:42">
      <c r="U1" s="3" t="s">
        <v>0</v>
      </c>
    </row>
    <row r="2" spans="2:42">
      <c r="B2" s="621" t="s">
        <v>1</v>
      </c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2:42">
      <c r="B3" s="622" t="s">
        <v>2</v>
      </c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2:42">
      <c r="B4" s="622" t="s">
        <v>3</v>
      </c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2"/>
      <c r="O4" s="622"/>
      <c r="P4" s="622"/>
      <c r="Q4" s="622"/>
      <c r="R4" s="622"/>
      <c r="S4" s="622"/>
      <c r="T4" s="622"/>
      <c r="U4" s="622"/>
      <c r="V4" s="622"/>
      <c r="W4" s="622"/>
      <c r="X4" s="622"/>
      <c r="Y4" s="622"/>
      <c r="Z4" s="622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2:42">
      <c r="B5" s="622" t="s">
        <v>4</v>
      </c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2"/>
      <c r="O5" s="622"/>
      <c r="P5" s="622"/>
      <c r="Q5" s="622"/>
      <c r="R5" s="622"/>
      <c r="S5" s="622"/>
      <c r="T5" s="622"/>
      <c r="U5" s="622"/>
      <c r="V5" s="622"/>
      <c r="W5" s="622"/>
      <c r="X5" s="622"/>
      <c r="Y5" s="622"/>
      <c r="Z5" s="622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2:42">
      <c r="B6" s="622" t="s">
        <v>5</v>
      </c>
      <c r="C6" s="622"/>
      <c r="D6" s="622"/>
      <c r="E6" s="622"/>
      <c r="F6" s="622"/>
      <c r="G6" s="622"/>
      <c r="H6" s="622"/>
      <c r="I6" s="622"/>
      <c r="J6" s="622"/>
      <c r="K6" s="622"/>
      <c r="L6" s="622"/>
      <c r="M6" s="622"/>
      <c r="N6" s="622"/>
      <c r="O6" s="622"/>
      <c r="P6" s="622"/>
      <c r="Q6" s="622"/>
      <c r="R6" s="622"/>
      <c r="S6" s="622"/>
      <c r="T6" s="622"/>
      <c r="U6" s="622"/>
      <c r="V6" s="622"/>
      <c r="W6" s="622"/>
      <c r="X6" s="622"/>
      <c r="Y6" s="622"/>
      <c r="Z6" s="622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2:42">
      <c r="B7" s="621" t="s">
        <v>6</v>
      </c>
      <c r="C7" s="621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2:42">
      <c r="M8" s="6"/>
      <c r="N8" s="7"/>
      <c r="O8" s="7"/>
      <c r="P8" s="8"/>
      <c r="Q8" s="8"/>
      <c r="R8" s="8"/>
      <c r="S8" s="8"/>
      <c r="T8" s="8"/>
      <c r="U8" s="8"/>
      <c r="V8" s="7"/>
      <c r="W8" s="7"/>
      <c r="X8" s="7"/>
      <c r="Y8" s="8"/>
      <c r="Z8" s="8"/>
      <c r="AA8" s="8"/>
      <c r="AB8" s="8"/>
      <c r="AC8" s="8"/>
      <c r="AD8" s="8"/>
      <c r="AE8" s="8"/>
      <c r="AF8" s="9" t="s">
        <v>7</v>
      </c>
      <c r="AG8" s="8"/>
      <c r="AH8" s="8"/>
      <c r="AI8" s="8"/>
      <c r="AJ8" s="8"/>
      <c r="AK8" s="8"/>
      <c r="AL8" s="8"/>
      <c r="AM8" s="8"/>
      <c r="AN8" s="6"/>
      <c r="AO8" s="6"/>
      <c r="AP8" s="6"/>
    </row>
    <row r="9" spans="2:42">
      <c r="N9" s="10" t="s">
        <v>8</v>
      </c>
      <c r="O9" s="10" t="s">
        <v>9</v>
      </c>
      <c r="P9" s="11"/>
      <c r="Q9" s="618" t="s">
        <v>10</v>
      </c>
      <c r="R9" s="618"/>
      <c r="S9" s="618"/>
      <c r="T9" s="618"/>
      <c r="U9" s="618"/>
      <c r="V9" s="12"/>
      <c r="W9" s="12"/>
      <c r="X9" s="13"/>
      <c r="AE9" s="11"/>
      <c r="AF9" s="14" t="s">
        <v>11</v>
      </c>
      <c r="AG9" s="11"/>
      <c r="AH9" s="9" t="s">
        <v>12</v>
      </c>
      <c r="AI9" s="11"/>
      <c r="AJ9" s="9" t="s">
        <v>13</v>
      </c>
      <c r="AK9" s="11"/>
      <c r="AL9" s="11"/>
      <c r="AM9" s="11"/>
    </row>
    <row r="10" spans="2:42">
      <c r="F10" s="15" t="s">
        <v>14</v>
      </c>
      <c r="G10" s="15"/>
      <c r="H10" s="10" t="s">
        <v>15</v>
      </c>
      <c r="N10" s="9" t="s">
        <v>16</v>
      </c>
      <c r="O10" s="9" t="s">
        <v>16</v>
      </c>
      <c r="P10" s="16"/>
      <c r="Q10" s="17" t="s">
        <v>17</v>
      </c>
      <c r="R10" s="16"/>
      <c r="S10" s="18" t="s">
        <v>18</v>
      </c>
      <c r="T10" s="16"/>
      <c r="U10" s="19" t="s">
        <v>19</v>
      </c>
      <c r="V10" s="9"/>
      <c r="W10" s="9" t="s">
        <v>20</v>
      </c>
      <c r="X10" s="9"/>
      <c r="Y10" s="618" t="s">
        <v>21</v>
      </c>
      <c r="Z10" s="618"/>
      <c r="AA10" s="618"/>
      <c r="AB10" s="618"/>
      <c r="AC10" s="618"/>
      <c r="AD10" s="618"/>
      <c r="AE10" s="13"/>
      <c r="AF10" s="13"/>
      <c r="AG10" s="13"/>
      <c r="AH10" s="9" t="s">
        <v>21</v>
      </c>
      <c r="AI10" s="13"/>
      <c r="AJ10" s="9" t="s">
        <v>21</v>
      </c>
      <c r="AK10" s="20"/>
      <c r="AL10" s="13"/>
      <c r="AM10" s="20"/>
    </row>
    <row r="11" spans="2:42">
      <c r="B11" s="20" t="s">
        <v>22</v>
      </c>
      <c r="F11" s="15" t="s">
        <v>23</v>
      </c>
      <c r="G11" s="15"/>
      <c r="H11" s="10" t="s">
        <v>24</v>
      </c>
      <c r="I11" s="10" t="s">
        <v>15</v>
      </c>
      <c r="K11" s="10" t="s">
        <v>25</v>
      </c>
      <c r="N11" s="10" t="s">
        <v>26</v>
      </c>
      <c r="O11" s="10" t="s">
        <v>26</v>
      </c>
      <c r="P11" s="20"/>
      <c r="Q11" s="18" t="s">
        <v>26</v>
      </c>
      <c r="R11" s="20"/>
      <c r="S11" s="18" t="s">
        <v>26</v>
      </c>
      <c r="T11" s="20"/>
      <c r="U11" s="21" t="s">
        <v>26</v>
      </c>
      <c r="V11" s="10"/>
      <c r="W11" s="10" t="s">
        <v>26</v>
      </c>
      <c r="X11" s="10"/>
      <c r="Y11" s="22" t="s">
        <v>27</v>
      </c>
      <c r="Z11" s="10" t="s">
        <v>16</v>
      </c>
      <c r="AA11" s="22" t="s">
        <v>27</v>
      </c>
      <c r="AB11" s="10" t="s">
        <v>28</v>
      </c>
      <c r="AC11" s="22" t="s">
        <v>27</v>
      </c>
      <c r="AD11" s="10" t="s">
        <v>20</v>
      </c>
      <c r="AE11" s="20"/>
      <c r="AF11" s="20"/>
      <c r="AG11" s="20"/>
      <c r="AH11" s="10" t="s">
        <v>29</v>
      </c>
      <c r="AI11" s="20"/>
      <c r="AJ11" s="10" t="s">
        <v>30</v>
      </c>
      <c r="AK11" s="20"/>
      <c r="AL11" s="9"/>
      <c r="AM11" s="23"/>
      <c r="AN11" s="6"/>
    </row>
    <row r="12" spans="2:42">
      <c r="B12" s="24" t="s">
        <v>31</v>
      </c>
      <c r="D12" s="25" t="s">
        <v>32</v>
      </c>
      <c r="F12" s="25" t="s">
        <v>31</v>
      </c>
      <c r="G12" s="26"/>
      <c r="H12" s="27" t="s">
        <v>8</v>
      </c>
      <c r="I12" s="14" t="s">
        <v>24</v>
      </c>
      <c r="K12" s="27" t="s">
        <v>8</v>
      </c>
      <c r="L12" s="14" t="s">
        <v>25</v>
      </c>
      <c r="N12" s="28" t="s">
        <v>33</v>
      </c>
      <c r="O12" s="28" t="s">
        <v>33</v>
      </c>
      <c r="P12" s="9"/>
      <c r="Q12" s="29" t="s">
        <v>33</v>
      </c>
      <c r="R12" s="9"/>
      <c r="S12" s="29" t="s">
        <v>33</v>
      </c>
      <c r="T12" s="9"/>
      <c r="U12" s="30" t="s">
        <v>33</v>
      </c>
      <c r="V12" s="31"/>
      <c r="W12" s="28" t="s">
        <v>33</v>
      </c>
      <c r="X12" s="31"/>
      <c r="Y12" s="32" t="s">
        <v>33</v>
      </c>
      <c r="Z12" s="14" t="s">
        <v>34</v>
      </c>
      <c r="AA12" s="32" t="s">
        <v>33</v>
      </c>
      <c r="AB12" s="14" t="s">
        <v>34</v>
      </c>
      <c r="AC12" s="32" t="s">
        <v>33</v>
      </c>
      <c r="AD12" s="14" t="s">
        <v>34</v>
      </c>
      <c r="AE12" s="23"/>
      <c r="AF12" s="33" t="s">
        <v>35</v>
      </c>
      <c r="AG12" s="23"/>
      <c r="AH12" s="28" t="s">
        <v>35</v>
      </c>
      <c r="AI12" s="23"/>
      <c r="AJ12" s="14" t="s">
        <v>36</v>
      </c>
      <c r="AK12" s="23"/>
      <c r="AL12" s="9"/>
      <c r="AM12" s="23"/>
      <c r="AN12" s="6"/>
    </row>
    <row r="13" spans="2:42">
      <c r="B13" s="34"/>
      <c r="D13" s="22" t="s">
        <v>37</v>
      </c>
      <c r="F13" s="22" t="s">
        <v>38</v>
      </c>
      <c r="G13" s="15"/>
      <c r="H13" s="22"/>
      <c r="I13" s="22" t="s">
        <v>39</v>
      </c>
      <c r="K13" s="22"/>
      <c r="L13" s="22" t="s">
        <v>40</v>
      </c>
      <c r="N13" s="22"/>
      <c r="O13" s="22" t="s">
        <v>41</v>
      </c>
      <c r="P13" s="22"/>
      <c r="Q13" s="22" t="s">
        <v>42</v>
      </c>
      <c r="R13" s="22"/>
      <c r="S13" s="22" t="s">
        <v>43</v>
      </c>
      <c r="T13" s="22"/>
      <c r="U13" s="22" t="s">
        <v>44</v>
      </c>
      <c r="V13" s="22"/>
      <c r="W13" s="22"/>
      <c r="X13" s="22"/>
      <c r="Y13" s="22" t="s">
        <v>45</v>
      </c>
      <c r="Z13" s="22" t="s">
        <v>46</v>
      </c>
      <c r="AA13" s="22" t="s">
        <v>44</v>
      </c>
      <c r="AB13" s="22" t="s">
        <v>44</v>
      </c>
      <c r="AC13" s="22"/>
      <c r="AD13" s="22"/>
      <c r="AE13" s="22"/>
      <c r="AF13" s="22"/>
      <c r="AG13" s="22"/>
      <c r="AH13" s="22" t="s">
        <v>47</v>
      </c>
      <c r="AI13" s="22"/>
      <c r="AJ13" s="22" t="s">
        <v>48</v>
      </c>
      <c r="AK13" s="22"/>
      <c r="AL13" s="16"/>
      <c r="AM13" s="16"/>
      <c r="AN13" s="6"/>
    </row>
    <row r="14" spans="2:42">
      <c r="P14" s="22"/>
      <c r="Q14" s="22" t="s">
        <v>49</v>
      </c>
      <c r="R14" s="22"/>
      <c r="S14" s="22"/>
      <c r="T14" s="22"/>
      <c r="U14" s="22" t="s">
        <v>0</v>
      </c>
      <c r="Z14" s="22" t="s">
        <v>50</v>
      </c>
      <c r="AB14" s="22" t="s">
        <v>51</v>
      </c>
      <c r="AD14" s="22"/>
      <c r="AH14" s="22" t="s">
        <v>52</v>
      </c>
      <c r="AJ14" s="22" t="s">
        <v>53</v>
      </c>
      <c r="AL14" s="6"/>
      <c r="AM14" s="6"/>
      <c r="AN14" s="6"/>
    </row>
    <row r="15" spans="2:42">
      <c r="D15" s="35" t="s">
        <v>54</v>
      </c>
      <c r="AL15" s="6"/>
      <c r="AM15" s="6"/>
      <c r="AN15" s="6"/>
    </row>
    <row r="16" spans="2:42">
      <c r="B16" s="20">
        <v>1</v>
      </c>
      <c r="D16" s="2" t="s">
        <v>55</v>
      </c>
      <c r="F16" s="36" t="s">
        <v>56</v>
      </c>
      <c r="G16" s="36"/>
      <c r="H16" s="37">
        <v>101336.91666666667</v>
      </c>
      <c r="I16" s="37">
        <f>'Exhibit No._(JRS-11) p1-9'!C87/12</f>
        <v>104296.97777777778</v>
      </c>
      <c r="J16" s="3"/>
      <c r="K16" s="37">
        <v>1569938.6044392167</v>
      </c>
      <c r="L16" s="37">
        <f>'Exhibit No._(JRS-11) p1-9'!C99/1000</f>
        <v>1601807.788900645</v>
      </c>
      <c r="N16" s="38">
        <v>102672.94442530281</v>
      </c>
      <c r="O16" s="38">
        <f>'Exhibit No._(JRS-11) p1-9'!I99/1000</f>
        <v>134571.28710393453</v>
      </c>
      <c r="P16" s="39"/>
      <c r="Q16" s="40">
        <f>U16-S16</f>
        <v>96222.328103934531</v>
      </c>
      <c r="R16" s="39"/>
      <c r="S16" s="38">
        <f>('Exhibit No._(JRS-11) p1-9'!L93+'Exhibit No._(JRS-11) p1-9'!L94)/1000</f>
        <v>55755.249003154975</v>
      </c>
      <c r="T16" s="39"/>
      <c r="U16" s="38">
        <f>'Exhibit No._(JRS-11) p1-9'!L99/1000</f>
        <v>151977.57710708951</v>
      </c>
      <c r="V16" s="38"/>
      <c r="W16" s="40">
        <f>U16+AA16</f>
        <v>152864.97862214048</v>
      </c>
      <c r="X16" s="38"/>
      <c r="Y16" s="38">
        <f>('Exhibit No._(JRS-11) p1-9'!L99-'Exhibit No._(JRS-11) p1-9'!I99)/1000</f>
        <v>17406.290003154994</v>
      </c>
      <c r="Z16" s="41">
        <f>Y16/O16</f>
        <v>0.12934624003195758</v>
      </c>
      <c r="AA16" s="38">
        <f>(AF16/100)*L16</f>
        <v>887.4015150509573</v>
      </c>
      <c r="AB16" s="41">
        <f>AA16/O16</f>
        <v>6.5942857064715688E-3</v>
      </c>
      <c r="AC16" s="38">
        <f>Y16+AA16</f>
        <v>18293.691518205953</v>
      </c>
      <c r="AD16" s="41">
        <f>AC16/O16</f>
        <v>0.13594052573842916</v>
      </c>
      <c r="AE16" s="39"/>
      <c r="AF16" s="42">
        <f>ROUND((((O16/$O$44)*$AA$51)/L16)*100,4)</f>
        <v>5.5399999999999998E-2</v>
      </c>
      <c r="AG16" s="39"/>
      <c r="AH16" s="43">
        <f>U16/L16*100</f>
        <v>9.4878785182705947</v>
      </c>
      <c r="AI16" s="39"/>
      <c r="AJ16" s="44">
        <f>(Y16/L16)*100</f>
        <v>1.0866653367381427</v>
      </c>
      <c r="AK16" s="39"/>
      <c r="AL16" s="45" t="s">
        <v>0</v>
      </c>
      <c r="AM16" s="46"/>
      <c r="AN16" s="47" t="s">
        <v>0</v>
      </c>
      <c r="AO16" s="3" t="s">
        <v>0</v>
      </c>
    </row>
    <row r="17" spans="2:42">
      <c r="H17" s="48"/>
      <c r="I17" s="48"/>
      <c r="K17" s="48"/>
      <c r="L17" s="48"/>
      <c r="N17" s="48"/>
      <c r="O17" s="48"/>
      <c r="P17" s="6"/>
      <c r="Q17" s="49"/>
      <c r="R17" s="6"/>
      <c r="S17" s="49"/>
      <c r="T17" s="6"/>
      <c r="U17" s="49"/>
      <c r="V17" s="6"/>
      <c r="W17" s="49"/>
      <c r="X17" s="6"/>
      <c r="Y17" s="48"/>
      <c r="Z17" s="50"/>
      <c r="AA17" s="48"/>
      <c r="AB17" s="51"/>
      <c r="AC17" s="48"/>
      <c r="AD17" s="51"/>
      <c r="AE17" s="6"/>
      <c r="AF17" s="52"/>
      <c r="AG17" s="6"/>
      <c r="AH17" s="49"/>
      <c r="AI17" s="6"/>
      <c r="AJ17" s="53"/>
      <c r="AK17" s="6"/>
      <c r="AL17" s="54"/>
      <c r="AM17" s="6"/>
      <c r="AN17" s="6"/>
    </row>
    <row r="18" spans="2:42">
      <c r="Z18" s="55"/>
      <c r="AB18" s="55"/>
      <c r="AD18" s="55"/>
      <c r="AF18" s="56"/>
      <c r="AJ18" s="57"/>
      <c r="AL18" s="54"/>
      <c r="AM18" s="6"/>
      <c r="AN18" s="6"/>
    </row>
    <row r="19" spans="2:42">
      <c r="B19" s="58">
        <f>MAX(B$13:B18)+1</f>
        <v>2</v>
      </c>
      <c r="D19" s="35" t="s">
        <v>57</v>
      </c>
      <c r="H19" s="59">
        <f>SUM(H16:H16)</f>
        <v>101336.91666666667</v>
      </c>
      <c r="I19" s="59">
        <f>SUM(I16:I16)</f>
        <v>104296.97777777778</v>
      </c>
      <c r="K19" s="59">
        <f>SUM(K16:K16)</f>
        <v>1569938.6044392167</v>
      </c>
      <c r="L19" s="59">
        <f>SUM(L16:L16)</f>
        <v>1601807.788900645</v>
      </c>
      <c r="M19" s="59"/>
      <c r="N19" s="60">
        <f>SUM(N16:N16)</f>
        <v>102672.94442530281</v>
      </c>
      <c r="O19" s="60">
        <f>SUM(O16:O16)</f>
        <v>134571.28710393453</v>
      </c>
      <c r="P19" s="39"/>
      <c r="Q19" s="60">
        <f>SUM(Q16:Q16)</f>
        <v>96222.328103934531</v>
      </c>
      <c r="R19" s="39"/>
      <c r="S19" s="60">
        <f>SUM(S16:S16)</f>
        <v>55755.249003154975</v>
      </c>
      <c r="T19" s="39"/>
      <c r="U19" s="60">
        <f>SUM(U16:U16)</f>
        <v>151977.57710708951</v>
      </c>
      <c r="V19" s="60"/>
      <c r="W19" s="60">
        <f>SUM(W16:W16)</f>
        <v>152864.97862214048</v>
      </c>
      <c r="X19" s="60"/>
      <c r="Y19" s="38">
        <f>SUM(Y16)</f>
        <v>17406.290003154994</v>
      </c>
      <c r="Z19" s="41">
        <f>Y19/O19</f>
        <v>0.12934624003195758</v>
      </c>
      <c r="AA19" s="38">
        <f>SUM(AA16)</f>
        <v>887.4015150509573</v>
      </c>
      <c r="AB19" s="41">
        <f>AA19/O19</f>
        <v>6.5942857064715688E-3</v>
      </c>
      <c r="AC19" s="38">
        <f>Y19+AA19</f>
        <v>18293.691518205953</v>
      </c>
      <c r="AD19" s="41">
        <f>AC19/O19</f>
        <v>0.13594052573842916</v>
      </c>
      <c r="AE19" s="39"/>
      <c r="AF19" s="61"/>
      <c r="AG19" s="39"/>
      <c r="AH19" s="43">
        <f>U19/L19*100</f>
        <v>9.4878785182705947</v>
      </c>
      <c r="AI19" s="39"/>
      <c r="AJ19" s="44">
        <f>(Y19/L19)*100</f>
        <v>1.0866653367381427</v>
      </c>
      <c r="AK19" s="39"/>
      <c r="AL19" s="44"/>
      <c r="AM19" s="46"/>
      <c r="AN19" s="6"/>
    </row>
    <row r="20" spans="2:42">
      <c r="L20" s="3" t="s">
        <v>0</v>
      </c>
      <c r="Z20" s="55"/>
      <c r="AB20" s="55"/>
      <c r="AD20" s="55"/>
      <c r="AF20" s="56"/>
      <c r="AJ20" s="57"/>
      <c r="AL20" s="54"/>
      <c r="AM20" s="6"/>
      <c r="AN20" s="6"/>
    </row>
    <row r="21" spans="2:42">
      <c r="D21" s="35" t="s">
        <v>58</v>
      </c>
      <c r="H21" s="62"/>
      <c r="I21" s="62"/>
      <c r="Z21" s="55"/>
      <c r="AB21" s="55"/>
      <c r="AD21" s="55"/>
      <c r="AF21" s="56"/>
      <c r="AJ21" s="57"/>
      <c r="AL21" s="54"/>
      <c r="AM21" s="6"/>
      <c r="AN21" s="6"/>
    </row>
    <row r="22" spans="2:42">
      <c r="B22" s="58">
        <f>MAX(B$13:B21)+1</f>
        <v>3</v>
      </c>
      <c r="D22" s="2" t="s">
        <v>59</v>
      </c>
      <c r="F22" s="15">
        <v>24</v>
      </c>
      <c r="G22" s="15"/>
      <c r="H22" s="37">
        <v>17306.416666666664</v>
      </c>
      <c r="I22" s="37">
        <f>'Exhibit No._(JRS-11) p1-9'!C173/12</f>
        <v>18646.79166666606</v>
      </c>
      <c r="K22" s="37">
        <v>513041.74113523914</v>
      </c>
      <c r="L22" s="37">
        <f>'Exhibit No._(JRS-11) p1-9'!C201/1000</f>
        <v>537395.79148303834</v>
      </c>
      <c r="N22" s="60">
        <v>33647.646251191611</v>
      </c>
      <c r="O22" s="60">
        <f>'Exhibit No._(JRS-11) p1-9'!I201/1000</f>
        <v>45261.337330470167</v>
      </c>
      <c r="P22" s="39"/>
      <c r="Q22" s="40">
        <f t="shared" ref="Q22:Q29" si="0">U22-S22</f>
        <v>32200.778330470166</v>
      </c>
      <c r="R22" s="39"/>
      <c r="S22" s="38">
        <f>('Exhibit No._(JRS-11) p1-9'!L179+'Exhibit No._(JRS-11) p1-9'!L180+'Exhibit No._(JRS-11) p1-9'!L181)/1000</f>
        <v>17734.934000000001</v>
      </c>
      <c r="T22" s="39"/>
      <c r="U22" s="60">
        <f>'Exhibit No._(JRS-11) p1-9'!L201/1000</f>
        <v>49935.712330470167</v>
      </c>
      <c r="V22" s="38"/>
      <c r="W22" s="40">
        <f t="shared" ref="W22:W29" si="1">U22+AA22</f>
        <v>50233.966994743256</v>
      </c>
      <c r="X22" s="38"/>
      <c r="Y22" s="38">
        <f>('Exhibit No._(JRS-11) p1-9'!L201-'Exhibit No._(JRS-11) p1-9'!I201)/1000</f>
        <v>4674.375</v>
      </c>
      <c r="Z22" s="41">
        <f>Y22/O22</f>
        <v>0.10327522949378666</v>
      </c>
      <c r="AA22" s="38">
        <f t="shared" ref="AA22:AA29" si="2">(AF22/100)*L22</f>
        <v>298.25466427308629</v>
      </c>
      <c r="AB22" s="41">
        <f>AA22/O22</f>
        <v>6.5896122798011032E-3</v>
      </c>
      <c r="AC22" s="38">
        <f t="shared" ref="AC22:AC29" si="3">Y22+AA22</f>
        <v>4972.6296642730867</v>
      </c>
      <c r="AD22" s="41">
        <f>AC22/O22</f>
        <v>0.10986484177358778</v>
      </c>
      <c r="AE22" s="39"/>
      <c r="AF22" s="42">
        <f>ROUND((((O22/$O$44)*$AA$51)/L22)*100,4)</f>
        <v>5.5500000000000001E-2</v>
      </c>
      <c r="AG22" s="39"/>
      <c r="AH22" s="43">
        <f>U22/L22*100</f>
        <v>9.2921666157198164</v>
      </c>
      <c r="AI22" s="39"/>
      <c r="AJ22" s="44">
        <f>(Y22/L22)*100</f>
        <v>0.8698198002444788</v>
      </c>
      <c r="AK22" s="39"/>
      <c r="AL22" s="44"/>
      <c r="AM22" s="46"/>
      <c r="AN22" s="6"/>
      <c r="AO22" s="63"/>
      <c r="AP22" s="64"/>
    </row>
    <row r="23" spans="2:42">
      <c r="B23" s="58">
        <f>MAX(B$13:B22)+1</f>
        <v>4</v>
      </c>
      <c r="D23" s="65" t="s">
        <v>60</v>
      </c>
      <c r="E23" s="65"/>
      <c r="F23" s="58">
        <v>33</v>
      </c>
      <c r="G23" s="15"/>
      <c r="H23" s="37">
        <v>0</v>
      </c>
      <c r="I23" s="37">
        <v>0</v>
      </c>
      <c r="K23" s="37">
        <v>0</v>
      </c>
      <c r="L23" s="37">
        <v>0</v>
      </c>
      <c r="N23" s="38">
        <v>0</v>
      </c>
      <c r="O23" s="38">
        <v>0</v>
      </c>
      <c r="P23" s="39"/>
      <c r="Q23" s="40">
        <f t="shared" si="0"/>
        <v>0</v>
      </c>
      <c r="R23" s="39"/>
      <c r="S23" s="38">
        <f>('Exhibit No._(JRS-11) p1-9'!L588+'Exhibit No._(JRS-11) p1-9'!L589)/1000</f>
        <v>0</v>
      </c>
      <c r="T23" s="39"/>
      <c r="U23" s="60">
        <f>'Exhibit No._(JRS-11) p1-9'!L592/100</f>
        <v>0</v>
      </c>
      <c r="V23" s="38"/>
      <c r="W23" s="40">
        <f t="shared" si="1"/>
        <v>0</v>
      </c>
      <c r="X23" s="38"/>
      <c r="Y23" s="38">
        <f>('Exhibit No._(JRS-11) p1-9'!L592-'Exhibit No._(JRS-11) p1-9'!I592)/1000</f>
        <v>0</v>
      </c>
      <c r="Z23" s="41">
        <f>Z24</f>
        <v>0.12150089112782193</v>
      </c>
      <c r="AA23" s="38">
        <f t="shared" si="2"/>
        <v>0</v>
      </c>
      <c r="AB23" s="41">
        <v>0</v>
      </c>
      <c r="AC23" s="38">
        <f t="shared" si="3"/>
        <v>0</v>
      </c>
      <c r="AD23" s="41">
        <f>Z23+AB23</f>
        <v>0.12150089112782193</v>
      </c>
      <c r="AE23" s="39"/>
      <c r="AF23" s="42">
        <v>0</v>
      </c>
      <c r="AG23" s="39"/>
      <c r="AH23" s="43">
        <v>0</v>
      </c>
      <c r="AI23" s="39"/>
      <c r="AJ23" s="44">
        <v>0</v>
      </c>
      <c r="AK23" s="39"/>
      <c r="AL23" s="44"/>
      <c r="AM23" s="46"/>
      <c r="AN23" s="6"/>
      <c r="AO23" s="63"/>
      <c r="AP23" s="64"/>
    </row>
    <row r="24" spans="2:42">
      <c r="B24" s="58">
        <f>MAX(B$13:B23)+1</f>
        <v>5</v>
      </c>
      <c r="D24" s="2" t="s">
        <v>61</v>
      </c>
      <c r="F24" s="15">
        <v>36</v>
      </c>
      <c r="G24" s="15"/>
      <c r="H24" s="37">
        <v>1058.6666666666667</v>
      </c>
      <c r="I24" s="37">
        <f>'Exhibit No._(JRS-11) p1-9'!C601/12</f>
        <v>1044.4944444444445</v>
      </c>
      <c r="K24" s="37">
        <v>901191.51506367233</v>
      </c>
      <c r="L24" s="37">
        <f>'Exhibit No._(JRS-11) p1-9'!C632/1000</f>
        <v>860704.39038612752</v>
      </c>
      <c r="N24" s="60">
        <v>49005.26783999426</v>
      </c>
      <c r="O24" s="60">
        <f>'Exhibit No._(JRS-11) p1-9'!I632/1000</f>
        <v>61297.41050347397</v>
      </c>
      <c r="P24" s="39"/>
      <c r="Q24" s="40">
        <f t="shared" si="0"/>
        <v>40646.349503473961</v>
      </c>
      <c r="R24" s="39"/>
      <c r="S24" s="38">
        <f>('Exhibit No._(JRS-11) p1-9'!L611+'Exhibit No._(JRS-11) p1-9'!L612)/1000</f>
        <v>28098.751</v>
      </c>
      <c r="T24" s="39"/>
      <c r="U24" s="60">
        <f>'Exhibit No._(JRS-11) p1-9'!L632/1000</f>
        <v>68745.100503473965</v>
      </c>
      <c r="V24" s="38"/>
      <c r="W24" s="40">
        <f t="shared" si="1"/>
        <v>69148.770862565056</v>
      </c>
      <c r="X24" s="38"/>
      <c r="Y24" s="38">
        <f>('Exhibit No._(JRS-11) p1-9'!L632-'Exhibit No._(JRS-11) p1-9'!I632)/1000</f>
        <v>7447.69</v>
      </c>
      <c r="Z24" s="41">
        <f t="shared" ref="Z24:Z29" si="4">Y24/O24</f>
        <v>0.12150089112782193</v>
      </c>
      <c r="AA24" s="38">
        <f t="shared" si="2"/>
        <v>403.67035909109376</v>
      </c>
      <c r="AB24" s="41">
        <f t="shared" ref="AB24:AB29" si="5">AA24/O24</f>
        <v>6.5854390222278014E-3</v>
      </c>
      <c r="AC24" s="38">
        <f t="shared" si="3"/>
        <v>7851.3603590910934</v>
      </c>
      <c r="AD24" s="41">
        <f t="shared" ref="AD24:AD29" si="6">AC24/O24</f>
        <v>0.12808633015004975</v>
      </c>
      <c r="AE24" s="39"/>
      <c r="AF24" s="42">
        <f t="shared" ref="AF24:AF29" si="7">ROUND((((O24/$O$44)*$AA$51)/L24)*100,4)</f>
        <v>4.6899999999999997E-2</v>
      </c>
      <c r="AG24" s="39"/>
      <c r="AH24" s="43">
        <f t="shared" ref="AH24:AH29" si="8">U24/L24*100</f>
        <v>7.9870744556831728</v>
      </c>
      <c r="AI24" s="39"/>
      <c r="AJ24" s="44">
        <f t="shared" ref="AJ24:AJ29" si="9">(Y24/L24)*100</f>
        <v>0.86530173230077656</v>
      </c>
      <c r="AK24" s="39"/>
      <c r="AL24" s="44"/>
      <c r="AM24" s="46"/>
      <c r="AN24" s="6"/>
      <c r="AO24" s="63"/>
      <c r="AP24" s="64"/>
    </row>
    <row r="25" spans="2:42">
      <c r="B25" s="58">
        <f>MAX(B$13:B24)+1</f>
        <v>6</v>
      </c>
      <c r="D25" s="2" t="s">
        <v>62</v>
      </c>
      <c r="F25" s="15" t="s">
        <v>63</v>
      </c>
      <c r="G25" s="15"/>
      <c r="H25" s="37">
        <v>5259</v>
      </c>
      <c r="I25" s="37">
        <f>'Exhibit No._(JRS-11) p1-9'!C719</f>
        <v>5260</v>
      </c>
      <c r="K25" s="37">
        <v>168033.04399999999</v>
      </c>
      <c r="L25" s="37">
        <f>'Exhibit No._(JRS-11) p1-9'!C762/1000</f>
        <v>153555.06536433662</v>
      </c>
      <c r="N25" s="60">
        <v>10140.337</v>
      </c>
      <c r="O25" s="60">
        <f>'Exhibit No._(JRS-11) p1-9'!I762/1000</f>
        <v>12299.348</v>
      </c>
      <c r="P25" s="39"/>
      <c r="Q25" s="40">
        <f t="shared" si="0"/>
        <v>8891.2720000000008</v>
      </c>
      <c r="R25" s="39"/>
      <c r="S25" s="38">
        <f>'Exhibit No._(JRS-11) p1-9'!L736/1000</f>
        <v>4678.13</v>
      </c>
      <c r="T25" s="39"/>
      <c r="U25" s="60">
        <f>'Exhibit No._(JRS-11) p1-9'!L762/1000</f>
        <v>13569.402</v>
      </c>
      <c r="V25" s="38"/>
      <c r="W25" s="40">
        <f t="shared" si="1"/>
        <v>13650.47907451237</v>
      </c>
      <c r="X25" s="38"/>
      <c r="Y25" s="38">
        <f>('Exhibit No._(JRS-11) p1-9'!L762-'Exhibit No._(JRS-11) p1-9'!I762)/1000</f>
        <v>1270.0540000000001</v>
      </c>
      <c r="Z25" s="41">
        <f t="shared" si="4"/>
        <v>0.10326189648426894</v>
      </c>
      <c r="AA25" s="38">
        <f t="shared" si="2"/>
        <v>81.077074512369748</v>
      </c>
      <c r="AB25" s="41">
        <f t="shared" si="5"/>
        <v>6.5919815027893954E-3</v>
      </c>
      <c r="AC25" s="38">
        <f t="shared" si="3"/>
        <v>1351.1310745123699</v>
      </c>
      <c r="AD25" s="41">
        <f t="shared" si="6"/>
        <v>0.10985387798705833</v>
      </c>
      <c r="AE25" s="39"/>
      <c r="AF25" s="42">
        <f t="shared" si="7"/>
        <v>5.28E-2</v>
      </c>
      <c r="AG25" s="39"/>
      <c r="AH25" s="43">
        <f t="shared" si="8"/>
        <v>8.8368312486495881</v>
      </c>
      <c r="AI25" s="39"/>
      <c r="AJ25" s="44">
        <f t="shared" si="9"/>
        <v>0.82710003540851729</v>
      </c>
      <c r="AK25" s="39"/>
      <c r="AL25" s="44"/>
      <c r="AM25" s="46"/>
      <c r="AN25" s="6"/>
    </row>
    <row r="26" spans="2:42">
      <c r="B26" s="58">
        <f>MAX(B$13:B25)+1</f>
        <v>7</v>
      </c>
      <c r="D26" s="2" t="s">
        <v>64</v>
      </c>
      <c r="F26" s="15">
        <v>47</v>
      </c>
      <c r="G26" s="15"/>
      <c r="H26" s="37">
        <v>1.0833333333333333</v>
      </c>
      <c r="I26" s="37">
        <f>'Exhibit No._(JRS-11) p1-9'!C876/12</f>
        <v>1</v>
      </c>
      <c r="K26" s="37">
        <v>1616.6904507017675</v>
      </c>
      <c r="L26" s="37">
        <f>'Exhibit No._(JRS-11) p1-9'!C890/1000</f>
        <v>1734.4743654971489</v>
      </c>
      <c r="N26" s="60">
        <v>165.62561725051643</v>
      </c>
      <c r="O26" s="60">
        <f>'Exhibit No._(JRS-11) p1-9'!I890/1000</f>
        <v>290.56051169386154</v>
      </c>
      <c r="P26" s="39"/>
      <c r="Q26" s="40">
        <f t="shared" si="0"/>
        <v>280.26451169386161</v>
      </c>
      <c r="R26" s="39"/>
      <c r="S26" s="38">
        <f>'Exhibit No._(JRS-11) p1-9'!L887/1000</f>
        <v>51.289000000000001</v>
      </c>
      <c r="T26" s="39"/>
      <c r="U26" s="60">
        <f>'Exhibit No._(JRS-11) p1-9'!L890/1000</f>
        <v>331.55351169386159</v>
      </c>
      <c r="V26" s="38"/>
      <c r="W26" s="40">
        <f t="shared" si="1"/>
        <v>333.46837139337043</v>
      </c>
      <c r="X26" s="38"/>
      <c r="Y26" s="38">
        <f>('Exhibit No._(JRS-11) p1-9'!L890-'Exhibit No._(JRS-11) p1-9'!I890)/1000</f>
        <v>40.993000000000002</v>
      </c>
      <c r="Z26" s="41">
        <f t="shared" si="4"/>
        <v>0.14108248832928397</v>
      </c>
      <c r="AA26" s="38">
        <f t="shared" si="2"/>
        <v>1.9148596995088523</v>
      </c>
      <c r="AB26" s="41">
        <f t="shared" si="5"/>
        <v>6.5902268974745411E-3</v>
      </c>
      <c r="AC26" s="38">
        <f t="shared" si="3"/>
        <v>42.907859699508855</v>
      </c>
      <c r="AD26" s="41">
        <f t="shared" si="6"/>
        <v>0.14767271522675851</v>
      </c>
      <c r="AE26" s="39"/>
      <c r="AF26" s="42">
        <f t="shared" si="7"/>
        <v>0.1104</v>
      </c>
      <c r="AG26" s="39"/>
      <c r="AH26" s="43">
        <f t="shared" si="8"/>
        <v>19.115503710475945</v>
      </c>
      <c r="AI26" s="39"/>
      <c r="AJ26" s="44">
        <f t="shared" si="9"/>
        <v>2.3634249554475408</v>
      </c>
      <c r="AK26" s="39"/>
      <c r="AL26" s="44"/>
      <c r="AM26" s="46"/>
      <c r="AN26" s="6"/>
    </row>
    <row r="27" spans="2:42">
      <c r="B27" s="58">
        <f>MAX(B$13:B26)+1</f>
        <v>8</v>
      </c>
      <c r="D27" s="2" t="s">
        <v>65</v>
      </c>
      <c r="F27" s="15">
        <v>48</v>
      </c>
      <c r="G27" s="15"/>
      <c r="H27" s="37">
        <v>63.666666666666671</v>
      </c>
      <c r="I27" s="37">
        <f>('Exhibit No._(JRS-11) p1-9'!C917+'Exhibit No._(JRS-11) p1-9'!C1085)/12</f>
        <v>58.916666666666664</v>
      </c>
      <c r="K27" s="37">
        <v>856497.09877425549</v>
      </c>
      <c r="L27" s="37">
        <f>('Exhibit No._(JRS-11) p1-9'!C927+'Exhibit No._(JRS-11) p1-9'!C1096)/1000</f>
        <v>832282.91037473246</v>
      </c>
      <c r="N27" s="60">
        <v>38996.209349631463</v>
      </c>
      <c r="O27" s="60">
        <f>('Exhibit No._(JRS-11) p1-9'!I927+'Exhibit No._(JRS-11) p1-9'!I1096)/1000</f>
        <v>48127.735956489982</v>
      </c>
      <c r="P27" s="39"/>
      <c r="Q27" s="40">
        <f t="shared" si="0"/>
        <v>29388.037956489981</v>
      </c>
      <c r="R27" s="39"/>
      <c r="S27" s="38">
        <f>('Exhibit No._(JRS-11) p1-9'!L905/1000)</f>
        <v>24777.647000000001</v>
      </c>
      <c r="T27" s="39"/>
      <c r="U27" s="60">
        <f>'Exhibit No._(JRS-11) p1-9'!L908/1000</f>
        <v>54165.684956489982</v>
      </c>
      <c r="V27" s="38"/>
      <c r="W27" s="40">
        <f t="shared" si="1"/>
        <v>54482.784745342753</v>
      </c>
      <c r="X27" s="38"/>
      <c r="Y27" s="38">
        <f>('Exhibit No._(JRS-11) p1-9'!L927+'Exhibit No._(JRS-11) p1-9'!L1096-'Exhibit No._(JRS-11) p1-9'!I927-'Exhibit No._(JRS-11) p1-9'!I1096)/1000</f>
        <v>6037.9489999999996</v>
      </c>
      <c r="Z27" s="41">
        <f t="shared" si="4"/>
        <v>0.12545674297786674</v>
      </c>
      <c r="AA27" s="38">
        <f t="shared" si="2"/>
        <v>317.09978885277309</v>
      </c>
      <c r="AB27" s="41">
        <f t="shared" si="5"/>
        <v>6.5887119464636372E-3</v>
      </c>
      <c r="AC27" s="38">
        <f t="shared" si="3"/>
        <v>6355.0487888527723</v>
      </c>
      <c r="AD27" s="41">
        <f t="shared" si="6"/>
        <v>0.13204545492433037</v>
      </c>
      <c r="AE27" s="39"/>
      <c r="AF27" s="42">
        <f t="shared" si="7"/>
        <v>3.8100000000000002E-2</v>
      </c>
      <c r="AG27" s="39"/>
      <c r="AH27" s="43">
        <f t="shared" si="8"/>
        <v>6.5080856859240424</v>
      </c>
      <c r="AI27" s="39"/>
      <c r="AJ27" s="44">
        <f t="shared" si="9"/>
        <v>0.72546833831796864</v>
      </c>
      <c r="AK27" s="39"/>
      <c r="AL27" s="44"/>
      <c r="AM27" s="46"/>
      <c r="AN27" s="6"/>
      <c r="AO27" s="3" t="s">
        <v>0</v>
      </c>
    </row>
    <row r="28" spans="2:42" hidden="1">
      <c r="B28" s="58">
        <f>MAX(B$13:B26)+1</f>
        <v>8</v>
      </c>
      <c r="D28" s="2" t="s">
        <v>66</v>
      </c>
      <c r="F28" s="36" t="s">
        <v>67</v>
      </c>
      <c r="G28" s="15"/>
      <c r="H28" s="37">
        <v>63.666666666666671</v>
      </c>
      <c r="I28" s="37">
        <v>0</v>
      </c>
      <c r="K28" s="37">
        <v>856497.09877425549</v>
      </c>
      <c r="L28" s="37">
        <v>0</v>
      </c>
      <c r="N28" s="60">
        <v>38996.209349631463</v>
      </c>
      <c r="O28" s="60">
        <v>0</v>
      </c>
      <c r="P28" s="39"/>
      <c r="Q28" s="40">
        <v>0</v>
      </c>
      <c r="R28" s="39"/>
      <c r="S28" s="38">
        <v>0</v>
      </c>
      <c r="T28" s="39"/>
      <c r="U28" s="60">
        <v>0</v>
      </c>
      <c r="V28" s="38"/>
      <c r="W28" s="40" t="e">
        <f t="shared" si="1"/>
        <v>#DIV/0!</v>
      </c>
      <c r="X28" s="38"/>
      <c r="Y28" s="38">
        <v>0</v>
      </c>
      <c r="Z28" s="41">
        <v>0</v>
      </c>
      <c r="AA28" s="38" t="e">
        <f t="shared" si="2"/>
        <v>#DIV/0!</v>
      </c>
      <c r="AB28" s="41" t="e">
        <f t="shared" si="5"/>
        <v>#DIV/0!</v>
      </c>
      <c r="AC28" s="38" t="e">
        <f t="shared" si="3"/>
        <v>#DIV/0!</v>
      </c>
      <c r="AD28" s="41" t="e">
        <f t="shared" si="6"/>
        <v>#DIV/0!</v>
      </c>
      <c r="AE28" s="39"/>
      <c r="AF28" s="42" t="e">
        <f t="shared" si="7"/>
        <v>#DIV/0!</v>
      </c>
      <c r="AG28" s="39"/>
      <c r="AH28" s="43">
        <v>0</v>
      </c>
      <c r="AI28" s="39"/>
      <c r="AJ28" s="44">
        <v>0</v>
      </c>
      <c r="AK28" s="39"/>
      <c r="AL28" s="44"/>
      <c r="AM28" s="46"/>
      <c r="AN28" s="6"/>
    </row>
    <row r="29" spans="2:42">
      <c r="B29" s="58">
        <f>MAX(B$13:B28)+1</f>
        <v>9</v>
      </c>
      <c r="D29" s="2" t="s">
        <v>68</v>
      </c>
      <c r="F29" s="15" t="s">
        <v>69</v>
      </c>
      <c r="G29" s="15"/>
      <c r="H29" s="37">
        <v>28</v>
      </c>
      <c r="I29" s="37">
        <f>'Exhibit No._(JRS-11) p1-9'!C1196/12</f>
        <v>29.083333333333332</v>
      </c>
      <c r="K29" s="37">
        <v>233.86177246899351</v>
      </c>
      <c r="L29" s="37">
        <f>'Exhibit No._(JRS-11) p1-9'!C1202/1000</f>
        <v>282.5157422079173</v>
      </c>
      <c r="N29" s="60">
        <v>18.659249899021408</v>
      </c>
      <c r="O29" s="60">
        <f>'Exhibit No._(JRS-11) p1-9'!I1202/1000</f>
        <v>24.725619439992212</v>
      </c>
      <c r="P29" s="39"/>
      <c r="Q29" s="40">
        <f t="shared" si="0"/>
        <v>19.204619439992214</v>
      </c>
      <c r="R29" s="39"/>
      <c r="S29" s="38">
        <f>'Exhibit No._(JRS-11) p1-9'!L1198/1000</f>
        <v>6.3620000000000001</v>
      </c>
      <c r="T29" s="39"/>
      <c r="U29" s="60">
        <f>'Exhibit No._(JRS-11) p1-9'!L1202/1000</f>
        <v>25.566619439992213</v>
      </c>
      <c r="V29" s="38"/>
      <c r="W29" s="40">
        <f t="shared" si="1"/>
        <v>25.729631023246181</v>
      </c>
      <c r="X29" s="38"/>
      <c r="Y29" s="38">
        <f>('Exhibit No._(JRS-11) p1-9'!L1202-'Exhibit No._(JRS-11) p1-9'!I1202)/1000</f>
        <v>0.84099999999999997</v>
      </c>
      <c r="Z29" s="41">
        <f t="shared" si="4"/>
        <v>3.4013303571263934E-2</v>
      </c>
      <c r="AA29" s="38">
        <f t="shared" si="2"/>
        <v>0.16301158325396831</v>
      </c>
      <c r="AB29" s="41">
        <f t="shared" si="5"/>
        <v>6.5928210069555147E-3</v>
      </c>
      <c r="AC29" s="38">
        <f t="shared" si="3"/>
        <v>1.0040115832539682</v>
      </c>
      <c r="AD29" s="41">
        <f t="shared" si="6"/>
        <v>4.0606124578219445E-2</v>
      </c>
      <c r="AE29" s="39"/>
      <c r="AF29" s="42">
        <f t="shared" si="7"/>
        <v>5.7700000000000001E-2</v>
      </c>
      <c r="AG29" s="39"/>
      <c r="AH29" s="43">
        <f t="shared" si="8"/>
        <v>9.04962648813264</v>
      </c>
      <c r="AI29" s="39"/>
      <c r="AJ29" s="44">
        <f t="shared" si="9"/>
        <v>0.29768252679564539</v>
      </c>
      <c r="AK29" s="39"/>
      <c r="AL29" s="44"/>
      <c r="AM29" s="46"/>
      <c r="AN29" s="6"/>
    </row>
    <row r="30" spans="2:42">
      <c r="B30" s="20"/>
      <c r="F30" s="15"/>
      <c r="G30" s="15"/>
      <c r="H30" s="48"/>
      <c r="I30" s="48"/>
      <c r="K30" s="48"/>
      <c r="L30" s="48"/>
      <c r="N30" s="48"/>
      <c r="O30" s="48"/>
      <c r="P30" s="6"/>
      <c r="Q30" s="49"/>
      <c r="R30" s="6"/>
      <c r="S30" s="49"/>
      <c r="T30" s="6"/>
      <c r="U30" s="66"/>
      <c r="V30" s="6"/>
      <c r="W30" s="49"/>
      <c r="X30" s="6"/>
      <c r="Y30" s="48"/>
      <c r="Z30" s="51"/>
      <c r="AA30" s="48"/>
      <c r="AB30" s="51"/>
      <c r="AC30" s="48"/>
      <c r="AD30" s="51"/>
      <c r="AE30" s="6"/>
      <c r="AF30" s="52"/>
      <c r="AG30" s="6"/>
      <c r="AH30" s="49"/>
      <c r="AI30" s="6"/>
      <c r="AJ30" s="53"/>
      <c r="AK30" s="6"/>
      <c r="AL30" s="54"/>
      <c r="AM30" s="6"/>
      <c r="AN30" s="6"/>
    </row>
    <row r="31" spans="2:42">
      <c r="B31" s="20"/>
      <c r="Z31" s="55"/>
      <c r="AB31" s="55"/>
      <c r="AD31" s="55"/>
      <c r="AF31" s="56"/>
      <c r="AJ31" s="57"/>
      <c r="AL31" s="54"/>
      <c r="AM31" s="6"/>
      <c r="AN31" s="6"/>
    </row>
    <row r="32" spans="2:42">
      <c r="B32" s="58">
        <f>MAX(B$13:B31)+1</f>
        <v>10</v>
      </c>
      <c r="D32" s="35" t="s">
        <v>70</v>
      </c>
      <c r="H32" s="59">
        <f>SUM(H22:H29)</f>
        <v>23780.5</v>
      </c>
      <c r="I32" s="59">
        <f>SUM(I22:I29)</f>
        <v>25040.286111110505</v>
      </c>
      <c r="K32" s="59">
        <f>SUM(K22:K29)</f>
        <v>3297111.0499705928</v>
      </c>
      <c r="L32" s="59">
        <f>SUM(L22:L29)</f>
        <v>2385955.1477159401</v>
      </c>
      <c r="M32" s="59"/>
      <c r="N32" s="38">
        <f>SUM(N22:N29)</f>
        <v>170969.95465759834</v>
      </c>
      <c r="O32" s="38">
        <f>SUM(O22:O29)</f>
        <v>167301.11792156796</v>
      </c>
      <c r="P32" s="39"/>
      <c r="Q32" s="38">
        <f>SUM(Q22:Q29)</f>
        <v>111425.90692156796</v>
      </c>
      <c r="R32" s="39"/>
      <c r="S32" s="38">
        <f>SUM(S22:S29)</f>
        <v>75347.112999999983</v>
      </c>
      <c r="T32" s="39"/>
      <c r="U32" s="38">
        <f>SUM(U22:U29)</f>
        <v>186773.01992156796</v>
      </c>
      <c r="V32" s="60"/>
      <c r="W32" s="40" t="e">
        <f>SUM(W22:W29)</f>
        <v>#DIV/0!</v>
      </c>
      <c r="X32" s="60"/>
      <c r="Y32" s="38">
        <f>SUM(Y22:Y29)</f>
        <v>19471.901999999998</v>
      </c>
      <c r="Z32" s="41">
        <f>Y32/O32</f>
        <v>0.11638835557051433</v>
      </c>
      <c r="AA32" s="38" t="e">
        <f>SUM(AA22:AA29)</f>
        <v>#DIV/0!</v>
      </c>
      <c r="AB32" s="41" t="e">
        <f>AA32/O32</f>
        <v>#DIV/0!</v>
      </c>
      <c r="AC32" s="38" t="e">
        <f>Y32+AA32</f>
        <v>#DIV/0!</v>
      </c>
      <c r="AD32" s="41"/>
      <c r="AE32" s="39"/>
      <c r="AF32" s="42"/>
      <c r="AG32" s="39"/>
      <c r="AH32" s="43">
        <f>U32/L32*100</f>
        <v>7.8280189005382015</v>
      </c>
      <c r="AI32" s="39"/>
      <c r="AJ32" s="44">
        <f>(Y32/L32)*100</f>
        <v>0.81610511491133131</v>
      </c>
      <c r="AK32" s="39"/>
      <c r="AL32" s="44"/>
      <c r="AM32" s="46"/>
      <c r="AN32" s="6"/>
    </row>
    <row r="33" spans="2:41">
      <c r="B33" s="20"/>
      <c r="Z33" s="55"/>
      <c r="AB33" s="55"/>
      <c r="AD33" s="55"/>
      <c r="AF33" s="56"/>
      <c r="AJ33" s="57"/>
      <c r="AL33" s="54"/>
      <c r="AM33" s="6"/>
      <c r="AN33" s="6"/>
    </row>
    <row r="34" spans="2:41">
      <c r="B34" s="20"/>
      <c r="D34" s="35" t="s">
        <v>71</v>
      </c>
      <c r="Z34" s="55"/>
      <c r="AB34" s="55"/>
      <c r="AD34" s="55"/>
      <c r="AF34" s="56"/>
      <c r="AJ34" s="57"/>
      <c r="AL34" s="54"/>
      <c r="AM34" s="6"/>
      <c r="AN34" s="6"/>
    </row>
    <row r="35" spans="2:41">
      <c r="B35" s="58">
        <f>MAX(B$13:B34)+1</f>
        <v>11</v>
      </c>
      <c r="D35" s="2" t="s">
        <v>72</v>
      </c>
      <c r="F35" s="15" t="s">
        <v>73</v>
      </c>
      <c r="G35" s="15"/>
      <c r="H35" s="37">
        <v>2828</v>
      </c>
      <c r="I35" s="37">
        <f>'Exhibit No._(JRS-11) p1-9'!C25/12</f>
        <v>2599.1666666666665</v>
      </c>
      <c r="K35" s="37">
        <v>3735.0893644456642</v>
      </c>
      <c r="L35" s="37">
        <f>'Exhibit No._(JRS-11) p1-9'!C28/1000</f>
        <v>3451.7298579341259</v>
      </c>
      <c r="N35" s="60">
        <v>473.92026673033644</v>
      </c>
      <c r="O35" s="60">
        <f>'Exhibit No._(JRS-11) p1-9'!I28/1000</f>
        <v>483.78807449751014</v>
      </c>
      <c r="P35" s="39"/>
      <c r="Q35" s="40">
        <f t="shared" ref="Q35:Q39" si="10">U35-S35</f>
        <v>422.6369744975101</v>
      </c>
      <c r="R35" s="39"/>
      <c r="S35" s="38">
        <f>'Exhibit No._(JRS-11) p1-9'!L24/1000</f>
        <v>77.610485080000018</v>
      </c>
      <c r="T35" s="39"/>
      <c r="U35" s="60">
        <f>'Exhibit No._(JRS-11) p1-9'!L28/1000</f>
        <v>500.24745957751009</v>
      </c>
      <c r="V35" s="38"/>
      <c r="W35" s="40">
        <f>U35+AA35</f>
        <v>503.43685796624123</v>
      </c>
      <c r="X35" s="38"/>
      <c r="Y35" s="38">
        <f>('Exhibit No._(JRS-11) p1-9'!L28-'Exhibit No._(JRS-11) p1-9'!I28)/1000</f>
        <v>16.459385079999919</v>
      </c>
      <c r="Z35" s="41">
        <f>Y35/O35</f>
        <v>3.4021890880827466E-2</v>
      </c>
      <c r="AA35" s="38">
        <f>(AF35/100)*L35</f>
        <v>3.1893983887311319</v>
      </c>
      <c r="AB35" s="41">
        <f>AA35/O35</f>
        <v>6.5925527247520993E-3</v>
      </c>
      <c r="AC35" s="38">
        <f>Y35+AA35</f>
        <v>19.64878346873105</v>
      </c>
      <c r="AD35" s="41">
        <f>AC35/O35</f>
        <v>4.0614443605579566E-2</v>
      </c>
      <c r="AE35" s="39"/>
      <c r="AF35" s="42">
        <f>ROUND((((O35/$O$44)*$AA$51)/L35)*100,4)</f>
        <v>9.2399999999999996E-2</v>
      </c>
      <c r="AG35" s="39"/>
      <c r="AH35" s="43">
        <f>U35/L35*100</f>
        <v>14.492659627683327</v>
      </c>
      <c r="AI35" s="39"/>
      <c r="AJ35" s="44">
        <f>(Y35/L35)*100</f>
        <v>0.47684453179806274</v>
      </c>
      <c r="AK35" s="39"/>
      <c r="AL35" s="44"/>
      <c r="AM35" s="46"/>
      <c r="AN35" s="6"/>
    </row>
    <row r="36" spans="2:41">
      <c r="B36" s="58">
        <f>MAX(B$13:B35)+1</f>
        <v>12</v>
      </c>
      <c r="D36" s="2" t="s">
        <v>74</v>
      </c>
      <c r="F36" s="15" t="s">
        <v>75</v>
      </c>
      <c r="G36" s="15"/>
      <c r="H36" s="37">
        <v>178</v>
      </c>
      <c r="I36" s="37">
        <f>'Exhibit No._(JRS-11) p1-9'!C1120/12</f>
        <v>163</v>
      </c>
      <c r="K36" s="37">
        <v>2902.2385934150548</v>
      </c>
      <c r="L36" s="37">
        <f>'Exhibit No._(JRS-11) p1-9'!C1124/1000</f>
        <v>3040.1869812590103</v>
      </c>
      <c r="N36" s="60">
        <v>522.31224201957195</v>
      </c>
      <c r="O36" s="60">
        <f>'Exhibit No._(JRS-11) p1-9'!I1124/1000</f>
        <v>600.44497901647196</v>
      </c>
      <c r="P36" s="39"/>
      <c r="Q36" s="40">
        <f t="shared" si="10"/>
        <v>546.05597901647207</v>
      </c>
      <c r="R36" s="39"/>
      <c r="S36" s="38">
        <f>'Exhibit No._(JRS-11) p1-9'!L1121/1000</f>
        <v>74.814999999999998</v>
      </c>
      <c r="T36" s="39"/>
      <c r="U36" s="60">
        <f>'Exhibit No._(JRS-11) p1-9'!L1124/1000</f>
        <v>620.87097901647201</v>
      </c>
      <c r="V36" s="38"/>
      <c r="W36" s="40">
        <f>U36+AA36</f>
        <v>624.82626227908997</v>
      </c>
      <c r="X36" s="38"/>
      <c r="Y36" s="38">
        <f>('Exhibit No._(JRS-11) p1-9'!L1124-'Exhibit No._(JRS-11) p1-9'!I1124)/1000</f>
        <v>20.425999999999998</v>
      </c>
      <c r="Z36" s="41">
        <f>Y36/O36</f>
        <v>3.4018104428914966E-2</v>
      </c>
      <c r="AA36" s="38">
        <f>(AF36/100)*L36</f>
        <v>3.9552832626179719</v>
      </c>
      <c r="AB36" s="41">
        <f>AA36/O36</f>
        <v>6.587253455090457E-3</v>
      </c>
      <c r="AC36" s="38">
        <f>Y36+AA36</f>
        <v>24.38128326261797</v>
      </c>
      <c r="AD36" s="41">
        <f>AC36/O36</f>
        <v>4.0605357884005419E-2</v>
      </c>
      <c r="AE36" s="39"/>
      <c r="AF36" s="42">
        <f>ROUND((((O36/$O$44)*$AA$51)/L36)*100,4)</f>
        <v>0.13009999999999999</v>
      </c>
      <c r="AG36" s="39"/>
      <c r="AH36" s="43">
        <f>U36/L36*100</f>
        <v>20.422131363754321</v>
      </c>
      <c r="AI36" s="39"/>
      <c r="AJ36" s="44">
        <f>(Y36/L36)*100</f>
        <v>0.67186657024434493</v>
      </c>
      <c r="AK36" s="39"/>
      <c r="AL36" s="44"/>
      <c r="AM36" s="46"/>
      <c r="AN36" s="45" t="s">
        <v>0</v>
      </c>
    </row>
    <row r="37" spans="2:41">
      <c r="B37" s="58">
        <f>MAX(B$13:B36)+1</f>
        <v>13</v>
      </c>
      <c r="D37" s="2" t="s">
        <v>74</v>
      </c>
      <c r="F37" s="15">
        <v>52</v>
      </c>
      <c r="G37" s="15"/>
      <c r="H37" s="37">
        <v>30</v>
      </c>
      <c r="I37" s="37">
        <f>'Exhibit No._(JRS-11) p1-9'!C1132/12</f>
        <v>18</v>
      </c>
      <c r="K37" s="37">
        <v>466.2387672357238</v>
      </c>
      <c r="L37" s="37">
        <f>'Exhibit No._(JRS-11) p1-9'!C1137/1000</f>
        <v>286.69872495359812</v>
      </c>
      <c r="N37" s="60">
        <v>60.670270195709442</v>
      </c>
      <c r="O37" s="60">
        <f>'Exhibit No._(JRS-11) p1-9'!I1137/1000</f>
        <v>46.625268810114008</v>
      </c>
      <c r="P37" s="39"/>
      <c r="Q37" s="40">
        <f t="shared" si="10"/>
        <v>41.156268810114007</v>
      </c>
      <c r="R37" s="39"/>
      <c r="S37" s="38">
        <f>'Exhibit No._(JRS-11) p1-9'!L1133/1000</f>
        <v>7.0549999999999997</v>
      </c>
      <c r="T37" s="39"/>
      <c r="U37" s="60">
        <f>'Exhibit No._(JRS-11) p1-9'!L1137/1000</f>
        <v>48.211268810114007</v>
      </c>
      <c r="V37" s="38"/>
      <c r="W37" s="40">
        <f>U37+AA37</f>
        <v>48.518609843264265</v>
      </c>
      <c r="X37" s="38"/>
      <c r="Y37" s="38">
        <f>('Exhibit No._(JRS-11) p1-9'!L1137-'Exhibit No._(JRS-11) p1-9'!I1137)/1000</f>
        <v>1.5860000000000001</v>
      </c>
      <c r="Z37" s="41">
        <f>Y37/O37</f>
        <v>3.4015889676886173E-2</v>
      </c>
      <c r="AA37" s="38">
        <f>(AF37/100)*L37</f>
        <v>0.30734103315025718</v>
      </c>
      <c r="AB37" s="41">
        <f>AA37/O37</f>
        <v>6.5917267823577333E-3</v>
      </c>
      <c r="AC37" s="38">
        <f>Y37+AA37</f>
        <v>1.8933410331502571</v>
      </c>
      <c r="AD37" s="41">
        <f>AC37/O37</f>
        <v>4.0607616459243906E-2</v>
      </c>
      <c r="AE37" s="39"/>
      <c r="AF37" s="42">
        <f>ROUND((((O37/$O$44)*$AA$51)/L37)*100,4)</f>
        <v>0.1072</v>
      </c>
      <c r="AG37" s="39"/>
      <c r="AH37" s="43">
        <f>U37/L37*100</f>
        <v>16.816003914184463</v>
      </c>
      <c r="AI37" s="39"/>
      <c r="AJ37" s="44">
        <f>(Y37/L37)*100</f>
        <v>0.55319394959175094</v>
      </c>
      <c r="AK37" s="39"/>
      <c r="AL37" s="44"/>
      <c r="AM37" s="46"/>
      <c r="AN37" s="6"/>
    </row>
    <row r="38" spans="2:41">
      <c r="B38" s="58">
        <f>MAX(B$13:B37)+1</f>
        <v>14</v>
      </c>
      <c r="D38" s="2" t="s">
        <v>74</v>
      </c>
      <c r="F38" s="15">
        <v>53</v>
      </c>
      <c r="G38" s="15"/>
      <c r="H38" s="37">
        <v>272.33333333333337</v>
      </c>
      <c r="I38" s="37">
        <f>'Exhibit No._(JRS-11) p1-9'!C1145/12</f>
        <v>220</v>
      </c>
      <c r="K38" s="37">
        <v>4499.9316487570059</v>
      </c>
      <c r="L38" s="37">
        <f>'Exhibit No._(JRS-11) p1-9'!C1149/1000</f>
        <v>4281.2354932644366</v>
      </c>
      <c r="N38" s="37">
        <v>278.83306975907675</v>
      </c>
      <c r="O38" s="37">
        <f>'Exhibit No._(JRS-11) p1-9'!I1149/1000</f>
        <v>296.22757767019584</v>
      </c>
      <c r="P38" s="39"/>
      <c r="Q38" s="40">
        <f t="shared" si="10"/>
        <v>200.95423767019577</v>
      </c>
      <c r="R38" s="39"/>
      <c r="S38" s="38">
        <f>'Exhibit No._(JRS-11) p1-9'!L1146/1000</f>
        <v>105.355</v>
      </c>
      <c r="T38" s="39"/>
      <c r="U38" s="60">
        <f>'Exhibit No._(JRS-11) p1-9'!L1149/1000</f>
        <v>306.30923767019578</v>
      </c>
      <c r="V38" s="38"/>
      <c r="W38" s="40">
        <f>U38+AA38</f>
        <v>308.26148105512436</v>
      </c>
      <c r="X38" s="38"/>
      <c r="Y38" s="38">
        <f>('Exhibit No._(JRS-11) p1-9'!L1149-'Exhibit No._(JRS-11) p1-9'!I1149)/1000</f>
        <v>10.081659999999975</v>
      </c>
      <c r="Z38" s="41">
        <f>Y38/O38</f>
        <v>3.4033495730854485E-2</v>
      </c>
      <c r="AA38" s="38">
        <f>(AF38/100)*L38</f>
        <v>1.9522433849285832</v>
      </c>
      <c r="AB38" s="41">
        <f>AA38/O38</f>
        <v>6.590349893425885E-3</v>
      </c>
      <c r="AC38" s="38">
        <f>Y38+AA38</f>
        <v>12.033903384928557</v>
      </c>
      <c r="AD38" s="41">
        <f>AC38/O38</f>
        <v>4.0623845624280362E-2</v>
      </c>
      <c r="AE38" s="39"/>
      <c r="AF38" s="42">
        <f>ROUND((((O38/$O$44)*$AA$51)/L38)*100,4)</f>
        <v>4.5600000000000002E-2</v>
      </c>
      <c r="AG38" s="39"/>
      <c r="AH38" s="43">
        <f>U38/L38*100</f>
        <v>7.1546925683509972</v>
      </c>
      <c r="AI38" s="39"/>
      <c r="AJ38" s="44">
        <f>(Y38/L38)*100</f>
        <v>0.23548482712201194</v>
      </c>
      <c r="AK38" s="39"/>
      <c r="AL38" s="44"/>
      <c r="AM38" s="46"/>
      <c r="AN38" s="6"/>
      <c r="AO38" s="3" t="s">
        <v>0</v>
      </c>
    </row>
    <row r="39" spans="2:41">
      <c r="B39" s="58">
        <f>MAX(B$13:B38)+1</f>
        <v>15</v>
      </c>
      <c r="D39" s="2" t="s">
        <v>74</v>
      </c>
      <c r="F39" s="15">
        <v>57</v>
      </c>
      <c r="G39" s="15"/>
      <c r="H39" s="37">
        <v>50.666666666666664</v>
      </c>
      <c r="I39" s="37">
        <f>'Exhibit No._(JRS-11) p1-9'!C1236/12</f>
        <v>41.083333333333336</v>
      </c>
      <c r="K39" s="37">
        <v>2174.0459905922153</v>
      </c>
      <c r="L39" s="37">
        <f>'Exhibit No._(JRS-11) p1-9'!C1240/1000</f>
        <v>1789.527800522955</v>
      </c>
      <c r="N39" s="37">
        <v>235.8029580256418</v>
      </c>
      <c r="O39" s="37">
        <f>'Exhibit No._(JRS-11) p1-9'!I1240/1000</f>
        <v>218.66521450321807</v>
      </c>
      <c r="P39" s="39"/>
      <c r="Q39" s="40">
        <f t="shared" si="10"/>
        <v>182.0702145032181</v>
      </c>
      <c r="R39" s="39"/>
      <c r="S39" s="38">
        <f>'Exhibit No._(JRS-11) p1-9'!L1237/1000</f>
        <v>44.037999999999997</v>
      </c>
      <c r="T39" s="39"/>
      <c r="U39" s="60">
        <f>'Exhibit No._(JRS-11) p1-9'!L1240/1000</f>
        <v>226.10821450321808</v>
      </c>
      <c r="V39" s="38"/>
      <c r="W39" s="40">
        <f>U39+AA39</f>
        <v>227.54878438263907</v>
      </c>
      <c r="X39" s="38"/>
      <c r="Y39" s="38">
        <f>('Exhibit No._(JRS-11) p1-9'!L1240-'Exhibit No._(JRS-11) p1-9'!I1240)/1000</f>
        <v>7.4429999999999996</v>
      </c>
      <c r="Z39" s="41">
        <f>Y39/O39</f>
        <v>3.403833580439225E-2</v>
      </c>
      <c r="AA39" s="38">
        <f>(AF39/100)*L39</f>
        <v>1.4405698794209789</v>
      </c>
      <c r="AB39" s="41">
        <f>AA39/O39</f>
        <v>6.5880157605030416E-3</v>
      </c>
      <c r="AC39" s="38">
        <f>Y39+AA39</f>
        <v>8.8835698794209783</v>
      </c>
      <c r="AD39" s="41">
        <f>AC39/O39</f>
        <v>4.0626351564895295E-2</v>
      </c>
      <c r="AE39" s="39"/>
      <c r="AF39" s="42">
        <f>ROUND((((O39/$O$44)*$AA$51)/L39)*100,4)</f>
        <v>8.0500000000000002E-2</v>
      </c>
      <c r="AG39" s="39"/>
      <c r="AH39" s="43">
        <f>U39/L39*100</f>
        <v>12.635076942484064</v>
      </c>
      <c r="AI39" s="39"/>
      <c r="AJ39" s="44">
        <f>(Y39/L39)*100</f>
        <v>0.41591977491631743</v>
      </c>
      <c r="AK39" s="39"/>
      <c r="AL39" s="44"/>
      <c r="AM39" s="46"/>
      <c r="AN39" s="6"/>
    </row>
    <row r="40" spans="2:41">
      <c r="B40" s="20"/>
      <c r="H40" s="48"/>
      <c r="I40" s="48"/>
      <c r="K40" s="48"/>
      <c r="L40" s="48"/>
      <c r="N40" s="48"/>
      <c r="O40" s="48"/>
      <c r="P40" s="6"/>
      <c r="Q40" s="49"/>
      <c r="R40" s="6"/>
      <c r="S40" s="49"/>
      <c r="T40" s="6"/>
      <c r="U40" s="49"/>
      <c r="V40" s="6"/>
      <c r="W40" s="49"/>
      <c r="X40" s="6"/>
      <c r="Y40" s="48"/>
      <c r="Z40" s="51"/>
      <c r="AA40" s="48"/>
      <c r="AB40" s="51"/>
      <c r="AC40" s="48"/>
      <c r="AD40" s="51"/>
      <c r="AE40" s="6"/>
      <c r="AF40" s="52"/>
      <c r="AG40" s="6"/>
      <c r="AH40" s="49"/>
      <c r="AI40" s="6"/>
      <c r="AJ40" s="53"/>
      <c r="AK40" s="6"/>
      <c r="AL40" s="54"/>
      <c r="AM40" s="6"/>
      <c r="AN40" s="6"/>
    </row>
    <row r="41" spans="2:41">
      <c r="B41" s="20"/>
      <c r="Z41" s="55"/>
      <c r="AB41" s="55"/>
      <c r="AD41" s="55"/>
      <c r="AF41" s="56"/>
      <c r="AJ41" s="57"/>
      <c r="AL41" s="54"/>
      <c r="AM41" s="6"/>
      <c r="AN41" s="6"/>
    </row>
    <row r="42" spans="2:41">
      <c r="B42" s="58">
        <f>MAX(B$13:B41)+1</f>
        <v>16</v>
      </c>
      <c r="D42" s="35" t="s">
        <v>76</v>
      </c>
      <c r="H42" s="67">
        <f>SUM(H35:H39)</f>
        <v>3359</v>
      </c>
      <c r="I42" s="67">
        <f>SUM(I35:I39)</f>
        <v>3041.25</v>
      </c>
      <c r="K42" s="67">
        <f>SUM(K35:K39)</f>
        <v>13777.544364445665</v>
      </c>
      <c r="L42" s="67">
        <f>SUM(L35:L39)</f>
        <v>12849.378857934127</v>
      </c>
      <c r="M42" s="59"/>
      <c r="N42" s="68">
        <f>SUM(N35:N39)</f>
        <v>1571.5388067303365</v>
      </c>
      <c r="O42" s="68">
        <f>SUM(O35:O39)</f>
        <v>1645.7511144975101</v>
      </c>
      <c r="P42" s="46"/>
      <c r="Q42" s="68">
        <f>SUM(Q35:Q39)</f>
        <v>1392.8736744975101</v>
      </c>
      <c r="R42" s="46"/>
      <c r="S42" s="68">
        <f>SUM(S35:S39)</f>
        <v>308.87348508000002</v>
      </c>
      <c r="T42" s="46"/>
      <c r="U42" s="68">
        <f>SUM(U35:U39)</f>
        <v>1701.7471595775098</v>
      </c>
      <c r="V42" s="69"/>
      <c r="W42" s="68">
        <f>SUM(W35:W39)</f>
        <v>1712.5919955263589</v>
      </c>
      <c r="X42" s="69"/>
      <c r="Y42" s="68">
        <f>SUM(Y35:Y39)</f>
        <v>55.996045079999888</v>
      </c>
      <c r="Z42" s="70">
        <f>Y42/O42</f>
        <v>3.4024613191343284E-2</v>
      </c>
      <c r="AA42" s="68">
        <f>SUM(AA35:AA39)</f>
        <v>10.844835948848923</v>
      </c>
      <c r="AB42" s="70">
        <f>AA42/O42</f>
        <v>6.5895966001883145E-3</v>
      </c>
      <c r="AC42" s="68">
        <f>Y42+AA42</f>
        <v>66.840881028848813</v>
      </c>
      <c r="AD42" s="70">
        <f>AC42/O42</f>
        <v>4.0614209791531596E-2</v>
      </c>
      <c r="AE42" s="46"/>
      <c r="AF42" s="42"/>
      <c r="AG42" s="46"/>
      <c r="AH42" s="71">
        <f>U42/L42*100</f>
        <v>13.243808734978105</v>
      </c>
      <c r="AI42" s="46"/>
      <c r="AJ42" s="72">
        <f>(Y42/L42)*100</f>
        <v>0.43578795285831201</v>
      </c>
      <c r="AK42" s="46"/>
      <c r="AL42" s="73"/>
      <c r="AM42" s="46"/>
      <c r="AN42" s="6"/>
    </row>
    <row r="43" spans="2:41">
      <c r="B43" s="20"/>
      <c r="D43" s="35"/>
      <c r="H43" s="74"/>
      <c r="I43" s="74"/>
      <c r="K43" s="74"/>
      <c r="L43" s="74"/>
      <c r="M43" s="5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75"/>
      <c r="AA43" s="69"/>
      <c r="AB43" s="75"/>
      <c r="AC43" s="69"/>
      <c r="AD43" s="76"/>
      <c r="AE43" s="69"/>
      <c r="AF43" s="77"/>
      <c r="AG43" s="69"/>
      <c r="AH43" s="69"/>
      <c r="AI43" s="69"/>
      <c r="AJ43" s="78"/>
      <c r="AK43" s="69"/>
      <c r="AL43" s="54"/>
      <c r="AM43" s="69"/>
      <c r="AN43" s="6"/>
    </row>
    <row r="44" spans="2:41" ht="16.5" thickBot="1">
      <c r="B44" s="58">
        <f>MAX(B$13:B43)+1</f>
        <v>17</v>
      </c>
      <c r="D44" s="79" t="s">
        <v>77</v>
      </c>
      <c r="H44" s="80">
        <f>H42+H32+H19</f>
        <v>128476.41666666667</v>
      </c>
      <c r="I44" s="80">
        <f>I42+I32+I19</f>
        <v>132378.51388888829</v>
      </c>
      <c r="K44" s="80">
        <f>K42+K32+K19</f>
        <v>4880827.1987742558</v>
      </c>
      <c r="L44" s="80">
        <f>L42+L32+L19</f>
        <v>4000612.315474519</v>
      </c>
      <c r="N44" s="81">
        <f>N42+N32+N19</f>
        <v>275214.43788963149</v>
      </c>
      <c r="O44" s="81">
        <f>O42+O32+O19</f>
        <v>303518.15613999998</v>
      </c>
      <c r="P44" s="46"/>
      <c r="Q44" s="81">
        <f>Q42+Q32+Q19</f>
        <v>209041.10869999998</v>
      </c>
      <c r="R44" s="46"/>
      <c r="S44" s="81">
        <f>S42+S32+S19</f>
        <v>131411.23548823496</v>
      </c>
      <c r="T44" s="46"/>
      <c r="U44" s="81">
        <f>U42+U32+U19</f>
        <v>340452.344188235</v>
      </c>
      <c r="V44" s="82"/>
      <c r="W44" s="81" t="e">
        <f>W42+W32+W19</f>
        <v>#DIV/0!</v>
      </c>
      <c r="X44" s="82"/>
      <c r="Y44" s="81">
        <f>Y42+Y32+Y19</f>
        <v>36934.188048234995</v>
      </c>
      <c r="Z44" s="83">
        <f>Y44/O44</f>
        <v>0.1216869149376317</v>
      </c>
      <c r="AA44" s="81" t="e">
        <f>AA42+AA32+AA19</f>
        <v>#DIV/0!</v>
      </c>
      <c r="AB44" s="83" t="e">
        <f>AA44/O44</f>
        <v>#DIV/0!</v>
      </c>
      <c r="AC44" s="81" t="e">
        <f>Y44+AA44</f>
        <v>#DIV/0!</v>
      </c>
      <c r="AD44" s="83" t="e">
        <f>AC44/O44</f>
        <v>#DIV/0!</v>
      </c>
      <c r="AE44" s="46"/>
      <c r="AF44" s="84">
        <f>ROUND((((O44/$O$44)*$AA$51)/L44)*100,4)</f>
        <v>0.05</v>
      </c>
      <c r="AG44" s="46"/>
      <c r="AH44" s="85">
        <f>U44/L44*100</f>
        <v>8.510005902630267</v>
      </c>
      <c r="AI44" s="46"/>
      <c r="AJ44" s="85">
        <f>(Y44/L44)*100</f>
        <v>0.92321337674665871</v>
      </c>
      <c r="AK44" s="46"/>
      <c r="AL44" s="45" t="s">
        <v>0</v>
      </c>
      <c r="AM44" s="46"/>
      <c r="AN44" s="47" t="s">
        <v>0</v>
      </c>
    </row>
    <row r="45" spans="2:41" ht="16.5" thickTop="1">
      <c r="B45" s="619" t="s">
        <v>0</v>
      </c>
      <c r="C45" s="620"/>
      <c r="D45" s="620"/>
      <c r="H45" s="86"/>
      <c r="I45" s="86"/>
      <c r="K45" s="86"/>
      <c r="L45" s="86"/>
      <c r="N45" s="82"/>
      <c r="O45" s="82"/>
      <c r="P45" s="46"/>
      <c r="Q45" s="46"/>
      <c r="R45" s="46"/>
      <c r="S45" s="46"/>
      <c r="T45" s="46"/>
      <c r="U45" s="82"/>
      <c r="V45" s="82"/>
      <c r="W45" s="82"/>
      <c r="X45" s="82"/>
      <c r="Y45" s="82"/>
      <c r="Z45" s="55"/>
      <c r="AA45" s="82"/>
      <c r="AB45" s="55"/>
      <c r="AC45" s="46"/>
      <c r="AE45" s="46"/>
      <c r="AF45" s="46"/>
      <c r="AG45" s="46"/>
      <c r="AH45" s="46"/>
      <c r="AI45" s="46"/>
      <c r="AJ45" s="44"/>
      <c r="AK45" s="46"/>
      <c r="AL45" s="44"/>
      <c r="AM45" s="46"/>
      <c r="AN45" s="6"/>
    </row>
    <row r="46" spans="2:41">
      <c r="B46" s="58">
        <v>18</v>
      </c>
      <c r="D46" s="2" t="s">
        <v>78</v>
      </c>
      <c r="H46" s="86"/>
      <c r="I46" s="86"/>
      <c r="K46" s="86"/>
      <c r="L46" s="86"/>
      <c r="N46" s="82">
        <v>311.00673999999998</v>
      </c>
      <c r="O46" s="82">
        <f>'Exhibit No._(JRS-11) p1-9'!I1245/1000</f>
        <v>545.05217999999991</v>
      </c>
      <c r="P46" s="87"/>
      <c r="Q46" s="88">
        <f>O46</f>
        <v>545.05217999999991</v>
      </c>
      <c r="R46" s="87"/>
      <c r="S46" s="87"/>
      <c r="T46" s="87"/>
      <c r="U46" s="40">
        <f>O46</f>
        <v>545.05217999999991</v>
      </c>
      <c r="V46" s="82"/>
      <c r="W46" s="40">
        <f>U46</f>
        <v>545.05217999999991</v>
      </c>
      <c r="X46" s="82"/>
      <c r="Y46" s="63"/>
      <c r="Z46" s="41"/>
      <c r="AA46" s="63"/>
      <c r="AB46" s="41"/>
      <c r="AC46" s="46"/>
      <c r="AE46" s="46"/>
      <c r="AF46" s="46"/>
      <c r="AG46" s="46"/>
      <c r="AH46" s="43"/>
      <c r="AI46" s="39"/>
      <c r="AJ46" s="44"/>
      <c r="AK46" s="46"/>
      <c r="AL46" s="44"/>
      <c r="AM46" s="46"/>
      <c r="AN46" s="6"/>
    </row>
    <row r="47" spans="2:41">
      <c r="B47" s="58"/>
      <c r="H47" s="86"/>
      <c r="I47" s="86"/>
      <c r="K47" s="86"/>
      <c r="L47" s="86"/>
      <c r="N47" s="82"/>
      <c r="O47" s="82"/>
      <c r="P47" s="87"/>
      <c r="Q47" s="87"/>
      <c r="R47" s="87"/>
      <c r="S47" s="87"/>
      <c r="T47" s="87"/>
      <c r="U47" s="40"/>
      <c r="V47" s="82"/>
      <c r="W47" s="40"/>
      <c r="X47" s="82"/>
      <c r="Y47" s="63"/>
      <c r="Z47" s="41"/>
      <c r="AA47" s="63"/>
      <c r="AB47" s="41"/>
      <c r="AC47" s="46"/>
      <c r="AE47" s="46"/>
      <c r="AF47" s="46"/>
      <c r="AG47" s="46"/>
      <c r="AH47" s="43"/>
      <c r="AI47" s="39"/>
      <c r="AJ47" s="44"/>
      <c r="AK47" s="46"/>
      <c r="AL47" s="44"/>
      <c r="AM47" s="46"/>
      <c r="AN47" s="6"/>
    </row>
    <row r="48" spans="2:41" ht="16.5" thickBot="1">
      <c r="B48" s="58">
        <v>19</v>
      </c>
      <c r="D48" s="89" t="s">
        <v>79</v>
      </c>
      <c r="H48" s="90">
        <f>SUM(H44:H46)</f>
        <v>128476.41666666667</v>
      </c>
      <c r="I48" s="90">
        <f>SUM(I44:I46)</f>
        <v>132378.51388888829</v>
      </c>
      <c r="K48" s="90">
        <f>SUM(K44:K46)</f>
        <v>4880827.1987742558</v>
      </c>
      <c r="L48" s="90">
        <f>SUM(L44:L46)</f>
        <v>4000612.315474519</v>
      </c>
      <c r="N48" s="81">
        <f>SUM(N44:N46)</f>
        <v>275525.44462963147</v>
      </c>
      <c r="O48" s="81">
        <f>SUM(O44:O46)</f>
        <v>304063.20831999998</v>
      </c>
      <c r="Q48" s="81">
        <f>SUM(Q44:Q46)</f>
        <v>209586.16087999998</v>
      </c>
      <c r="S48" s="81">
        <f>SUM(S44:S46)</f>
        <v>131411.23548823496</v>
      </c>
      <c r="U48" s="91">
        <f>SUM(U44:U46)</f>
        <v>340997.396368235</v>
      </c>
      <c r="V48" s="82"/>
      <c r="W48" s="91" t="e">
        <f>SUM(W44:W46)</f>
        <v>#DIV/0!</v>
      </c>
      <c r="X48" s="82"/>
      <c r="Y48" s="81">
        <f>SUM(Y44:Y46)</f>
        <v>36934.188048234995</v>
      </c>
      <c r="Z48" s="83">
        <f>Y48/O48</f>
        <v>0.12146878358714477</v>
      </c>
      <c r="AA48" s="81" t="e">
        <f>SUM(AA44:AA46)</f>
        <v>#DIV/0!</v>
      </c>
      <c r="AB48" s="83" t="e">
        <f>AA48/O48</f>
        <v>#DIV/0!</v>
      </c>
      <c r="AH48" s="85">
        <f>U48/L48*100</f>
        <v>8.5236301215502497</v>
      </c>
      <c r="AI48" s="39"/>
      <c r="AJ48" s="85">
        <f>(Y48/L48)*100</f>
        <v>0.92321337674665871</v>
      </c>
      <c r="AL48" s="6"/>
      <c r="AM48" s="6"/>
      <c r="AN48" s="6"/>
    </row>
    <row r="49" spans="14:39" ht="18.75" customHeight="1" thickTop="1">
      <c r="Z49" s="92" t="s">
        <v>0</v>
      </c>
      <c r="AB49" s="92" t="s">
        <v>0</v>
      </c>
    </row>
    <row r="50" spans="14:39" ht="18.75" customHeight="1">
      <c r="Y50" s="93"/>
      <c r="Z50" s="92"/>
      <c r="AB50" s="92"/>
    </row>
    <row r="51" spans="14:39">
      <c r="N51" s="94"/>
      <c r="O51" s="94"/>
      <c r="P51" s="6"/>
      <c r="Q51" s="6"/>
      <c r="R51" s="6"/>
      <c r="S51" s="6"/>
      <c r="T51" s="6"/>
      <c r="W51" s="63"/>
      <c r="Y51" s="63"/>
      <c r="Z51" s="95"/>
      <c r="AA51" s="63">
        <v>2000</v>
      </c>
      <c r="AB51" s="95"/>
      <c r="AC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4:39">
      <c r="P52" s="6"/>
      <c r="Q52" s="6"/>
      <c r="R52" s="6"/>
      <c r="S52" s="6"/>
      <c r="T52" s="6"/>
      <c r="Y52" s="96"/>
      <c r="AC52" s="6"/>
      <c r="AD52" s="6"/>
      <c r="AE52" s="6"/>
      <c r="AF52" s="6"/>
      <c r="AG52" s="6"/>
      <c r="AH52" s="82"/>
      <c r="AI52" s="6"/>
      <c r="AJ52" s="6"/>
      <c r="AK52" s="6"/>
      <c r="AL52" s="6"/>
      <c r="AM52" s="6"/>
    </row>
    <row r="53" spans="14:39">
      <c r="U53" s="45"/>
      <c r="Y53" s="97"/>
      <c r="Z53" s="98"/>
      <c r="AA53" s="97"/>
    </row>
    <row r="54" spans="14:39">
      <c r="U54" s="6"/>
      <c r="Y54" s="99"/>
      <c r="Z54" s="100"/>
      <c r="AA54" s="99"/>
    </row>
    <row r="55" spans="14:39">
      <c r="U55" s="34"/>
      <c r="Y55" s="101"/>
      <c r="Z55" s="102"/>
      <c r="AA55" s="101"/>
    </row>
    <row r="56" spans="14:39">
      <c r="U56" s="103"/>
      <c r="Z56" s="55"/>
    </row>
    <row r="57" spans="14:39">
      <c r="U57" s="3"/>
      <c r="Z57" s="104"/>
    </row>
    <row r="59" spans="14:39">
      <c r="U59" s="34"/>
      <c r="AB59" s="64"/>
    </row>
  </sheetData>
  <mergeCells count="9">
    <mergeCell ref="Q9:U9"/>
    <mergeCell ref="Y10:AD10"/>
    <mergeCell ref="B45:D45"/>
    <mergeCell ref="B2:Z2"/>
    <mergeCell ref="B3:Z3"/>
    <mergeCell ref="B4:Z4"/>
    <mergeCell ref="B5:Z5"/>
    <mergeCell ref="B6:Z6"/>
    <mergeCell ref="B7:Z7"/>
  </mergeCells>
  <printOptions horizontalCentered="1"/>
  <pageMargins left="0.25" right="0.25" top="0.5" bottom="0.5" header="0.5" footer="0.25"/>
  <pageSetup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49"/>
  <sheetViews>
    <sheetView tabSelected="1" view="pageBreakPreview" zoomScale="60" zoomScaleNormal="100" workbookViewId="0">
      <selection activeCell="B1" sqref="B1"/>
    </sheetView>
  </sheetViews>
  <sheetFormatPr defaultColWidth="8.5" defaultRowHeight="15"/>
  <cols>
    <col min="1" max="1" width="2" style="483" customWidth="1"/>
    <col min="2" max="2" width="8.5" style="483"/>
    <col min="3" max="3" width="8.5" style="483" hidden="1" customWidth="1"/>
    <col min="4" max="4" width="3.25" style="483" customWidth="1"/>
    <col min="5" max="5" width="9.75" style="483" customWidth="1"/>
    <col min="6" max="6" width="3.75" style="483" customWidth="1"/>
    <col min="7" max="7" width="19.875" style="483" customWidth="1"/>
    <col min="8" max="8" width="3.5" style="483" customWidth="1"/>
    <col min="9" max="9" width="19.5" style="483" customWidth="1"/>
    <col min="10" max="10" width="2.875" style="483" customWidth="1"/>
    <col min="11" max="11" width="12.125" style="483" customWidth="1"/>
    <col min="12" max="12" width="3.5" style="575" customWidth="1"/>
    <col min="13" max="13" width="8.5" style="483"/>
    <col min="14" max="14" width="10.125" style="483" customWidth="1"/>
    <col min="15" max="15" width="20.375" style="483" customWidth="1"/>
    <col min="16" max="16" width="2.5" style="483" customWidth="1"/>
    <col min="17" max="17" width="9.875" style="483" bestFit="1" customWidth="1"/>
    <col min="18" max="18" width="7.375" style="483" customWidth="1"/>
    <col min="19" max="19" width="2.5" style="483" customWidth="1"/>
    <col min="20" max="16384" width="8.5" style="483"/>
  </cols>
  <sheetData>
    <row r="2" spans="1:18" ht="18.75">
      <c r="B2" s="489"/>
      <c r="C2" s="488"/>
      <c r="D2" s="488"/>
      <c r="E2" s="488"/>
      <c r="F2" s="488"/>
      <c r="G2" s="488"/>
      <c r="H2" s="488"/>
      <c r="I2" s="488"/>
      <c r="J2" s="486" t="s">
        <v>0</v>
      </c>
      <c r="K2" s="593"/>
    </row>
    <row r="3" spans="1:18" ht="18.75">
      <c r="B3" s="487" t="s">
        <v>314</v>
      </c>
      <c r="C3" s="487"/>
      <c r="D3" s="487"/>
      <c r="E3" s="487"/>
      <c r="F3" s="487"/>
      <c r="G3" s="487"/>
      <c r="H3" s="487"/>
      <c r="I3" s="487"/>
      <c r="J3" s="487"/>
      <c r="K3" s="487"/>
    </row>
    <row r="4" spans="1:18" ht="18.75">
      <c r="B4" s="487" t="s">
        <v>376</v>
      </c>
      <c r="C4" s="487"/>
      <c r="D4" s="487"/>
      <c r="E4" s="487"/>
      <c r="F4" s="487"/>
      <c r="G4" s="487"/>
      <c r="H4" s="487"/>
      <c r="I4" s="487"/>
      <c r="J4" s="487"/>
      <c r="K4" s="487"/>
    </row>
    <row r="5" spans="1:18" ht="18.75">
      <c r="B5" s="487" t="s">
        <v>455</v>
      </c>
      <c r="C5" s="487"/>
      <c r="D5" s="487"/>
      <c r="E5" s="487"/>
      <c r="F5" s="487"/>
      <c r="G5" s="487"/>
      <c r="H5" s="487"/>
      <c r="I5" s="487"/>
      <c r="J5" s="487"/>
      <c r="K5" s="487"/>
    </row>
    <row r="6" spans="1:18" ht="18.75">
      <c r="B6" s="487" t="s">
        <v>449</v>
      </c>
      <c r="C6" s="487"/>
      <c r="D6" s="487"/>
      <c r="E6" s="487"/>
      <c r="F6" s="487"/>
      <c r="G6" s="487"/>
      <c r="H6" s="487"/>
      <c r="I6" s="487"/>
      <c r="J6" s="487"/>
      <c r="K6" s="487"/>
    </row>
    <row r="7" spans="1:18" ht="18.75">
      <c r="B7" s="487" t="s">
        <v>0</v>
      </c>
      <c r="C7" s="487"/>
      <c r="D7" s="487"/>
      <c r="E7" s="487"/>
      <c r="F7" s="487"/>
      <c r="G7" s="487"/>
      <c r="H7" s="487"/>
      <c r="I7" s="487"/>
      <c r="J7" s="487"/>
      <c r="K7" s="487"/>
    </row>
    <row r="8" spans="1:18" ht="18.75">
      <c r="A8" s="615"/>
      <c r="B8" s="488"/>
      <c r="C8" s="488"/>
      <c r="D8" s="488"/>
      <c r="E8" s="488"/>
      <c r="F8" s="488"/>
      <c r="G8" s="488"/>
      <c r="H8" s="488"/>
      <c r="I8" s="488"/>
      <c r="J8" s="488"/>
    </row>
    <row r="9" spans="1:18" ht="18.75">
      <c r="A9" s="615"/>
      <c r="B9" s="488"/>
      <c r="C9" s="488"/>
      <c r="D9" s="488"/>
      <c r="E9" s="488"/>
      <c r="F9" s="488"/>
      <c r="G9" s="488"/>
      <c r="H9" s="488"/>
      <c r="I9" s="488"/>
      <c r="J9" s="488"/>
    </row>
    <row r="11" spans="1:18">
      <c r="B11" s="594" t="s">
        <v>397</v>
      </c>
      <c r="G11" s="495" t="s">
        <v>398</v>
      </c>
      <c r="H11" s="495"/>
      <c r="I11" s="495"/>
    </row>
    <row r="12" spans="1:18" ht="15.75" thickBot="1">
      <c r="B12" s="597" t="s">
        <v>401</v>
      </c>
      <c r="C12" s="595" t="s">
        <v>402</v>
      </c>
      <c r="G12" s="488" t="s">
        <v>9</v>
      </c>
      <c r="I12" s="488" t="s">
        <v>13</v>
      </c>
      <c r="K12" s="488" t="s">
        <v>400</v>
      </c>
    </row>
    <row r="13" spans="1:18">
      <c r="B13" s="598" t="s">
        <v>405</v>
      </c>
      <c r="C13" s="599" t="s">
        <v>406</v>
      </c>
      <c r="D13" s="499"/>
      <c r="E13" s="494" t="s">
        <v>36</v>
      </c>
      <c r="F13" s="499"/>
      <c r="G13" s="495" t="s">
        <v>450</v>
      </c>
      <c r="I13" s="495" t="s">
        <v>451</v>
      </c>
      <c r="K13" s="616" t="s">
        <v>105</v>
      </c>
      <c r="M13" s="617" t="s">
        <v>379</v>
      </c>
      <c r="N13" s="582"/>
      <c r="O13" s="583"/>
      <c r="P13" s="549"/>
      <c r="Q13" s="582" t="s">
        <v>380</v>
      </c>
      <c r="R13" s="583"/>
    </row>
    <row r="14" spans="1:18">
      <c r="G14" s="599"/>
      <c r="H14" s="499"/>
      <c r="I14" s="599"/>
      <c r="M14" s="551" t="s">
        <v>409</v>
      </c>
      <c r="N14" s="512"/>
      <c r="O14" s="552"/>
      <c r="P14" s="512"/>
      <c r="Q14" s="512"/>
      <c r="R14" s="552"/>
    </row>
    <row r="15" spans="1:18">
      <c r="B15" s="504">
        <v>1000</v>
      </c>
      <c r="C15" s="483">
        <v>300</v>
      </c>
      <c r="E15" s="504">
        <f>ROUND((B$15*C15),0)</f>
        <v>300000</v>
      </c>
      <c r="F15" s="504"/>
      <c r="G15" s="608">
        <f>ROUND($E15*N$18/100+$B$15*N$17+IF($B$15&lt;3001,$B$15*O$15+N$15,$B$15*O$16+N$16),2)+$Q$24</f>
        <v>22331.85</v>
      </c>
      <c r="H15" s="608"/>
      <c r="I15" s="608">
        <f>ROUND($E15*Q$18/100+$B$15*Q$17+IF($B$15&lt;3001,$B$15*R$15+Q$15,$B$15*R$16+Q$16),2)+$Q$25</f>
        <v>25115.5</v>
      </c>
      <c r="K15" s="507">
        <f>(I15-G15)/G15</f>
        <v>0.12464932372373994</v>
      </c>
      <c r="M15" s="551" t="s">
        <v>452</v>
      </c>
      <c r="N15" s="557">
        <f>'Exhibit No._(JRS-11) p1-9'!G1010</f>
        <v>1419</v>
      </c>
      <c r="O15" s="498">
        <f>'Exhibit No._(JRS-11) p1-9'!G1013</f>
        <v>0.53</v>
      </c>
      <c r="P15" s="558"/>
      <c r="Q15" s="557">
        <f>'Exhibit No._(JRS-11) p1-9'!J1010</f>
        <v>1595</v>
      </c>
      <c r="R15" s="498">
        <f>'Exhibit No._(JRS-11) p1-9'!J1013</f>
        <v>0.6</v>
      </c>
    </row>
    <row r="16" spans="1:18">
      <c r="C16" s="483">
        <v>500</v>
      </c>
      <c r="E16" s="504">
        <f>ROUND((B$15*C16),0)</f>
        <v>500000</v>
      </c>
      <c r="F16" s="504"/>
      <c r="G16" s="608">
        <f t="shared" ref="G16:G17" si="0">ROUND($E16*N$18/100+$B$15*N$17+IF($B$15&lt;3001,$B$15*O$15+N$15,$B$15*O$16+N$16),2)+$Q$24</f>
        <v>31103.85</v>
      </c>
      <c r="H16" s="608"/>
      <c r="I16" s="608">
        <f>ROUND($E16*Q$18/100+$B$15*Q$17+IF($B$15&lt;3001,$B$15*R$15+Q$15,$B$15*R$16+Q$16),2)+$Q$25</f>
        <v>34773.5</v>
      </c>
      <c r="K16" s="507">
        <f>(I16-G16)/G16</f>
        <v>0.11798057153696413</v>
      </c>
      <c r="M16" s="551" t="s">
        <v>453</v>
      </c>
      <c r="N16" s="557">
        <f>'Exhibit No._(JRS-11) p1-9'!G1011</f>
        <v>1707</v>
      </c>
      <c r="O16" s="498">
        <f>'Exhibit No._(JRS-11) p1-9'!G1014</f>
        <v>0.43</v>
      </c>
      <c r="P16" s="558"/>
      <c r="Q16" s="557">
        <f>'Exhibit No._(JRS-11) p1-9'!J1011</f>
        <v>1920</v>
      </c>
      <c r="R16" s="498">
        <f>'Exhibit No._(JRS-11) p1-9'!J1014</f>
        <v>0.48</v>
      </c>
    </row>
    <row r="17" spans="2:20">
      <c r="C17" s="483">
        <v>700</v>
      </c>
      <c r="E17" s="504">
        <f>ROUND((B$15*C17),0)</f>
        <v>700000</v>
      </c>
      <c r="F17" s="504"/>
      <c r="G17" s="608">
        <f t="shared" si="0"/>
        <v>39875.85</v>
      </c>
      <c r="H17" s="608"/>
      <c r="I17" s="608">
        <f>ROUND($E17*Q$18/100+$B$15*Q$17+IF($B$15&lt;3001,$B$15*R$15+Q$15,$B$15*R$16+Q$16),2)+$Q$25</f>
        <v>44431.5</v>
      </c>
      <c r="K17" s="507">
        <f>(I17-G17)/G17</f>
        <v>0.11424584052753739</v>
      </c>
      <c r="M17" s="551" t="s">
        <v>405</v>
      </c>
      <c r="N17" s="557">
        <f>'Exhibit No._(JRS-11) p1-9'!G1015</f>
        <v>6.99</v>
      </c>
      <c r="O17" s="563"/>
      <c r="P17" s="558"/>
      <c r="Q17" s="557">
        <f>'Exhibit No._(JRS-11) p1-9'!J1015</f>
        <v>8.15</v>
      </c>
      <c r="R17" s="563"/>
      <c r="T17" s="503">
        <f>(Q17-N17)/N17</f>
        <v>0.16595135908440631</v>
      </c>
    </row>
    <row r="18" spans="2:20">
      <c r="G18" s="608"/>
      <c r="H18" s="608"/>
      <c r="I18" s="608"/>
      <c r="K18" s="507"/>
      <c r="M18" s="551" t="s">
        <v>384</v>
      </c>
      <c r="N18" s="566">
        <f>'Exhibit No._(JRS-11) p1-9'!G1017+Q20+Q27+Q28</f>
        <v>4.3860000000000001</v>
      </c>
      <c r="O18" s="563"/>
      <c r="P18" s="558"/>
      <c r="Q18" s="566">
        <f>'Exhibit No._(JRS-11) p1-9'!J1017+'Exhibit No._(JRS-11) p1-9'!J998+Q21+Q27+Q28</f>
        <v>4.8289999999999997</v>
      </c>
      <c r="R18" s="563"/>
      <c r="T18" s="503">
        <f>(Q18-N18)/N18</f>
        <v>0.10100319197446411</v>
      </c>
    </row>
    <row r="19" spans="2:20" ht="15.75" thickBot="1">
      <c r="B19" s="504">
        <v>2000</v>
      </c>
      <c r="C19" s="483">
        <v>300</v>
      </c>
      <c r="E19" s="504">
        <f>ROUND((B$19*C19),0)</f>
        <v>600000</v>
      </c>
      <c r="F19" s="504"/>
      <c r="G19" s="608">
        <f>ROUND($E19*N$18/100+$B$19*N$17+IF($B$19&lt;3001,$B$19*O$15+N$15,$B$19*O$16+N$16),2)+$Q$24</f>
        <v>43009.85</v>
      </c>
      <c r="H19" s="608"/>
      <c r="I19" s="608">
        <f>ROUND($E19*Q$18/100+$B$19*Q$17+IF($B$19&lt;3001,$B$19*R$15+Q$15,$B$19*R$16+Q$16),2)+$Q$25</f>
        <v>48352.5</v>
      </c>
      <c r="K19" s="507">
        <f>(I19-G19)/G19</f>
        <v>0.12421921955087036</v>
      </c>
      <c r="M19" s="588" t="s">
        <v>0</v>
      </c>
      <c r="N19" s="589" t="s">
        <v>0</v>
      </c>
      <c r="O19" s="569"/>
      <c r="P19" s="568"/>
      <c r="Q19" s="589" t="s">
        <v>0</v>
      </c>
      <c r="R19" s="590"/>
    </row>
    <row r="20" spans="2:20">
      <c r="C20" s="483">
        <v>500</v>
      </c>
      <c r="E20" s="504">
        <f>ROUND((B$19*C20),0)</f>
        <v>1000000</v>
      </c>
      <c r="F20" s="504"/>
      <c r="G20" s="608">
        <f t="shared" ref="G20:G21" si="1">ROUND($E20*N$18/100+$B$19*N$17+IF($B$19&lt;3001,$B$19*O$15+N$15,$B$19*O$16+N$16),2)+$Q$24</f>
        <v>60553.85</v>
      </c>
      <c r="H20" s="608"/>
      <c r="I20" s="608">
        <f>ROUND($E20*Q$18/100+$B$19*Q$17+IF($B$19&lt;3001,$B$19*R$15+Q$15,$B$19*R$16+Q$16),2)+$Q$25</f>
        <v>67668.5</v>
      </c>
      <c r="K20" s="507">
        <f>(I20-G20)/G20</f>
        <v>0.11749294223240969</v>
      </c>
      <c r="O20" s="510" t="s">
        <v>385</v>
      </c>
      <c r="P20" s="510"/>
      <c r="Q20" s="511">
        <v>0.19400000000000001</v>
      </c>
    </row>
    <row r="21" spans="2:20">
      <c r="C21" s="483">
        <v>700</v>
      </c>
      <c r="E21" s="504">
        <f>ROUND((B$19*C21),0)</f>
        <v>1400000</v>
      </c>
      <c r="F21" s="504"/>
      <c r="G21" s="608">
        <f t="shared" si="1"/>
        <v>78097.850000000006</v>
      </c>
      <c r="H21" s="608"/>
      <c r="I21" s="608">
        <f>ROUND($E21*Q$18/100+$B$19*Q$17+IF($B$19&lt;3001,$B$19*R$15+Q$15,$B$19*R$16+Q$16),2)+$Q$25</f>
        <v>86984.5</v>
      </c>
      <c r="K21" s="507">
        <f>(I21-G21)/G21</f>
        <v>0.11378866383645636</v>
      </c>
      <c r="O21" s="510"/>
      <c r="P21" s="510"/>
      <c r="Q21" s="511">
        <v>0.19400000000000001</v>
      </c>
    </row>
    <row r="22" spans="2:20">
      <c r="G22" s="608"/>
      <c r="H22" s="608"/>
      <c r="I22" s="608"/>
      <c r="K22" s="507"/>
      <c r="O22" s="510"/>
      <c r="P22" s="510"/>
      <c r="Q22" s="514"/>
    </row>
    <row r="23" spans="2:20">
      <c r="B23" s="504">
        <v>4000</v>
      </c>
      <c r="C23" s="483">
        <v>300</v>
      </c>
      <c r="E23" s="504">
        <f>ROUND((B$23*C23),0)</f>
        <v>1200000</v>
      </c>
      <c r="F23" s="504"/>
      <c r="G23" s="608">
        <f>ROUND($E23*N$18/100+$B$23*N$17+IF($B$23&lt;3001,$B$23*O$15+N$15,$B$23*O$16+N$16),2)+$Q$24</f>
        <v>84253.85</v>
      </c>
      <c r="H23" s="608"/>
      <c r="I23" s="608">
        <f>ROUND($E23*Q$18/100+$B$23*Q$17+IF($B$23&lt;3001,$B$23*R$15+Q$15,$B$23*R$16+Q$16),2)+$Q$25</f>
        <v>94671.5</v>
      </c>
      <c r="K23" s="507">
        <f>(I23-G23)/G23</f>
        <v>0.12364598175632323</v>
      </c>
      <c r="O23" s="483" t="s">
        <v>0</v>
      </c>
      <c r="P23" s="483" t="s">
        <v>0</v>
      </c>
      <c r="Q23" s="483" t="s">
        <v>0</v>
      </c>
    </row>
    <row r="24" spans="2:20">
      <c r="C24" s="483">
        <v>500</v>
      </c>
      <c r="E24" s="504">
        <f>ROUND((B$23*C24),0)</f>
        <v>2000000</v>
      </c>
      <c r="F24" s="504"/>
      <c r="G24" s="608">
        <f t="shared" ref="G24:G25" si="2">ROUND($E24*N$18/100+$B$23*N$17+IF($B$23&lt;3001,$B$23*O$15+N$15,$B$23*O$16+N$16),2)+$Q$24</f>
        <v>119341.85</v>
      </c>
      <c r="H24" s="608"/>
      <c r="I24" s="608">
        <f>ROUND($E24*Q$18/100+$B$23*Q$17+IF($B$23&lt;3001,$B$23*R$15+Q$15,$B$23*R$16+Q$16),2)+$Q$25</f>
        <v>133303.5</v>
      </c>
      <c r="K24" s="507">
        <f>(I24-G24)/G24</f>
        <v>0.11698871770464421</v>
      </c>
      <c r="O24" s="483" t="s">
        <v>429</v>
      </c>
      <c r="Q24" s="559">
        <f>'Exhibit No._(JRS-11) p10'!D21</f>
        <v>234.85</v>
      </c>
      <c r="R24" s="483" t="s">
        <v>0</v>
      </c>
    </row>
    <row r="25" spans="2:20">
      <c r="C25" s="483">
        <v>700</v>
      </c>
      <c r="E25" s="504">
        <f>ROUND((B$23*C25),0)</f>
        <v>2800000</v>
      </c>
      <c r="F25" s="504"/>
      <c r="G25" s="608">
        <f t="shared" si="2"/>
        <v>154429.85</v>
      </c>
      <c r="H25" s="608"/>
      <c r="I25" s="608">
        <f>ROUND($E25*Q$18/100+$B$23*Q$17+IF($B$23&lt;3001,$B$23*R$15+Q$15,$B$23*R$16+Q$16),2)+$Q$25</f>
        <v>171935.5</v>
      </c>
      <c r="K25" s="507">
        <f>(I25-G25)/G25</f>
        <v>0.11335664704718676</v>
      </c>
      <c r="O25" s="483" t="s">
        <v>417</v>
      </c>
      <c r="P25" s="526"/>
      <c r="Q25" s="559">
        <f>'Exhibit No._(JRS-11) p10'!E21</f>
        <v>283.5</v>
      </c>
    </row>
    <row r="26" spans="2:20">
      <c r="G26" s="608" t="s">
        <v>0</v>
      </c>
      <c r="H26" s="608"/>
      <c r="I26" s="608"/>
      <c r="K26" s="507"/>
    </row>
    <row r="27" spans="2:20">
      <c r="B27" s="504">
        <v>6000</v>
      </c>
      <c r="C27" s="483">
        <v>300</v>
      </c>
      <c r="E27" s="504">
        <f>ROUND((B$27*C27),0)</f>
        <v>1800000</v>
      </c>
      <c r="F27" s="504"/>
      <c r="G27" s="608">
        <f>ROUND($E27*N$18/100+$B$27*N$17+IF($B$27&lt;3001,$B$27*O$15+N$15,$B$27*O$16+N$16),2)+$Q$24</f>
        <v>125409.85</v>
      </c>
      <c r="H27" s="608"/>
      <c r="I27" s="608">
        <f>ROUND($E27*Q$18/100+$B$27*Q$17+IF($B$27&lt;3001,$B$27*R$15+Q$15,$B$27*R$16+Q$16),2)+$Q$25</f>
        <v>140905.5</v>
      </c>
      <c r="K27" s="507">
        <f>(I27-G27)/G27</f>
        <v>0.1235600712384234</v>
      </c>
      <c r="O27" s="483" t="s">
        <v>389</v>
      </c>
      <c r="Q27" s="483">
        <v>0</v>
      </c>
    </row>
    <row r="28" spans="2:20">
      <c r="C28" s="483">
        <v>500</v>
      </c>
      <c r="E28" s="504">
        <f>ROUND((B$27*C28),0)</f>
        <v>3000000</v>
      </c>
      <c r="F28" s="504"/>
      <c r="G28" s="608">
        <f t="shared" ref="G28:G29" si="3">ROUND($E28*N$18/100+$B$27*N$17+IF($B$27&lt;3001,$B$27*O$15+N$15,$B$27*O$16+N$16),2)+$Q$24</f>
        <v>178041.85</v>
      </c>
      <c r="H28" s="608"/>
      <c r="I28" s="608">
        <f>ROUND($E28*Q$18/100+$B$27*Q$17+IF($B$27&lt;3001,$B$27*R$15+Q$15,$B$27*R$16+Q$16),2)+$Q$25</f>
        <v>198853.5</v>
      </c>
      <c r="K28" s="507">
        <f>(I28-G28)/G28</f>
        <v>0.11689189929221694</v>
      </c>
      <c r="O28" s="483" t="s">
        <v>390</v>
      </c>
      <c r="Q28" s="483">
        <v>0</v>
      </c>
    </row>
    <row r="29" spans="2:20">
      <c r="C29" s="483">
        <v>700</v>
      </c>
      <c r="E29" s="504">
        <f>ROUND((B$27*C29),0)</f>
        <v>4200000</v>
      </c>
      <c r="F29" s="504"/>
      <c r="G29" s="608">
        <f t="shared" si="3"/>
        <v>230673.85</v>
      </c>
      <c r="H29" s="608"/>
      <c r="I29" s="608">
        <f>ROUND($E29*Q$18/100+$B$27*Q$17+IF($B$27&lt;3001,$B$27*R$15+Q$15,$B$27*R$16+Q$16),2)+$Q$25</f>
        <v>256801.5</v>
      </c>
      <c r="K29" s="507">
        <f>(I29-G29)/G29</f>
        <v>0.11326663165330614</v>
      </c>
    </row>
    <row r="30" spans="2:20">
      <c r="B30" s="519"/>
      <c r="C30" s="519"/>
      <c r="D30" s="519"/>
      <c r="E30" s="519"/>
      <c r="F30" s="519"/>
      <c r="G30" s="519"/>
      <c r="H30" s="519"/>
      <c r="I30" s="519"/>
      <c r="J30" s="519"/>
      <c r="K30" s="519"/>
      <c r="M30" s="515" t="s">
        <v>391</v>
      </c>
      <c r="N30" s="575">
        <f>'Exhibit No._(JRS-11) p1-9'!Q1002</f>
        <v>0.11853923717153288</v>
      </c>
    </row>
    <row r="33" spans="2:15">
      <c r="B33" s="483" t="s">
        <v>393</v>
      </c>
    </row>
    <row r="34" spans="2:15">
      <c r="B34" s="576" t="s">
        <v>454</v>
      </c>
      <c r="O34" s="483" t="s">
        <v>0</v>
      </c>
    </row>
    <row r="35" spans="2:15">
      <c r="B35" s="576"/>
    </row>
    <row r="36" spans="2:15">
      <c r="B36" s="522"/>
    </row>
    <row r="37" spans="2:15">
      <c r="B37" s="522"/>
    </row>
    <row r="38" spans="2:15">
      <c r="B38" s="522"/>
    </row>
    <row r="39" spans="2:15">
      <c r="B39" s="522"/>
    </row>
    <row r="40" spans="2:15">
      <c r="B40" s="522"/>
    </row>
    <row r="41" spans="2:15">
      <c r="B41" s="522"/>
    </row>
    <row r="42" spans="2:15">
      <c r="B42" s="522"/>
    </row>
    <row r="43" spans="2:15">
      <c r="B43" s="522"/>
    </row>
    <row r="44" spans="2:15">
      <c r="B44" s="522"/>
    </row>
    <row r="45" spans="2:15">
      <c r="B45" s="522"/>
    </row>
    <row r="46" spans="2:15">
      <c r="B46" s="522"/>
    </row>
    <row r="47" spans="2:15">
      <c r="B47" s="522"/>
    </row>
    <row r="49" spans="16:16">
      <c r="P49" s="524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49"/>
  <sheetViews>
    <sheetView tabSelected="1" view="pageBreakPreview" zoomScale="60" zoomScaleNormal="100" workbookViewId="0">
      <selection activeCell="B1" sqref="B1"/>
    </sheetView>
  </sheetViews>
  <sheetFormatPr defaultColWidth="8.5" defaultRowHeight="15"/>
  <cols>
    <col min="1" max="1" width="2" style="483" customWidth="1"/>
    <col min="2" max="2" width="8.5" style="483"/>
    <col min="3" max="3" width="8.5" style="483" hidden="1" customWidth="1"/>
    <col min="4" max="4" width="3.25" style="483" customWidth="1"/>
    <col min="5" max="5" width="10.75" style="483" bestFit="1" customWidth="1"/>
    <col min="6" max="6" width="3.75" style="483" customWidth="1"/>
    <col min="7" max="7" width="19.875" style="483" customWidth="1"/>
    <col min="8" max="8" width="3.5" style="483" customWidth="1"/>
    <col min="9" max="9" width="19.5" style="483" customWidth="1"/>
    <col min="10" max="10" width="2.875" style="483" customWidth="1"/>
    <col min="11" max="11" width="12.125" style="483" customWidth="1"/>
    <col min="12" max="12" width="3.5" style="575" customWidth="1"/>
    <col min="13" max="13" width="8.5" style="483"/>
    <col min="14" max="14" width="10.125" style="483" customWidth="1"/>
    <col min="15" max="15" width="20.375" style="483" customWidth="1"/>
    <col min="16" max="16" width="2.5" style="483" customWidth="1"/>
    <col min="17" max="17" width="14.375" style="483" customWidth="1"/>
    <col min="18" max="18" width="10.375" style="483" bestFit="1" customWidth="1"/>
    <col min="19" max="19" width="7.375" style="483" customWidth="1"/>
    <col min="20" max="20" width="2.5" style="483" customWidth="1"/>
    <col min="21" max="16384" width="8.5" style="483"/>
  </cols>
  <sheetData>
    <row r="2" spans="1:22" ht="18.75">
      <c r="B2" s="489"/>
      <c r="C2" s="488"/>
      <c r="D2" s="488"/>
      <c r="E2" s="488"/>
      <c r="F2" s="488"/>
      <c r="G2" s="488"/>
      <c r="H2" s="488"/>
      <c r="I2" s="488"/>
      <c r="J2" s="486" t="s">
        <v>0</v>
      </c>
      <c r="K2" s="593"/>
    </row>
    <row r="3" spans="1:22" ht="18.75">
      <c r="B3" s="487" t="s">
        <v>314</v>
      </c>
      <c r="C3" s="487"/>
      <c r="D3" s="487"/>
      <c r="E3" s="487"/>
      <c r="F3" s="487"/>
      <c r="G3" s="487"/>
      <c r="H3" s="487"/>
      <c r="I3" s="487"/>
      <c r="J3" s="487"/>
      <c r="K3" s="487"/>
    </row>
    <row r="4" spans="1:22" ht="18.75">
      <c r="B4" s="487" t="s">
        <v>376</v>
      </c>
      <c r="C4" s="487"/>
      <c r="D4" s="487"/>
      <c r="E4" s="487"/>
      <c r="F4" s="487"/>
      <c r="G4" s="487"/>
      <c r="H4" s="487"/>
      <c r="I4" s="487"/>
      <c r="J4" s="487"/>
      <c r="K4" s="487"/>
    </row>
    <row r="5" spans="1:22" ht="18.75">
      <c r="B5" s="487" t="s">
        <v>455</v>
      </c>
      <c r="C5" s="487"/>
      <c r="D5" s="487"/>
      <c r="E5" s="487"/>
      <c r="F5" s="487"/>
      <c r="G5" s="487"/>
      <c r="H5" s="487"/>
      <c r="I5" s="487"/>
      <c r="J5" s="487"/>
      <c r="K5" s="487"/>
    </row>
    <row r="6" spans="1:22" ht="18.75">
      <c r="B6" s="487" t="s">
        <v>456</v>
      </c>
      <c r="C6" s="487"/>
      <c r="D6" s="487"/>
      <c r="E6" s="487"/>
      <c r="F6" s="487"/>
      <c r="G6" s="487"/>
      <c r="H6" s="487"/>
      <c r="I6" s="487"/>
      <c r="J6" s="487"/>
      <c r="K6" s="487"/>
    </row>
    <row r="7" spans="1:22" ht="18.75">
      <c r="B7" s="487" t="s">
        <v>457</v>
      </c>
      <c r="C7" s="487"/>
      <c r="D7" s="487"/>
      <c r="E7" s="487"/>
      <c r="F7" s="487"/>
      <c r="G7" s="487"/>
      <c r="H7" s="487"/>
      <c r="I7" s="487"/>
      <c r="J7" s="487"/>
      <c r="K7" s="487"/>
      <c r="V7" s="483" t="s">
        <v>0</v>
      </c>
    </row>
    <row r="8" spans="1:22" ht="18.75">
      <c r="A8" s="615"/>
      <c r="B8" s="488"/>
      <c r="C8" s="488"/>
      <c r="D8" s="488"/>
      <c r="E8" s="488"/>
      <c r="F8" s="488"/>
      <c r="G8" s="488"/>
      <c r="H8" s="488"/>
      <c r="I8" s="488"/>
      <c r="J8" s="488"/>
    </row>
    <row r="9" spans="1:22" ht="18.75">
      <c r="A9" s="615"/>
      <c r="B9" s="488"/>
      <c r="C9" s="488"/>
      <c r="D9" s="488"/>
      <c r="E9" s="488"/>
      <c r="F9" s="488"/>
      <c r="G9" s="488"/>
      <c r="H9" s="488"/>
      <c r="I9" s="488"/>
      <c r="J9" s="488"/>
    </row>
    <row r="11" spans="1:22">
      <c r="B11" s="594" t="s">
        <v>397</v>
      </c>
      <c r="G11" s="495" t="s">
        <v>398</v>
      </c>
      <c r="H11" s="495"/>
      <c r="I11" s="495"/>
    </row>
    <row r="12" spans="1:22" ht="15.75" thickBot="1">
      <c r="B12" s="597" t="s">
        <v>401</v>
      </c>
      <c r="C12" s="595" t="s">
        <v>402</v>
      </c>
      <c r="G12" s="488" t="s">
        <v>9</v>
      </c>
      <c r="I12" s="488" t="s">
        <v>13</v>
      </c>
      <c r="K12" s="488" t="s">
        <v>400</v>
      </c>
    </row>
    <row r="13" spans="1:22">
      <c r="B13" s="598" t="s">
        <v>405</v>
      </c>
      <c r="C13" s="599" t="s">
        <v>406</v>
      </c>
      <c r="D13" s="499"/>
      <c r="E13" s="494" t="s">
        <v>36</v>
      </c>
      <c r="F13" s="499"/>
      <c r="G13" s="495" t="s">
        <v>450</v>
      </c>
      <c r="I13" s="495" t="s">
        <v>451</v>
      </c>
      <c r="K13" s="616" t="s">
        <v>105</v>
      </c>
      <c r="M13" s="617" t="s">
        <v>379</v>
      </c>
      <c r="N13" s="582"/>
      <c r="O13" s="583"/>
      <c r="P13" s="549"/>
      <c r="Q13" s="549"/>
      <c r="R13" s="582" t="s">
        <v>380</v>
      </c>
      <c r="S13" s="583"/>
    </row>
    <row r="14" spans="1:22">
      <c r="G14" s="599"/>
      <c r="H14" s="499"/>
      <c r="I14" s="599"/>
      <c r="M14" s="551" t="s">
        <v>409</v>
      </c>
      <c r="N14" s="512"/>
      <c r="O14" s="552"/>
      <c r="P14" s="512"/>
      <c r="Q14" s="512"/>
      <c r="R14" s="512"/>
      <c r="S14" s="552"/>
    </row>
    <row r="15" spans="1:22">
      <c r="B15" s="504">
        <v>30000</v>
      </c>
      <c r="C15" s="483">
        <v>300</v>
      </c>
      <c r="E15" s="504">
        <f>ROUND((B$15*C15),0)</f>
        <v>9000000</v>
      </c>
      <c r="F15" s="504"/>
      <c r="G15" s="608">
        <f>ROUND($E15*N$18/100+$B$15*N$17+IF($B$15&lt;3001,$B$15*O$15+N$15,$B$15*O$16+N$16),2)+$R$24</f>
        <v>612452.85</v>
      </c>
      <c r="H15" s="608"/>
      <c r="I15" s="608">
        <f>ROUND($E15*R$18/100+$B$15*R$17+IF($B$15&lt;3001,$B$15*S$15+R$15,$B$15*S$16+R$16),2)+$R$25</f>
        <v>695099.5</v>
      </c>
      <c r="K15" s="507">
        <f>(I15-G15)/G15</f>
        <v>0.13494369403293663</v>
      </c>
      <c r="M15" s="551" t="s">
        <v>452</v>
      </c>
      <c r="N15" s="557" t="s">
        <v>0</v>
      </c>
      <c r="O15" s="498" t="s">
        <v>0</v>
      </c>
      <c r="P15" s="558"/>
      <c r="Q15" s="512" t="s">
        <v>0</v>
      </c>
      <c r="R15" s="557" t="s">
        <v>0</v>
      </c>
      <c r="S15" s="498" t="s">
        <v>0</v>
      </c>
    </row>
    <row r="16" spans="1:22">
      <c r="C16" s="483">
        <v>500</v>
      </c>
      <c r="E16" s="504">
        <f>ROUND((B$15*C16),0)</f>
        <v>15000000</v>
      </c>
      <c r="F16" s="504"/>
      <c r="G16" s="608">
        <f t="shared" ref="G16:G17" si="0">ROUND($E16*N$18/100+$B$15*N$17+IF($B$15&lt;3001,$B$15*O$15+N$15,$B$15*O$16+N$16),2)+$R$24</f>
        <v>875312.85</v>
      </c>
      <c r="H16" s="608"/>
      <c r="I16" s="608">
        <f>ROUND($E16*R$18/100+$B$15*R$17+IF($B$15&lt;3001,$B$15*S$15+R$15,$B$15*S$16+R$16),2)+$R$25</f>
        <v>988619.5</v>
      </c>
      <c r="K16" s="507">
        <f>(I16-G16)/G16</f>
        <v>0.12944703142425024</v>
      </c>
      <c r="M16" s="551" t="s">
        <v>453</v>
      </c>
      <c r="N16" s="557">
        <f>'Exhibit No._(JRS-11) p1-9'!G1084</f>
        <v>2528</v>
      </c>
      <c r="O16" s="498">
        <f>'Exhibit No._(JRS-11) p1-9'!G1087</f>
        <v>0.23</v>
      </c>
      <c r="P16" s="558"/>
      <c r="Q16" s="512" t="s">
        <v>458</v>
      </c>
      <c r="R16" s="557">
        <f>'Exhibit No._(JRS-11) p1-9'!J1084</f>
        <v>2836</v>
      </c>
      <c r="S16" s="498">
        <f>'Exhibit No._(JRS-11) p1-9'!J1087</f>
        <v>0.26</v>
      </c>
    </row>
    <row r="17" spans="2:21">
      <c r="C17" s="483">
        <v>700</v>
      </c>
      <c r="E17" s="504">
        <f>ROUND((B$15*C17),0)</f>
        <v>21000000</v>
      </c>
      <c r="F17" s="504"/>
      <c r="G17" s="608">
        <f t="shared" si="0"/>
        <v>1138172.8500000001</v>
      </c>
      <c r="H17" s="608"/>
      <c r="I17" s="608">
        <f>ROUND($E17*R$18/100+$B$15*R$17+IF($B$15&lt;3001,$B$15*S$15+R$15,$B$15*S$16+R$16),2)+$R$25</f>
        <v>1282139.5</v>
      </c>
      <c r="K17" s="507">
        <f>(I17-G17)/G17</f>
        <v>0.12648926742541777</v>
      </c>
      <c r="M17" s="551" t="s">
        <v>405</v>
      </c>
      <c r="N17" s="557">
        <f>'Exhibit No._(JRS-11) p1-9'!G1088</f>
        <v>6.95</v>
      </c>
      <c r="O17" s="563"/>
      <c r="P17" s="558"/>
      <c r="Q17" s="558"/>
      <c r="R17" s="557">
        <f>'Exhibit No._(JRS-11) p1-9'!J1088</f>
        <v>8.1300000000000008</v>
      </c>
      <c r="S17" s="563"/>
      <c r="U17" s="503">
        <f>(R17-N17)/N17</f>
        <v>0.1697841726618706</v>
      </c>
    </row>
    <row r="18" spans="2:21">
      <c r="G18" s="608"/>
      <c r="H18" s="608"/>
      <c r="I18" s="608"/>
      <c r="K18" s="507"/>
      <c r="M18" s="551" t="s">
        <v>384</v>
      </c>
      <c r="N18" s="566">
        <f>'Exhibit No._(JRS-11) p1-9'!G1090+R20+R27+R28</f>
        <v>4.3810000000000002</v>
      </c>
      <c r="O18" s="563"/>
      <c r="P18" s="558"/>
      <c r="Q18" s="558"/>
      <c r="R18" s="566">
        <f>'Exhibit No._(JRS-11) p1-9'!J1090+'Exhibit No._(JRS-11) p1-9'!J1092+R21+R27+R28</f>
        <v>4.8920000000000003</v>
      </c>
      <c r="S18" s="563"/>
      <c r="U18" s="503">
        <f>(R18-N18)/N18</f>
        <v>0.11664003652134218</v>
      </c>
    </row>
    <row r="19" spans="2:21" ht="15.75" thickBot="1">
      <c r="B19" s="504">
        <v>40000</v>
      </c>
      <c r="C19" s="483">
        <v>300</v>
      </c>
      <c r="E19" s="504">
        <f>ROUND((B$19*C19),0)</f>
        <v>12000000</v>
      </c>
      <c r="F19" s="504"/>
      <c r="G19" s="608">
        <f>ROUND($E19*N$18/100+$B$19*N$17+IF($B$19&lt;3001,$B$19*O$15+N$15,$B$19*O$16+N$16),2)+$R$24</f>
        <v>815682.85</v>
      </c>
      <c r="H19" s="608"/>
      <c r="I19" s="608">
        <f>ROUND($E19*R$18/100+$B$19*R$17+IF($B$19&lt;3001,$B$19*S$15+R$15,$B$19*S$16+R$16),2)+$R$25</f>
        <v>925759.5</v>
      </c>
      <c r="K19" s="507">
        <f>(I19-G19)/G19</f>
        <v>0.13495030574689665</v>
      </c>
      <c r="M19" s="588" t="s">
        <v>0</v>
      </c>
      <c r="N19" s="589" t="s">
        <v>0</v>
      </c>
      <c r="O19" s="569"/>
      <c r="P19" s="568"/>
      <c r="Q19" s="568"/>
      <c r="R19" s="589" t="s">
        <v>0</v>
      </c>
      <c r="S19" s="590"/>
    </row>
    <row r="20" spans="2:21">
      <c r="C20" s="483">
        <v>500</v>
      </c>
      <c r="E20" s="504">
        <f>ROUND((B$19*C20),0)</f>
        <v>20000000</v>
      </c>
      <c r="F20" s="504"/>
      <c r="G20" s="608">
        <f t="shared" ref="G20:G21" si="1">ROUND($E20*N$18/100+$B$19*N$17+IF($B$19&lt;3001,$B$19*O$15+N$15,$B$19*O$16+N$16),2)+$R$24</f>
        <v>1166162.8500000001</v>
      </c>
      <c r="H20" s="608"/>
      <c r="I20" s="608">
        <f>ROUND($E20*R$18/100+$B$19*R$17+IF($B$19&lt;3001,$B$19*S$15+R$15,$B$19*S$16+R$16),2)+$R$25</f>
        <v>1317119.5</v>
      </c>
      <c r="K20" s="507">
        <f>(I20-G20)/G20</f>
        <v>0.12944731518415278</v>
      </c>
      <c r="O20" s="510" t="s">
        <v>385</v>
      </c>
      <c r="P20" s="510"/>
      <c r="Q20" s="510"/>
      <c r="R20" s="511">
        <v>0.19400000000000001</v>
      </c>
    </row>
    <row r="21" spans="2:21">
      <c r="C21" s="483">
        <v>700</v>
      </c>
      <c r="E21" s="504">
        <f>ROUND((B$19*C21),0)</f>
        <v>28000000</v>
      </c>
      <c r="F21" s="504"/>
      <c r="G21" s="608">
        <f t="shared" si="1"/>
        <v>1516642.85</v>
      </c>
      <c r="H21" s="608"/>
      <c r="I21" s="608">
        <f>ROUND($E21*R$18/100+$B$19*R$17+IF($B$19&lt;3001,$B$19*S$15+R$15,$B$19*S$16+R$16),2)+$R$25</f>
        <v>1708479.5</v>
      </c>
      <c r="K21" s="507">
        <f>(I21-G21)/G21</f>
        <v>0.12648768957042186</v>
      </c>
      <c r="O21" s="510"/>
      <c r="P21" s="510"/>
      <c r="Q21" s="510"/>
      <c r="R21" s="511">
        <v>0.19400000000000001</v>
      </c>
    </row>
    <row r="22" spans="2:21">
      <c r="G22" s="608"/>
      <c r="H22" s="608"/>
      <c r="I22" s="608"/>
      <c r="K22" s="507"/>
      <c r="O22" s="510"/>
      <c r="P22" s="510"/>
      <c r="Q22" s="510"/>
      <c r="R22" s="514"/>
    </row>
    <row r="23" spans="2:21">
      <c r="B23" s="504">
        <v>50000</v>
      </c>
      <c r="C23" s="483">
        <v>300</v>
      </c>
      <c r="E23" s="504">
        <f>ROUND((B$23*C23),0)</f>
        <v>15000000</v>
      </c>
      <c r="F23" s="504"/>
      <c r="G23" s="608">
        <f>ROUND($E23*N$18/100+$B$23*N$17+IF($B$23&lt;3001,$B$23*O$15+N$15,$B$23*O$16+N$16),2)+$R$24</f>
        <v>1018912.85</v>
      </c>
      <c r="H23" s="608"/>
      <c r="I23" s="608">
        <f>ROUND($E23*R$18/100+$B$23*R$17+IF($B$23&lt;3001,$B$23*S$15+R$15,$B$23*S$16+R$16),2)+$R$25</f>
        <v>1156419.5</v>
      </c>
      <c r="K23" s="507">
        <f>(I23-G23)/G23</f>
        <v>0.1349542799465136</v>
      </c>
      <c r="O23" s="483" t="s">
        <v>0</v>
      </c>
      <c r="P23" s="483" t="s">
        <v>0</v>
      </c>
      <c r="R23" s="483" t="s">
        <v>0</v>
      </c>
    </row>
    <row r="24" spans="2:21">
      <c r="C24" s="483">
        <v>500</v>
      </c>
      <c r="E24" s="504">
        <f>ROUND((B$23*C24),0)</f>
        <v>25000000</v>
      </c>
      <c r="F24" s="504"/>
      <c r="G24" s="608">
        <f t="shared" ref="G24:G25" si="2">ROUND($E24*N$18/100+$B$23*N$17+IF($B$23&lt;3001,$B$23*O$15+N$15,$B$23*O$16+N$16),2)+$R$24</f>
        <v>1457012.85</v>
      </c>
      <c r="H24" s="608"/>
      <c r="I24" s="608">
        <f>ROUND($E24*R$18/100+$B$23*R$17+IF($B$23&lt;3001,$B$23*S$15+R$15,$B$23*S$16+R$16),2)+$R$25</f>
        <v>1645619.5</v>
      </c>
      <c r="K24" s="507">
        <f>(I24-G24)/G24</f>
        <v>0.12944748565532549</v>
      </c>
      <c r="O24" s="483" t="s">
        <v>429</v>
      </c>
      <c r="R24" s="559">
        <f>'Exhibit No._(JRS-11) p10'!D21</f>
        <v>234.85</v>
      </c>
      <c r="S24" s="483" t="s">
        <v>0</v>
      </c>
    </row>
    <row r="25" spans="2:21">
      <c r="C25" s="483">
        <v>700</v>
      </c>
      <c r="E25" s="504">
        <f>ROUND((B$23*C25),0)</f>
        <v>35000000</v>
      </c>
      <c r="F25" s="504"/>
      <c r="G25" s="608">
        <f t="shared" si="2"/>
        <v>1895112.85</v>
      </c>
      <c r="H25" s="608"/>
      <c r="I25" s="608">
        <f>ROUND($E25*R$18/100+$B$23*R$17+IF($B$23&lt;3001,$B$23*S$15+R$15,$B$23*S$16+R$16),2)+$R$25</f>
        <v>2134819.5</v>
      </c>
      <c r="K25" s="507">
        <f>(I25-G25)/G25</f>
        <v>0.12648674193729406</v>
      </c>
      <c r="O25" s="483" t="s">
        <v>417</v>
      </c>
      <c r="P25" s="526"/>
      <c r="Q25" s="526"/>
      <c r="R25" s="559">
        <f>'Exhibit No._(JRS-11) p10'!E21</f>
        <v>283.5</v>
      </c>
    </row>
    <row r="26" spans="2:21">
      <c r="G26" s="608"/>
      <c r="H26" s="608"/>
      <c r="I26" s="608"/>
      <c r="K26" s="507"/>
    </row>
    <row r="27" spans="2:21">
      <c r="B27" s="504">
        <v>60000</v>
      </c>
      <c r="C27" s="483">
        <v>300</v>
      </c>
      <c r="E27" s="504">
        <f>ROUND((B$27*C27),0)</f>
        <v>18000000</v>
      </c>
      <c r="F27" s="504"/>
      <c r="G27" s="608">
        <f>ROUND($E27*N$18/100+$B$27*N$17+IF($B$27&lt;3001,$B$27*O$15+N$15,$B$27*O$16+N$16),2)+$R$24</f>
        <v>1222142.8500000001</v>
      </c>
      <c r="H27" s="608"/>
      <c r="I27" s="608">
        <f>ROUND($E27*R$18/100+$B$27*R$17+IF($B$27&lt;3001,$B$27*S$15+R$15,$B$27*S$16+R$16),2)+$R$25</f>
        <v>1387079.5</v>
      </c>
      <c r="K27" s="507">
        <f>(I27-G27)/G27</f>
        <v>0.13495693240769677</v>
      </c>
      <c r="O27" s="483" t="s">
        <v>389</v>
      </c>
      <c r="R27" s="483">
        <v>0</v>
      </c>
    </row>
    <row r="28" spans="2:21">
      <c r="C28" s="483">
        <v>500</v>
      </c>
      <c r="E28" s="504">
        <f>ROUND((B$27*C28),0)</f>
        <v>30000000</v>
      </c>
      <c r="F28" s="504"/>
      <c r="G28" s="608">
        <f t="shared" ref="G28:G29" si="3">ROUND($E28*N$18/100+$B$27*N$17+IF($B$27&lt;3001,$B$27*O$15+N$15,$B$27*O$16+N$16),2)+$R$24</f>
        <v>1747862.85</v>
      </c>
      <c r="H28" s="608"/>
      <c r="I28" s="608">
        <f>ROUND($E28*R$18/100+$B$27*R$17+IF($B$27&lt;3001,$B$27*S$15+R$15,$B$27*S$16+R$16),2)+$R$25</f>
        <v>1974119.5</v>
      </c>
      <c r="K28" s="507">
        <f>(I28-G28)/G28</f>
        <v>0.12944759939259531</v>
      </c>
      <c r="O28" s="483" t="s">
        <v>390</v>
      </c>
      <c r="R28" s="483">
        <v>0</v>
      </c>
    </row>
    <row r="29" spans="2:21">
      <c r="C29" s="483">
        <v>700</v>
      </c>
      <c r="E29" s="504">
        <f>ROUND((B$27*C29),0)</f>
        <v>42000000</v>
      </c>
      <c r="F29" s="504"/>
      <c r="G29" s="608">
        <f t="shared" si="3"/>
        <v>2273582.85</v>
      </c>
      <c r="H29" s="608"/>
      <c r="I29" s="608">
        <f>ROUND($E29*R$18/100+$B$27*R$17+IF($B$27&lt;3001,$B$27*S$15+R$15,$B$27*S$16+R$16),2)+$R$25</f>
        <v>2561159.5</v>
      </c>
      <c r="K29" s="507">
        <f>(I29-G29)/G29</f>
        <v>0.12648610979802205</v>
      </c>
    </row>
    <row r="30" spans="2:21">
      <c r="B30" s="519"/>
      <c r="C30" s="519"/>
      <c r="D30" s="519"/>
      <c r="E30" s="519"/>
      <c r="F30" s="519"/>
      <c r="G30" s="519"/>
      <c r="H30" s="519"/>
      <c r="I30" s="519"/>
      <c r="J30" s="519"/>
      <c r="K30" s="519"/>
      <c r="M30" s="515" t="s">
        <v>391</v>
      </c>
      <c r="N30" s="575">
        <f>'Exhibit No._(JRS-11) p1-9'!Q1099</f>
        <v>0.12934135542347264</v>
      </c>
    </row>
    <row r="32" spans="2:21">
      <c r="O32" s="483" t="s">
        <v>0</v>
      </c>
    </row>
    <row r="33" spans="2:2">
      <c r="B33" s="483" t="s">
        <v>393</v>
      </c>
    </row>
    <row r="34" spans="2:2">
      <c r="B34" s="576" t="s">
        <v>454</v>
      </c>
    </row>
    <row r="35" spans="2:2">
      <c r="B35" s="576"/>
    </row>
    <row r="36" spans="2:2">
      <c r="B36" s="522"/>
    </row>
    <row r="37" spans="2:2">
      <c r="B37" s="522"/>
    </row>
    <row r="38" spans="2:2">
      <c r="B38" s="522"/>
    </row>
    <row r="39" spans="2:2">
      <c r="B39" s="522"/>
    </row>
    <row r="40" spans="2:2">
      <c r="B40" s="522"/>
    </row>
    <row r="41" spans="2:2">
      <c r="B41" s="522"/>
    </row>
    <row r="42" spans="2:2">
      <c r="B42" s="522"/>
    </row>
    <row r="43" spans="2:2">
      <c r="B43" s="522"/>
    </row>
    <row r="44" spans="2:2">
      <c r="B44" s="522"/>
    </row>
    <row r="45" spans="2:2">
      <c r="B45" s="522"/>
    </row>
    <row r="46" spans="2:2">
      <c r="B46" s="522"/>
    </row>
    <row r="47" spans="2:2">
      <c r="B47" s="522"/>
    </row>
    <row r="49" spans="16:17">
      <c r="P49" s="524"/>
      <c r="Q49" s="524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/>
  <dimension ref="A1:AR1259"/>
  <sheetViews>
    <sheetView view="pageBreakPreview" zoomScale="60" zoomScaleNormal="100" workbookViewId="0">
      <pane ySplit="11" topLeftCell="A1210" activePane="bottomLeft" state="frozen"/>
      <selection activeCell="A1204" activeCellId="1" sqref="A1191 A1204"/>
      <selection pane="bottomLeft" activeCell="O1260" sqref="O1260"/>
    </sheetView>
  </sheetViews>
  <sheetFormatPr defaultColWidth="10.25" defaultRowHeight="15.75"/>
  <cols>
    <col min="1" max="1" width="21.625" style="108" customWidth="1"/>
    <col min="2" max="2" width="15.625" style="108" customWidth="1"/>
    <col min="3" max="3" width="16.625" style="108" customWidth="1"/>
    <col min="4" max="4" width="14.875" style="108" hidden="1" customWidth="1"/>
    <col min="5" max="5" width="2.125" style="108" hidden="1" customWidth="1"/>
    <col min="6" max="6" width="16.875" style="108" hidden="1" customWidth="1"/>
    <col min="7" max="7" width="14.875" style="108" customWidth="1"/>
    <col min="8" max="8" width="2.625" style="108" customWidth="1"/>
    <col min="9" max="9" width="16.875" style="108" customWidth="1"/>
    <col min="10" max="10" width="12.625" style="108" customWidth="1"/>
    <col min="11" max="11" width="2.125" style="108" bestFit="1" customWidth="1"/>
    <col min="12" max="12" width="17.875" style="108" customWidth="1"/>
    <col min="13" max="13" width="1.25" style="108" customWidth="1"/>
    <col min="14" max="14" width="16.375" style="108" hidden="1" customWidth="1"/>
    <col min="15" max="15" width="13.625" style="108" customWidth="1"/>
    <col min="16" max="16" width="15.125" style="113" bestFit="1" customWidth="1"/>
    <col min="17" max="17" width="10.5" style="113" bestFit="1" customWidth="1"/>
    <col min="18" max="18" width="8.125" style="113" bestFit="1" customWidth="1"/>
    <col min="19" max="19" width="13" style="108" customWidth="1"/>
    <col min="20" max="20" width="17" style="108" customWidth="1"/>
    <col min="21" max="21" width="13" style="108" customWidth="1"/>
    <col min="22" max="22" width="14.125" style="108" bestFit="1" customWidth="1"/>
    <col min="23" max="23" width="14.75" style="108" customWidth="1"/>
    <col min="24" max="24" width="13.25" style="108" bestFit="1" customWidth="1"/>
    <col min="25" max="25" width="13" style="108" bestFit="1" customWidth="1"/>
    <col min="26" max="26" width="12.25" style="108" bestFit="1" customWidth="1"/>
    <col min="27" max="27" width="5.5" style="108" bestFit="1" customWidth="1"/>
    <col min="28" max="28" width="18" style="108" customWidth="1"/>
    <col min="29" max="29" width="10.25" style="108" customWidth="1"/>
    <col min="30" max="30" width="12.125" style="108" customWidth="1"/>
    <col min="31" max="16384" width="10.25" style="108"/>
  </cols>
  <sheetData>
    <row r="1" spans="1:37" ht="18">
      <c r="A1" s="105" t="s">
        <v>0</v>
      </c>
      <c r="B1" s="106"/>
      <c r="C1" s="106"/>
      <c r="D1" s="107"/>
      <c r="E1" s="107"/>
      <c r="F1" s="106"/>
      <c r="G1" s="107"/>
      <c r="H1" s="107"/>
      <c r="I1" s="106"/>
      <c r="J1" s="107"/>
      <c r="K1" s="106"/>
      <c r="L1" s="106"/>
      <c r="N1" s="54"/>
      <c r="O1" s="54"/>
      <c r="P1" s="109"/>
      <c r="Q1" s="109"/>
      <c r="R1" s="109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7" ht="18">
      <c r="A2" s="623" t="s">
        <v>2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N2" s="54"/>
      <c r="O2" s="54"/>
      <c r="P2" s="109"/>
      <c r="Q2" s="109"/>
      <c r="R2" s="109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</row>
    <row r="3" spans="1:37" ht="18">
      <c r="A3" s="623" t="s">
        <v>80</v>
      </c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623"/>
      <c r="N3" s="54"/>
      <c r="O3" s="54"/>
      <c r="P3" s="109"/>
      <c r="Q3" s="109"/>
      <c r="R3" s="109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</row>
    <row r="4" spans="1:37">
      <c r="A4" s="624" t="s">
        <v>6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N4" s="54"/>
      <c r="O4" s="54"/>
      <c r="P4" s="109"/>
      <c r="Q4" s="109"/>
      <c r="R4" s="109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</row>
    <row r="5" spans="1:37">
      <c r="A5" s="625" t="s">
        <v>81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N5" s="54"/>
      <c r="O5" s="54"/>
      <c r="P5" s="109"/>
      <c r="Q5" s="109"/>
      <c r="R5" s="109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6" spans="1:37">
      <c r="A6" s="110"/>
      <c r="B6" s="111"/>
      <c r="C6" s="111"/>
      <c r="D6" s="112"/>
      <c r="E6" s="112"/>
      <c r="F6" s="111"/>
      <c r="G6" s="112"/>
      <c r="H6" s="112"/>
      <c r="I6" s="111"/>
      <c r="J6" s="112"/>
      <c r="K6" s="111"/>
      <c r="L6" s="111"/>
      <c r="N6" s="54"/>
      <c r="O6" s="54"/>
      <c r="P6" s="109"/>
      <c r="Q6" s="109"/>
      <c r="R6" s="109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</row>
    <row r="7" spans="1:37" hidden="1">
      <c r="A7" s="110"/>
      <c r="B7" s="111"/>
      <c r="C7" s="111"/>
      <c r="D7" s="112"/>
      <c r="E7" s="112"/>
      <c r="F7" s="111"/>
      <c r="G7" s="112"/>
      <c r="H7" s="112"/>
      <c r="I7" s="111"/>
      <c r="J7" s="112"/>
      <c r="K7" s="111"/>
      <c r="L7" s="111"/>
      <c r="N7" s="54"/>
      <c r="O7" s="54"/>
      <c r="P7" s="109"/>
      <c r="Q7" s="109"/>
      <c r="R7" s="109"/>
      <c r="S7" s="109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</row>
    <row r="8" spans="1:37" hidden="1">
      <c r="A8" s="111"/>
      <c r="B8" s="111"/>
      <c r="C8" s="111"/>
      <c r="D8" s="112"/>
      <c r="E8" s="112"/>
      <c r="F8" s="111"/>
      <c r="G8" s="112"/>
      <c r="H8" s="112"/>
      <c r="I8" s="111"/>
      <c r="J8" s="112"/>
      <c r="K8" s="111"/>
      <c r="L8" s="111"/>
      <c r="N8" s="54"/>
      <c r="O8" s="54"/>
      <c r="P8" s="109"/>
      <c r="Q8" s="109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</row>
    <row r="9" spans="1:37">
      <c r="A9" s="114"/>
      <c r="B9" s="114"/>
      <c r="C9" s="115"/>
      <c r="D9" s="116"/>
      <c r="E9" s="116"/>
      <c r="F9" s="117" t="s">
        <v>82</v>
      </c>
      <c r="G9" s="116"/>
      <c r="H9" s="116"/>
      <c r="I9" s="118" t="s">
        <v>9</v>
      </c>
      <c r="J9" s="116"/>
      <c r="K9" s="117"/>
      <c r="L9" s="117"/>
      <c r="N9" s="54"/>
      <c r="O9" s="54"/>
      <c r="P9" s="109"/>
      <c r="Q9" s="109"/>
      <c r="R9" s="109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1:37">
      <c r="A10" s="114"/>
      <c r="B10" s="114"/>
      <c r="C10" s="115" t="s">
        <v>83</v>
      </c>
      <c r="D10" s="117" t="s">
        <v>84</v>
      </c>
      <c r="E10" s="116"/>
      <c r="F10" s="119" t="s">
        <v>85</v>
      </c>
      <c r="G10" s="117" t="s">
        <v>9</v>
      </c>
      <c r="H10" s="117"/>
      <c r="I10" s="118" t="s">
        <v>85</v>
      </c>
      <c r="J10" s="117" t="s">
        <v>12</v>
      </c>
      <c r="K10" s="115"/>
      <c r="L10" s="117" t="s">
        <v>12</v>
      </c>
      <c r="N10" s="54"/>
      <c r="O10" s="54"/>
      <c r="P10" s="109"/>
      <c r="Q10" s="109"/>
      <c r="R10" s="109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7">
      <c r="A11" s="114"/>
      <c r="B11" s="114"/>
      <c r="C11" s="120" t="s">
        <v>8</v>
      </c>
      <c r="D11" s="121" t="s">
        <v>86</v>
      </c>
      <c r="E11" s="122"/>
      <c r="F11" s="121" t="s">
        <v>8</v>
      </c>
      <c r="G11" s="121" t="s">
        <v>86</v>
      </c>
      <c r="H11" s="119"/>
      <c r="I11" s="117" t="s">
        <v>8</v>
      </c>
      <c r="J11" s="121" t="s">
        <v>86</v>
      </c>
      <c r="K11" s="121"/>
      <c r="L11" s="121" t="s">
        <v>85</v>
      </c>
      <c r="N11" s="119"/>
      <c r="O11" s="54"/>
      <c r="P11" s="109"/>
      <c r="Q11" s="109"/>
      <c r="R11" s="109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</row>
    <row r="12" spans="1:37">
      <c r="A12" s="134" t="s">
        <v>87</v>
      </c>
      <c r="F12" s="124"/>
      <c r="I12" s="124"/>
      <c r="N12" s="54"/>
      <c r="O12" s="54"/>
      <c r="P12" s="109"/>
      <c r="Q12" s="109"/>
      <c r="R12" s="109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</row>
    <row r="13" spans="1:37">
      <c r="A13" s="108" t="s">
        <v>88</v>
      </c>
      <c r="F13" s="124"/>
      <c r="I13" s="124"/>
      <c r="N13" s="54"/>
      <c r="O13" s="54"/>
      <c r="P13" s="109"/>
      <c r="Q13" s="109"/>
      <c r="R13" s="109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</row>
    <row r="14" spans="1:37">
      <c r="F14" s="124"/>
      <c r="I14" s="124"/>
      <c r="N14" s="54"/>
      <c r="O14" s="54"/>
      <c r="P14" s="109"/>
      <c r="Q14" s="109"/>
      <c r="R14" s="109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</row>
    <row r="15" spans="1:37">
      <c r="A15" s="108" t="s">
        <v>89</v>
      </c>
      <c r="F15" s="124"/>
      <c r="I15" s="124"/>
      <c r="N15" s="54"/>
      <c r="O15" s="54"/>
      <c r="P15" s="109"/>
      <c r="Q15" s="109"/>
      <c r="R15" s="109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</row>
    <row r="16" spans="1:37">
      <c r="A16" s="108" t="s">
        <v>90</v>
      </c>
      <c r="C16" s="125">
        <f>C34+C52+C70</f>
        <v>28072</v>
      </c>
      <c r="D16" s="126">
        <v>10.119999999999999</v>
      </c>
      <c r="F16" s="127">
        <f>F34+F52+F70</f>
        <v>284088</v>
      </c>
      <c r="G16" s="126">
        <v>10.63</v>
      </c>
      <c r="I16" s="127">
        <f>I34+I52+I70</f>
        <v>298405.36000000004</v>
      </c>
      <c r="J16" s="126">
        <f>ROUND((G16+G16*$Q$28)*(1+$Q$29),2)</f>
        <v>9.2899999999999991</v>
      </c>
      <c r="L16" s="127">
        <f>L34+L52+L70</f>
        <v>260788</v>
      </c>
      <c r="N16" s="128" t="e">
        <f>J16*#REF!</f>
        <v>#REF!</v>
      </c>
      <c r="P16" s="93" t="s">
        <v>0</v>
      </c>
      <c r="Q16" s="129"/>
      <c r="R16" s="129"/>
      <c r="S16" s="129"/>
      <c r="T16" s="129"/>
      <c r="U16" s="130"/>
      <c r="V16" s="130"/>
      <c r="W16" s="130"/>
      <c r="X16" s="130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K16" s="128"/>
    </row>
    <row r="17" spans="1:37">
      <c r="A17" s="108" t="s">
        <v>91</v>
      </c>
      <c r="C17" s="125">
        <f>C35+C53+C71</f>
        <v>4572</v>
      </c>
      <c r="D17" s="126">
        <v>19.25</v>
      </c>
      <c r="F17" s="127">
        <f>F35+F53+F71</f>
        <v>88012</v>
      </c>
      <c r="G17" s="126">
        <v>20.23</v>
      </c>
      <c r="I17" s="127">
        <f>I35+I53+I71</f>
        <v>92491.56</v>
      </c>
      <c r="J17" s="126">
        <f>ROUND((G17+G17*$Q$28)*(1+$Q$29),2)-0.01</f>
        <v>17.66</v>
      </c>
      <c r="L17" s="127">
        <f>L35+L53+L71</f>
        <v>80742</v>
      </c>
      <c r="N17" s="128" t="e">
        <f>J17*#REF!</f>
        <v>#REF!</v>
      </c>
      <c r="P17" s="93"/>
      <c r="Q17" s="129"/>
      <c r="R17" s="129"/>
      <c r="S17" s="129"/>
      <c r="T17" s="129"/>
      <c r="U17" s="130"/>
      <c r="V17" s="130"/>
      <c r="W17" s="130"/>
      <c r="X17" s="130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K17" s="128"/>
    </row>
    <row r="18" spans="1:37">
      <c r="A18" s="108" t="s">
        <v>92</v>
      </c>
      <c r="C18" s="125">
        <f>C36+C54+C72</f>
        <v>600</v>
      </c>
      <c r="D18" s="126">
        <v>39.840000000000003</v>
      </c>
      <c r="F18" s="127">
        <f>F36+F54+F72</f>
        <v>23904</v>
      </c>
      <c r="G18" s="126">
        <v>41.86</v>
      </c>
      <c r="I18" s="127">
        <f>I36+I54+I72</f>
        <v>25116</v>
      </c>
      <c r="J18" s="126">
        <f t="shared" ref="J18:J22" si="0">ROUND((G18+G18*$Q$28)*(1+$Q$29),2)</f>
        <v>36.57</v>
      </c>
      <c r="L18" s="127">
        <f>L36+L54+L72</f>
        <v>21942</v>
      </c>
      <c r="N18" s="128" t="e">
        <f>J18*#REF!</f>
        <v>#REF!</v>
      </c>
      <c r="P18" s="93"/>
      <c r="Q18" s="129"/>
      <c r="R18" s="129"/>
      <c r="S18" s="129"/>
      <c r="T18" s="129"/>
      <c r="U18" s="130"/>
      <c r="V18" s="130"/>
      <c r="W18" s="130"/>
      <c r="X18" s="130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K18" s="128"/>
    </row>
    <row r="19" spans="1:37">
      <c r="A19" s="108" t="s">
        <v>93</v>
      </c>
      <c r="C19" s="125"/>
      <c r="D19" s="126"/>
      <c r="F19" s="127"/>
      <c r="G19" s="131"/>
      <c r="I19" s="127"/>
      <c r="J19" s="131"/>
      <c r="L19" s="127"/>
      <c r="N19" s="128"/>
      <c r="P19" s="108"/>
      <c r="Q19" s="129"/>
      <c r="R19" s="129"/>
      <c r="S19" s="129"/>
      <c r="T19" s="129"/>
      <c r="U19" s="132"/>
      <c r="V19" s="132"/>
      <c r="W19" s="132"/>
      <c r="X19" s="132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K19" s="128"/>
    </row>
    <row r="20" spans="1:37">
      <c r="A20" s="108" t="s">
        <v>94</v>
      </c>
      <c r="C20" s="125">
        <f t="shared" ref="C20:C27" si="1">C38+C56+C74</f>
        <v>1930</v>
      </c>
      <c r="D20" s="126">
        <v>11.51</v>
      </c>
      <c r="F20" s="127">
        <f>F38+F56+F74</f>
        <v>22214</v>
      </c>
      <c r="G20" s="126">
        <v>12.09</v>
      </c>
      <c r="I20" s="127">
        <f>I38+I56+I74</f>
        <v>23333.700000000004</v>
      </c>
      <c r="J20" s="126">
        <f>ROUND((G20+G20*$Q$28)*(1+$Q$29),2)-0.01</f>
        <v>10.55</v>
      </c>
      <c r="L20" s="127">
        <f>L38+L56+L74</f>
        <v>20362</v>
      </c>
      <c r="N20" s="128" t="e">
        <f>J20*#REF!</f>
        <v>#REF!</v>
      </c>
      <c r="P20" s="93"/>
      <c r="Q20" s="129"/>
      <c r="R20" s="129"/>
      <c r="S20" s="129"/>
      <c r="T20" s="129"/>
      <c r="U20" s="130"/>
      <c r="V20" s="130"/>
      <c r="W20" s="130"/>
      <c r="X20" s="130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K20" s="128"/>
    </row>
    <row r="21" spans="1:37">
      <c r="A21" s="108" t="s">
        <v>95</v>
      </c>
      <c r="C21" s="125">
        <f t="shared" si="1"/>
        <v>1764</v>
      </c>
      <c r="D21" s="126">
        <v>16.900000000000002</v>
      </c>
      <c r="F21" s="127">
        <f>F39+F57+F75</f>
        <v>29811</v>
      </c>
      <c r="G21" s="126">
        <v>17.760000000000002</v>
      </c>
      <c r="I21" s="127">
        <f>I39+I57+I75</f>
        <v>31328.640000000003</v>
      </c>
      <c r="J21" s="126">
        <f>ROUND((G21+G21*$Q$28)*(1+$Q$29),2)-0.01</f>
        <v>15.5</v>
      </c>
      <c r="L21" s="127">
        <f>L39+L57+L75</f>
        <v>27342</v>
      </c>
      <c r="N21" s="128" t="e">
        <f>J21*#REF!</f>
        <v>#REF!</v>
      </c>
      <c r="P21" s="93"/>
      <c r="Q21" s="129"/>
      <c r="R21" s="129"/>
      <c r="S21" s="129"/>
      <c r="T21" s="129"/>
      <c r="U21" s="130"/>
      <c r="V21" s="130"/>
      <c r="W21" s="130"/>
      <c r="X21" s="130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K21" s="128"/>
    </row>
    <row r="22" spans="1:37">
      <c r="A22" s="108" t="s">
        <v>96</v>
      </c>
      <c r="C22" s="125">
        <f t="shared" si="1"/>
        <v>456</v>
      </c>
      <c r="D22" s="126">
        <v>27.26</v>
      </c>
      <c r="F22" s="127">
        <f>F40+F58+F76</f>
        <v>12430</v>
      </c>
      <c r="G22" s="126">
        <v>28.64</v>
      </c>
      <c r="I22" s="127">
        <f>I40+I58+I76</f>
        <v>13059.840000000002</v>
      </c>
      <c r="J22" s="126">
        <f t="shared" si="0"/>
        <v>25.02</v>
      </c>
      <c r="L22" s="127">
        <f>L40+L58+L76</f>
        <v>11408</v>
      </c>
      <c r="N22" s="128" t="e">
        <f>J22*#REF!</f>
        <v>#REF!</v>
      </c>
      <c r="P22" s="93"/>
      <c r="Q22" s="129"/>
      <c r="R22" s="129"/>
      <c r="S22" s="129"/>
      <c r="T22" s="129"/>
      <c r="U22" s="130"/>
      <c r="V22" s="130"/>
      <c r="W22" s="130"/>
      <c r="X22" s="130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K22" s="128"/>
    </row>
    <row r="23" spans="1:37">
      <c r="A23" s="108" t="s">
        <v>97</v>
      </c>
      <c r="C23" s="125">
        <f t="shared" si="1"/>
        <v>625</v>
      </c>
      <c r="D23" s="133">
        <v>1</v>
      </c>
      <c r="E23" s="54"/>
      <c r="F23" s="127">
        <f>F41+F59+F77</f>
        <v>625</v>
      </c>
      <c r="G23" s="133">
        <v>1</v>
      </c>
      <c r="H23" s="54"/>
      <c r="I23" s="127">
        <f>I41+I59+I77</f>
        <v>625</v>
      </c>
      <c r="J23" s="126">
        <f>G23</f>
        <v>1</v>
      </c>
      <c r="K23" s="54"/>
      <c r="L23" s="127">
        <f>L41+L59+L77</f>
        <v>625</v>
      </c>
      <c r="N23" s="128" t="e">
        <f>J23*#REF!</f>
        <v>#REF!</v>
      </c>
      <c r="P23" s="93"/>
      <c r="Q23" s="134" t="s">
        <v>0</v>
      </c>
      <c r="R23" s="108"/>
      <c r="S23" s="129"/>
      <c r="T23" s="129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K23" s="128"/>
    </row>
    <row r="24" spans="1:37">
      <c r="A24" s="134" t="s">
        <v>98</v>
      </c>
      <c r="C24" s="125">
        <f t="shared" si="1"/>
        <v>3455498</v>
      </c>
      <c r="D24" s="133"/>
      <c r="E24" s="54"/>
      <c r="F24" s="127"/>
      <c r="G24" s="133"/>
      <c r="H24" s="54"/>
      <c r="I24" s="127"/>
      <c r="J24" s="135">
        <f>ROUND(O24/C24*100,3)</f>
        <v>2.246</v>
      </c>
      <c r="K24" s="136" t="s">
        <v>99</v>
      </c>
      <c r="L24" s="127">
        <f>L42+L60+L78</f>
        <v>77610.485080000013</v>
      </c>
      <c r="N24" s="128"/>
      <c r="O24" s="128">
        <v>77617.060547831468</v>
      </c>
      <c r="P24" s="93" t="s">
        <v>18</v>
      </c>
      <c r="Q24" s="108"/>
      <c r="R24" s="108"/>
      <c r="S24" s="129"/>
      <c r="T24" s="129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K24" s="128"/>
    </row>
    <row r="25" spans="1:37">
      <c r="A25" s="108" t="s">
        <v>100</v>
      </c>
      <c r="C25" s="125">
        <f t="shared" si="1"/>
        <v>31190</v>
      </c>
      <c r="D25" s="126"/>
      <c r="F25" s="127"/>
      <c r="G25" s="126"/>
      <c r="I25" s="127"/>
      <c r="J25" s="126"/>
      <c r="L25" s="127"/>
      <c r="N25" s="128"/>
      <c r="P25" s="128"/>
      <c r="Q25" s="108"/>
      <c r="R25" s="108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K25" s="128"/>
    </row>
    <row r="26" spans="1:37">
      <c r="A26" s="108" t="s">
        <v>101</v>
      </c>
      <c r="C26" s="125">
        <f t="shared" si="1"/>
        <v>3455498</v>
      </c>
      <c r="D26" s="133"/>
      <c r="E26" s="54"/>
      <c r="F26" s="127">
        <f>F44+F62+F80</f>
        <v>461084</v>
      </c>
      <c r="G26" s="133"/>
      <c r="H26" s="54"/>
      <c r="I26" s="127">
        <f>I44+I62+I80</f>
        <v>484360.10000000003</v>
      </c>
      <c r="J26" s="133"/>
      <c r="K26" s="54"/>
      <c r="L26" s="137">
        <f>L44+L62+L80</f>
        <v>500819.48507999995</v>
      </c>
      <c r="N26" s="128" t="e">
        <f>SUM(N16:N25)</f>
        <v>#REF!</v>
      </c>
      <c r="P26" s="138"/>
      <c r="Q26" s="108"/>
      <c r="R26" s="108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K26" s="128"/>
    </row>
    <row r="27" spans="1:37">
      <c r="A27" s="108" t="s">
        <v>102</v>
      </c>
      <c r="C27" s="125">
        <f t="shared" si="1"/>
        <v>-3768.1420658745119</v>
      </c>
      <c r="D27" s="133"/>
      <c r="E27" s="54"/>
      <c r="F27" s="139" t="e">
        <f>F45+F63+F81</f>
        <v>#REF!</v>
      </c>
      <c r="G27" s="133"/>
      <c r="H27" s="54"/>
      <c r="I27" s="139">
        <f>I45+I63+I81</f>
        <v>-572.02550248989303</v>
      </c>
      <c r="J27" s="133"/>
      <c r="K27" s="54"/>
      <c r="L27" s="139">
        <f>I27</f>
        <v>-572.02550248989303</v>
      </c>
      <c r="Q27" s="140" t="s">
        <v>0</v>
      </c>
      <c r="R27" s="140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K27" s="128"/>
    </row>
    <row r="28" spans="1:37" ht="16.5" thickBot="1">
      <c r="A28" s="108" t="s">
        <v>103</v>
      </c>
      <c r="C28" s="141">
        <f>C26+C27</f>
        <v>3451729.8579341257</v>
      </c>
      <c r="D28" s="142"/>
      <c r="E28" s="142"/>
      <c r="F28" s="142" t="e">
        <f>F26+F27</f>
        <v>#REF!</v>
      </c>
      <c r="G28" s="143"/>
      <c r="H28" s="142"/>
      <c r="I28" s="142">
        <f>I26+I27</f>
        <v>483788.07449751016</v>
      </c>
      <c r="J28" s="143"/>
      <c r="K28" s="142"/>
      <c r="L28" s="142">
        <f>L26+L27</f>
        <v>500247.45957751008</v>
      </c>
      <c r="O28" s="144" t="s">
        <v>104</v>
      </c>
      <c r="P28" s="145">
        <v>500246.54479191545</v>
      </c>
      <c r="Q28" s="146">
        <v>3.4020000000000002E-2</v>
      </c>
      <c r="R28" s="147"/>
      <c r="S28" s="64"/>
      <c r="T28" s="6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K28" s="128"/>
    </row>
    <row r="29" spans="1:37" ht="16.5" thickTop="1">
      <c r="C29" s="148"/>
      <c r="D29" s="148"/>
      <c r="E29" s="148"/>
      <c r="F29" s="124"/>
      <c r="G29" s="149" t="s">
        <v>0</v>
      </c>
      <c r="H29" s="148"/>
      <c r="I29" s="124"/>
      <c r="J29" s="136" t="s">
        <v>0</v>
      </c>
      <c r="K29" s="148"/>
      <c r="L29" s="127" t="s">
        <v>0</v>
      </c>
      <c r="O29" s="150" t="s">
        <v>105</v>
      </c>
      <c r="P29" s="151">
        <f>P28-L28</f>
        <v>-0.91478559462120757</v>
      </c>
      <c r="Q29" s="152">
        <v>-0.1552</v>
      </c>
      <c r="R29" s="100"/>
      <c r="S29" s="64"/>
      <c r="T29" s="6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K29" s="128"/>
    </row>
    <row r="30" spans="1:37" hidden="1">
      <c r="A30" s="123" t="s">
        <v>87</v>
      </c>
      <c r="F30" s="124"/>
      <c r="I30" s="124"/>
      <c r="P30" s="153" t="s">
        <v>0</v>
      </c>
      <c r="Q30" s="108"/>
      <c r="R30" s="108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K30" s="128"/>
    </row>
    <row r="31" spans="1:37" hidden="1">
      <c r="A31" s="108" t="s">
        <v>106</v>
      </c>
      <c r="F31" s="124"/>
      <c r="I31" s="12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54"/>
      <c r="AF31" s="54"/>
      <c r="AG31" s="54"/>
      <c r="AH31" s="54"/>
      <c r="AI31" s="54"/>
      <c r="AK31" s="128"/>
    </row>
    <row r="32" spans="1:37" hidden="1">
      <c r="D32" s="125"/>
      <c r="F32" s="124"/>
      <c r="I32" s="12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54"/>
      <c r="AF32" s="54"/>
      <c r="AG32" s="54"/>
      <c r="AH32" s="54"/>
      <c r="AI32" s="54"/>
      <c r="AK32" s="128"/>
    </row>
    <row r="33" spans="1:37" hidden="1">
      <c r="A33" s="108" t="s">
        <v>89</v>
      </c>
      <c r="F33" s="124"/>
      <c r="I33" s="124"/>
      <c r="N33" s="154"/>
      <c r="O33" s="154"/>
      <c r="P33" s="154"/>
      <c r="Q33" s="109"/>
      <c r="R33" s="109"/>
      <c r="S33" s="155"/>
      <c r="T33" s="155"/>
      <c r="U33" s="156"/>
      <c r="V33" s="156"/>
      <c r="W33" s="156"/>
      <c r="X33" s="156"/>
      <c r="Y33" s="157"/>
      <c r="Z33" s="158"/>
      <c r="AA33" s="154"/>
      <c r="AB33" s="154"/>
      <c r="AC33" s="154"/>
      <c r="AD33" s="154"/>
      <c r="AE33" s="54"/>
      <c r="AF33" s="54"/>
      <c r="AG33" s="54"/>
      <c r="AH33" s="54"/>
      <c r="AI33" s="54"/>
      <c r="AK33" s="128"/>
    </row>
    <row r="34" spans="1:37" hidden="1">
      <c r="A34" s="108" t="s">
        <v>90</v>
      </c>
      <c r="C34" s="125">
        <f>12787+107</f>
        <v>12894</v>
      </c>
      <c r="D34" s="126">
        <v>10.119999999999999</v>
      </c>
      <c r="F34" s="127">
        <f>ROUND(D34*$C34,0)</f>
        <v>130487</v>
      </c>
      <c r="G34" s="126">
        <v>10.63</v>
      </c>
      <c r="I34" s="127">
        <f>G34*C34</f>
        <v>137063.22</v>
      </c>
      <c r="J34" s="126">
        <f>$J$16</f>
        <v>9.2899999999999991</v>
      </c>
      <c r="L34" s="127">
        <f>ROUND(J34*$C34,0)</f>
        <v>119785</v>
      </c>
      <c r="N34" s="54"/>
      <c r="O34" s="54"/>
      <c r="P34" s="157"/>
      <c r="Q34" s="109"/>
      <c r="R34" s="109"/>
      <c r="S34" s="154"/>
      <c r="T34" s="154"/>
      <c r="U34" s="159"/>
      <c r="V34" s="159"/>
      <c r="W34" s="159"/>
      <c r="X34" s="159"/>
      <c r="Y34" s="160"/>
      <c r="Z34" s="154"/>
      <c r="AA34" s="157"/>
      <c r="AB34" s="157"/>
      <c r="AC34" s="161"/>
      <c r="AD34" s="157"/>
      <c r="AE34" s="54"/>
      <c r="AF34" s="54"/>
      <c r="AG34" s="54"/>
      <c r="AH34" s="54"/>
      <c r="AI34" s="54"/>
      <c r="AK34" s="128"/>
    </row>
    <row r="35" spans="1:37" hidden="1">
      <c r="A35" s="108" t="s">
        <v>91</v>
      </c>
      <c r="C35" s="125">
        <f>264+12</f>
        <v>276</v>
      </c>
      <c r="D35" s="126">
        <v>19.25</v>
      </c>
      <c r="F35" s="127">
        <f>ROUND(D35*$C35,0)</f>
        <v>5313</v>
      </c>
      <c r="G35" s="126">
        <v>20.23</v>
      </c>
      <c r="I35" s="127">
        <f t="shared" ref="I35:I36" si="2">G35*C35</f>
        <v>5583.4800000000005</v>
      </c>
      <c r="J35" s="126">
        <f>$J$17</f>
        <v>17.66</v>
      </c>
      <c r="L35" s="127">
        <f>ROUND(J35*$C35,0)</f>
        <v>4874</v>
      </c>
      <c r="N35" s="54"/>
      <c r="O35" s="54"/>
      <c r="P35" s="157"/>
      <c r="Q35" s="109"/>
      <c r="R35" s="109"/>
      <c r="S35" s="54"/>
      <c r="T35" s="54"/>
      <c r="U35" s="162"/>
      <c r="V35" s="162"/>
      <c r="W35" s="162"/>
      <c r="X35" s="162"/>
      <c r="Y35" s="154"/>
      <c r="Z35" s="154"/>
      <c r="AA35" s="157"/>
      <c r="AB35" s="157"/>
      <c r="AC35" s="161"/>
      <c r="AD35" s="157"/>
      <c r="AE35" s="54"/>
      <c r="AF35" s="54"/>
      <c r="AG35" s="54"/>
      <c r="AH35" s="54"/>
      <c r="AI35" s="54"/>
      <c r="AK35" s="128"/>
    </row>
    <row r="36" spans="1:37" hidden="1">
      <c r="A36" s="108" t="s">
        <v>92</v>
      </c>
      <c r="C36" s="125">
        <v>2</v>
      </c>
      <c r="D36" s="126">
        <v>39.840000000000003</v>
      </c>
      <c r="F36" s="127">
        <f>ROUND(D36*$C36,0)</f>
        <v>80</v>
      </c>
      <c r="G36" s="126">
        <v>41.86</v>
      </c>
      <c r="I36" s="127">
        <f t="shared" si="2"/>
        <v>83.72</v>
      </c>
      <c r="J36" s="126">
        <f>$J$18</f>
        <v>36.57</v>
      </c>
      <c r="L36" s="127">
        <f>ROUND(J36*$C36,0)</f>
        <v>73</v>
      </c>
      <c r="N36" s="54"/>
      <c r="O36" s="54"/>
      <c r="P36" s="157"/>
      <c r="Q36" s="109"/>
      <c r="R36" s="109"/>
      <c r="S36" s="54"/>
      <c r="T36" s="54"/>
      <c r="U36" s="162"/>
      <c r="V36" s="162"/>
      <c r="W36" s="162"/>
      <c r="X36" s="162"/>
      <c r="Y36" s="154"/>
      <c r="Z36" s="154"/>
      <c r="AA36" s="157"/>
      <c r="AB36" s="157"/>
      <c r="AC36" s="161"/>
      <c r="AD36" s="157"/>
      <c r="AE36" s="54"/>
      <c r="AF36" s="54"/>
      <c r="AG36" s="54"/>
      <c r="AH36" s="54"/>
      <c r="AI36" s="54"/>
      <c r="AK36" s="128"/>
    </row>
    <row r="37" spans="1:37" hidden="1">
      <c r="A37" s="108" t="s">
        <v>93</v>
      </c>
      <c r="C37" s="125"/>
      <c r="D37" s="126"/>
      <c r="F37" s="127"/>
      <c r="G37" s="126"/>
      <c r="I37" s="127"/>
      <c r="J37" s="126"/>
      <c r="L37" s="127"/>
      <c r="N37" s="54"/>
      <c r="O37" s="54"/>
      <c r="P37" s="157"/>
      <c r="Q37" s="109"/>
      <c r="R37" s="109"/>
      <c r="S37" s="54"/>
      <c r="T37" s="54"/>
      <c r="U37" s="162"/>
      <c r="V37" s="162"/>
      <c r="W37" s="162"/>
      <c r="X37" s="162"/>
      <c r="Y37" s="154"/>
      <c r="Z37" s="154"/>
      <c r="AA37" s="157"/>
      <c r="AB37" s="157"/>
      <c r="AC37" s="161"/>
      <c r="AD37" s="157"/>
      <c r="AE37" s="54"/>
      <c r="AF37" s="54"/>
      <c r="AG37" s="54"/>
      <c r="AH37" s="54"/>
      <c r="AI37" s="54"/>
      <c r="AK37" s="128"/>
    </row>
    <row r="38" spans="1:37" hidden="1">
      <c r="A38" s="108" t="s">
        <v>94</v>
      </c>
      <c r="C38" s="125">
        <f>814</f>
        <v>814</v>
      </c>
      <c r="D38" s="126">
        <v>11.51</v>
      </c>
      <c r="F38" s="127">
        <f>ROUND(D38*$C38,0)</f>
        <v>9369</v>
      </c>
      <c r="G38" s="126">
        <v>12.09</v>
      </c>
      <c r="I38" s="127">
        <f t="shared" ref="I38:I41" si="3">G38*C38</f>
        <v>9841.26</v>
      </c>
      <c r="J38" s="126">
        <f>$J$20</f>
        <v>10.55</v>
      </c>
      <c r="L38" s="127">
        <f>ROUND(J38*$C38,0)</f>
        <v>8588</v>
      </c>
      <c r="N38" s="54"/>
      <c r="O38" s="54"/>
      <c r="P38" s="157"/>
      <c r="Q38" s="109"/>
      <c r="R38" s="109"/>
      <c r="S38" s="54"/>
      <c r="T38" s="54"/>
      <c r="U38" s="162"/>
      <c r="V38" s="162"/>
      <c r="W38" s="162"/>
      <c r="X38" s="162"/>
      <c r="Y38" s="154"/>
      <c r="Z38" s="154"/>
      <c r="AA38" s="157"/>
      <c r="AB38" s="157"/>
      <c r="AC38" s="161"/>
      <c r="AD38" s="157"/>
      <c r="AE38" s="54"/>
      <c r="AF38" s="54"/>
      <c r="AG38" s="54"/>
      <c r="AH38" s="54"/>
      <c r="AI38" s="54"/>
      <c r="AK38" s="128"/>
    </row>
    <row r="39" spans="1:37" hidden="1">
      <c r="A39" s="108" t="s">
        <v>95</v>
      </c>
      <c r="C39" s="125">
        <f>216</f>
        <v>216</v>
      </c>
      <c r="D39" s="126">
        <v>16.900000000000002</v>
      </c>
      <c r="F39" s="127">
        <f>ROUND(D39*$C39,0)</f>
        <v>3650</v>
      </c>
      <c r="G39" s="126">
        <v>17.760000000000002</v>
      </c>
      <c r="I39" s="127">
        <f t="shared" si="3"/>
        <v>3836.1600000000003</v>
      </c>
      <c r="J39" s="126">
        <f>$J$21</f>
        <v>15.5</v>
      </c>
      <c r="L39" s="127">
        <f>ROUND(J39*$C39,0)</f>
        <v>3348</v>
      </c>
      <c r="N39" s="54"/>
      <c r="O39" s="54"/>
      <c r="P39" s="157"/>
      <c r="Q39" s="109"/>
      <c r="R39" s="109"/>
      <c r="S39" s="54"/>
      <c r="T39" s="54"/>
      <c r="U39" s="162"/>
      <c r="V39" s="162"/>
      <c r="W39" s="162"/>
      <c r="X39" s="162"/>
      <c r="Y39" s="154"/>
      <c r="Z39" s="154"/>
      <c r="AA39" s="157"/>
      <c r="AB39" s="157"/>
      <c r="AC39" s="161"/>
      <c r="AD39" s="157"/>
      <c r="AE39" s="54"/>
      <c r="AF39" s="54"/>
      <c r="AG39" s="54"/>
      <c r="AH39" s="54"/>
      <c r="AI39" s="54"/>
      <c r="AK39" s="128"/>
    </row>
    <row r="40" spans="1:37" hidden="1">
      <c r="A40" s="108" t="s">
        <v>96</v>
      </c>
      <c r="C40" s="125">
        <f>12</f>
        <v>12</v>
      </c>
      <c r="D40" s="126">
        <v>27.26</v>
      </c>
      <c r="F40" s="127">
        <f>ROUND(D40*$C40,0)</f>
        <v>327</v>
      </c>
      <c r="G40" s="126">
        <v>28.64</v>
      </c>
      <c r="I40" s="127">
        <f t="shared" si="3"/>
        <v>343.68</v>
      </c>
      <c r="J40" s="126">
        <f>$J$22</f>
        <v>25.02</v>
      </c>
      <c r="L40" s="127">
        <f>ROUND(J40*$C40,0)</f>
        <v>300</v>
      </c>
      <c r="N40" s="54"/>
      <c r="O40" s="54"/>
      <c r="P40" s="157"/>
      <c r="Q40" s="109"/>
      <c r="R40" s="109"/>
      <c r="S40" s="54"/>
      <c r="T40" s="54"/>
      <c r="U40" s="162"/>
      <c r="V40" s="162"/>
      <c r="W40" s="162"/>
      <c r="X40" s="162"/>
      <c r="Y40" s="154"/>
      <c r="Z40" s="154"/>
      <c r="AA40" s="157"/>
      <c r="AB40" s="157"/>
      <c r="AC40" s="161"/>
      <c r="AD40" s="157"/>
      <c r="AE40" s="54"/>
      <c r="AF40" s="54"/>
      <c r="AG40" s="54"/>
      <c r="AH40" s="54"/>
      <c r="AI40" s="54"/>
      <c r="AK40" s="128"/>
    </row>
    <row r="41" spans="1:37" hidden="1">
      <c r="A41" s="108" t="s">
        <v>97</v>
      </c>
      <c r="C41" s="125">
        <f>107+12+2</f>
        <v>121</v>
      </c>
      <c r="D41" s="126">
        <v>1</v>
      </c>
      <c r="E41" s="54"/>
      <c r="F41" s="139">
        <f>ROUND(D41*$C41,0)</f>
        <v>121</v>
      </c>
      <c r="G41" s="126">
        <v>1</v>
      </c>
      <c r="H41" s="54"/>
      <c r="I41" s="127">
        <f t="shared" si="3"/>
        <v>121</v>
      </c>
      <c r="J41" s="133">
        <f>$J$23</f>
        <v>1</v>
      </c>
      <c r="K41" s="54"/>
      <c r="L41" s="139">
        <f>ROUND(J41*$C41,0)</f>
        <v>121</v>
      </c>
      <c r="N41" s="154"/>
      <c r="O41" s="154"/>
      <c r="P41" s="157"/>
      <c r="Q41" s="109"/>
      <c r="R41" s="109"/>
      <c r="S41" s="54"/>
      <c r="T41" s="54"/>
      <c r="U41" s="154"/>
      <c r="V41" s="154"/>
      <c r="W41" s="154"/>
      <c r="X41" s="154"/>
      <c r="Y41" s="154"/>
      <c r="Z41" s="154"/>
      <c r="AA41" s="157"/>
      <c r="AB41" s="157"/>
      <c r="AC41" s="157"/>
      <c r="AD41" s="157"/>
      <c r="AE41" s="54"/>
      <c r="AF41" s="54"/>
      <c r="AG41" s="54"/>
      <c r="AH41" s="54"/>
      <c r="AI41" s="54"/>
      <c r="AK41" s="128"/>
    </row>
    <row r="42" spans="1:37" hidden="1">
      <c r="A42" s="134" t="s">
        <v>98</v>
      </c>
      <c r="C42" s="125">
        <f>C44</f>
        <v>1072028</v>
      </c>
      <c r="D42" s="133"/>
      <c r="E42" s="54"/>
      <c r="F42" s="127"/>
      <c r="G42" s="133"/>
      <c r="H42" s="54"/>
      <c r="I42" s="127"/>
      <c r="J42" s="135">
        <f>J24</f>
        <v>2.246</v>
      </c>
      <c r="K42" s="136" t="s">
        <v>99</v>
      </c>
      <c r="L42" s="127">
        <f>J42*C42/100</f>
        <v>24077.748879999999</v>
      </c>
      <c r="N42" s="128"/>
      <c r="P42" s="93"/>
      <c r="Q42" s="108"/>
      <c r="R42" s="108"/>
      <c r="S42" s="129"/>
      <c r="T42" s="129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K42" s="128"/>
    </row>
    <row r="43" spans="1:37" hidden="1">
      <c r="A43" s="108" t="s">
        <v>100</v>
      </c>
      <c r="C43" s="125">
        <f>13970</f>
        <v>13970</v>
      </c>
      <c r="D43" s="126"/>
      <c r="F43" s="127"/>
      <c r="G43" s="126"/>
      <c r="I43" s="127"/>
      <c r="J43" s="126"/>
      <c r="L43" s="127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63"/>
      <c r="AB43" s="154"/>
      <c r="AC43" s="154"/>
      <c r="AD43" s="154"/>
      <c r="AE43" s="54"/>
      <c r="AF43" s="54"/>
      <c r="AG43" s="54"/>
      <c r="AH43" s="54"/>
      <c r="AI43" s="54"/>
      <c r="AK43" s="128"/>
    </row>
    <row r="44" spans="1:37" hidden="1">
      <c r="A44" s="108" t="s">
        <v>101</v>
      </c>
      <c r="C44" s="125">
        <f>1072028</f>
        <v>1072028</v>
      </c>
      <c r="D44" s="133"/>
      <c r="E44" s="54"/>
      <c r="F44" s="139">
        <f>SUM(F34:F41)</f>
        <v>149347</v>
      </c>
      <c r="G44" s="133"/>
      <c r="H44" s="54"/>
      <c r="I44" s="139">
        <f>SUM(I34:I41)</f>
        <v>156872.52000000002</v>
      </c>
      <c r="J44" s="133"/>
      <c r="K44" s="54"/>
      <c r="L44" s="139">
        <f>SUM(L34:L42)</f>
        <v>161166.74888</v>
      </c>
      <c r="N44" s="154"/>
      <c r="O44" s="154"/>
      <c r="P44" s="162"/>
      <c r="Q44" s="154"/>
      <c r="R44" s="154"/>
      <c r="S44" s="54"/>
      <c r="T44" s="54"/>
      <c r="U44" s="54"/>
      <c r="V44" s="54"/>
      <c r="W44" s="54"/>
      <c r="X44" s="54"/>
      <c r="Y44" s="54"/>
      <c r="Z44" s="154"/>
      <c r="AA44" s="154"/>
      <c r="AB44" s="154"/>
      <c r="AC44" s="154"/>
      <c r="AD44" s="154"/>
      <c r="AE44" s="54"/>
      <c r="AF44" s="54"/>
      <c r="AG44" s="54"/>
      <c r="AH44" s="54"/>
      <c r="AI44" s="54"/>
      <c r="AK44" s="128"/>
    </row>
    <row r="45" spans="1:37" hidden="1">
      <c r="A45" s="108" t="s">
        <v>102</v>
      </c>
      <c r="C45" s="125">
        <v>-68.662768611323841</v>
      </c>
      <c r="D45" s="133"/>
      <c r="E45" s="54"/>
      <c r="F45" s="139" t="e">
        <f>#REF!</f>
        <v>#REF!</v>
      </c>
      <c r="G45" s="133"/>
      <c r="H45" s="54"/>
      <c r="I45" s="139">
        <v>15.339848949801738</v>
      </c>
      <c r="J45" s="133"/>
      <c r="K45" s="54"/>
      <c r="L45" s="139">
        <f>I45</f>
        <v>15.339848949801738</v>
      </c>
      <c r="N45" s="164"/>
      <c r="O45" s="164"/>
      <c r="P45" s="162"/>
      <c r="Q45" s="154"/>
      <c r="R45" s="154"/>
      <c r="S45" s="154"/>
      <c r="T45" s="154"/>
      <c r="U45" s="159"/>
      <c r="V45" s="159"/>
      <c r="W45" s="159"/>
      <c r="X45" s="159"/>
      <c r="Y45" s="157"/>
      <c r="Z45" s="154"/>
      <c r="AA45" s="154"/>
      <c r="AB45" s="154"/>
      <c r="AC45" s="154"/>
      <c r="AD45" s="154"/>
      <c r="AE45" s="54"/>
      <c r="AF45" s="54"/>
      <c r="AG45" s="54"/>
      <c r="AH45" s="54"/>
      <c r="AI45" s="54"/>
      <c r="AK45" s="128"/>
    </row>
    <row r="46" spans="1:37" ht="16.5" hidden="1" thickBot="1">
      <c r="A46" s="108" t="s">
        <v>103</v>
      </c>
      <c r="C46" s="141">
        <f>C44+C45</f>
        <v>1071959.3372313888</v>
      </c>
      <c r="D46" s="142"/>
      <c r="E46" s="142"/>
      <c r="F46" s="142" t="e">
        <f>F44+F45</f>
        <v>#REF!</v>
      </c>
      <c r="G46" s="143"/>
      <c r="H46" s="142"/>
      <c r="I46" s="142">
        <f>I44+I45</f>
        <v>156887.85984894983</v>
      </c>
      <c r="J46" s="143"/>
      <c r="K46" s="142"/>
      <c r="L46" s="142">
        <f>L44+L45</f>
        <v>161182.08872894981</v>
      </c>
      <c r="N46" s="165"/>
      <c r="O46" s="165"/>
      <c r="P46" s="166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54"/>
      <c r="AF46" s="54"/>
      <c r="AG46" s="54"/>
      <c r="AH46" s="54"/>
      <c r="AI46" s="54"/>
      <c r="AK46" s="128"/>
    </row>
    <row r="47" spans="1:37" hidden="1">
      <c r="C47" s="148"/>
      <c r="D47" s="148"/>
      <c r="E47" s="148"/>
      <c r="F47" s="124"/>
      <c r="G47" s="149" t="s">
        <v>0</v>
      </c>
      <c r="H47" s="148"/>
      <c r="I47" s="124"/>
      <c r="J47" s="136" t="s">
        <v>0</v>
      </c>
      <c r="K47" s="148"/>
      <c r="L47" s="127" t="s">
        <v>0</v>
      </c>
      <c r="N47" s="54"/>
      <c r="O47" s="54"/>
      <c r="P47" s="109"/>
      <c r="Q47" s="109"/>
      <c r="R47" s="109"/>
      <c r="S47" s="54"/>
      <c r="T47" s="54"/>
      <c r="U47" s="54"/>
      <c r="V47" s="54"/>
      <c r="W47" s="54"/>
      <c r="X47" s="54"/>
      <c r="Y47" s="54"/>
      <c r="Z47" s="154"/>
      <c r="AA47" s="154"/>
      <c r="AB47" s="154"/>
      <c r="AC47" s="154"/>
      <c r="AD47" s="154"/>
      <c r="AE47" s="54"/>
      <c r="AF47" s="54"/>
      <c r="AG47" s="54"/>
      <c r="AH47" s="54"/>
      <c r="AI47" s="54"/>
      <c r="AK47" s="128"/>
    </row>
    <row r="48" spans="1:37" hidden="1">
      <c r="A48" s="123" t="s">
        <v>87</v>
      </c>
      <c r="F48" s="124"/>
      <c r="I48" s="124"/>
      <c r="N48" s="54"/>
      <c r="O48" s="54"/>
      <c r="P48" s="109"/>
      <c r="Q48" s="109"/>
      <c r="R48" s="109"/>
      <c r="S48" s="54"/>
      <c r="T48" s="54"/>
      <c r="U48" s="54"/>
      <c r="V48" s="54"/>
      <c r="W48" s="54"/>
      <c r="X48" s="54"/>
      <c r="Y48" s="54"/>
      <c r="Z48" s="154"/>
      <c r="AA48" s="154"/>
      <c r="AB48" s="154"/>
      <c r="AC48" s="154"/>
      <c r="AD48" s="154"/>
      <c r="AE48" s="54"/>
      <c r="AF48" s="54"/>
      <c r="AG48" s="54"/>
      <c r="AH48" s="54"/>
      <c r="AI48" s="54"/>
      <c r="AK48" s="128"/>
    </row>
    <row r="49" spans="1:37" hidden="1">
      <c r="A49" s="108" t="s">
        <v>107</v>
      </c>
      <c r="F49" s="124"/>
      <c r="I49" s="12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54"/>
      <c r="AF49" s="54"/>
      <c r="AG49" s="54"/>
      <c r="AH49" s="54"/>
      <c r="AI49" s="54"/>
      <c r="AK49" s="128"/>
    </row>
    <row r="50" spans="1:37" hidden="1">
      <c r="F50" s="124"/>
      <c r="I50" s="12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54"/>
      <c r="AF50" s="54"/>
      <c r="AG50" s="54"/>
      <c r="AH50" s="54"/>
      <c r="AI50" s="54"/>
      <c r="AK50" s="128"/>
    </row>
    <row r="51" spans="1:37" hidden="1">
      <c r="A51" s="108" t="s">
        <v>89</v>
      </c>
      <c r="F51" s="124"/>
      <c r="I51" s="124"/>
      <c r="N51" s="154"/>
      <c r="O51" s="154"/>
      <c r="P51" s="154"/>
      <c r="Q51" s="109"/>
      <c r="R51" s="109"/>
      <c r="S51" s="155"/>
      <c r="T51" s="155"/>
      <c r="U51" s="156"/>
      <c r="V51" s="156"/>
      <c r="W51" s="156"/>
      <c r="X51" s="156"/>
      <c r="Y51" s="157"/>
      <c r="Z51" s="158"/>
      <c r="AA51" s="154"/>
      <c r="AB51" s="154"/>
      <c r="AC51" s="154"/>
      <c r="AD51" s="154"/>
      <c r="AE51" s="54"/>
      <c r="AF51" s="54"/>
      <c r="AG51" s="54"/>
      <c r="AH51" s="54"/>
      <c r="AI51" s="54"/>
      <c r="AK51" s="128"/>
    </row>
    <row r="52" spans="1:37" hidden="1">
      <c r="A52" s="108" t="s">
        <v>90</v>
      </c>
      <c r="C52" s="125">
        <f>14482+60</f>
        <v>14542</v>
      </c>
      <c r="D52" s="126">
        <v>10.119999999999999</v>
      </c>
      <c r="F52" s="127">
        <f>ROUND(D52*$C52,0)</f>
        <v>147165</v>
      </c>
      <c r="G52" s="126">
        <v>10.63</v>
      </c>
      <c r="I52" s="127">
        <f t="shared" ref="I52:I54" si="4">G52*C52</f>
        <v>154581.46000000002</v>
      </c>
      <c r="J52" s="126">
        <f>$J$16</f>
        <v>9.2899999999999991</v>
      </c>
      <c r="L52" s="127">
        <f>ROUND(J52*$C52,0)</f>
        <v>135095</v>
      </c>
      <c r="N52" s="54"/>
      <c r="O52" s="54"/>
      <c r="P52" s="157"/>
      <c r="Q52" s="109"/>
      <c r="R52" s="109"/>
      <c r="S52" s="154"/>
      <c r="T52" s="154"/>
      <c r="U52" s="159"/>
      <c r="V52" s="159"/>
      <c r="W52" s="159"/>
      <c r="X52" s="159"/>
      <c r="Y52" s="160"/>
      <c r="Z52" s="154"/>
      <c r="AA52" s="157"/>
      <c r="AB52" s="157"/>
      <c r="AC52" s="161"/>
      <c r="AD52" s="157"/>
      <c r="AE52" s="54"/>
      <c r="AF52" s="54"/>
      <c r="AG52" s="54"/>
      <c r="AH52" s="54"/>
      <c r="AI52" s="54"/>
      <c r="AK52" s="128"/>
    </row>
    <row r="53" spans="1:37" hidden="1">
      <c r="A53" s="108" t="s">
        <v>91</v>
      </c>
      <c r="C53" s="125">
        <f>3634+252</f>
        <v>3886</v>
      </c>
      <c r="D53" s="126">
        <v>19.25</v>
      </c>
      <c r="F53" s="127">
        <f>ROUND(D53*$C53,0)</f>
        <v>74806</v>
      </c>
      <c r="G53" s="126">
        <v>20.23</v>
      </c>
      <c r="I53" s="127">
        <f t="shared" si="4"/>
        <v>78613.78</v>
      </c>
      <c r="J53" s="126">
        <f>$J$17</f>
        <v>17.66</v>
      </c>
      <c r="L53" s="127">
        <f>ROUND(J53*$C53,0)</f>
        <v>68627</v>
      </c>
      <c r="N53" s="54"/>
      <c r="O53" s="54"/>
      <c r="P53" s="157"/>
      <c r="Q53" s="109"/>
      <c r="R53" s="109"/>
      <c r="S53" s="54"/>
      <c r="T53" s="54"/>
      <c r="U53" s="162"/>
      <c r="V53" s="162"/>
      <c r="W53" s="162"/>
      <c r="X53" s="162"/>
      <c r="Y53" s="154"/>
      <c r="Z53" s="154"/>
      <c r="AA53" s="157"/>
      <c r="AB53" s="157"/>
      <c r="AC53" s="161"/>
      <c r="AD53" s="157"/>
      <c r="AE53" s="54"/>
      <c r="AF53" s="54"/>
      <c r="AG53" s="54"/>
      <c r="AH53" s="54"/>
      <c r="AI53" s="54"/>
      <c r="AK53" s="128"/>
    </row>
    <row r="54" spans="1:37" hidden="1">
      <c r="A54" s="108" t="s">
        <v>92</v>
      </c>
      <c r="C54" s="125">
        <f>502+48</f>
        <v>550</v>
      </c>
      <c r="D54" s="126">
        <v>39.840000000000003</v>
      </c>
      <c r="F54" s="127">
        <f>ROUND(D54*$C54,0)</f>
        <v>21912</v>
      </c>
      <c r="G54" s="126">
        <v>41.86</v>
      </c>
      <c r="I54" s="127">
        <f t="shared" si="4"/>
        <v>23023</v>
      </c>
      <c r="J54" s="126">
        <f>$J$18</f>
        <v>36.57</v>
      </c>
      <c r="L54" s="127">
        <f>ROUND(J54*$C54,0)</f>
        <v>20114</v>
      </c>
      <c r="N54" s="54"/>
      <c r="O54" s="54"/>
      <c r="P54" s="157"/>
      <c r="Q54" s="109"/>
      <c r="R54" s="109"/>
      <c r="S54" s="54"/>
      <c r="T54" s="54"/>
      <c r="U54" s="162"/>
      <c r="V54" s="162"/>
      <c r="W54" s="162"/>
      <c r="X54" s="162"/>
      <c r="Y54" s="154"/>
      <c r="Z54" s="154"/>
      <c r="AA54" s="157"/>
      <c r="AB54" s="157"/>
      <c r="AC54" s="161"/>
      <c r="AD54" s="157"/>
      <c r="AE54" s="54"/>
      <c r="AF54" s="54"/>
      <c r="AG54" s="54"/>
      <c r="AH54" s="54"/>
      <c r="AI54" s="54"/>
      <c r="AK54" s="128"/>
    </row>
    <row r="55" spans="1:37" hidden="1">
      <c r="A55" s="108" t="s">
        <v>93</v>
      </c>
      <c r="C55" s="125"/>
      <c r="D55" s="126"/>
      <c r="F55" s="127"/>
      <c r="G55" s="126"/>
      <c r="I55" s="127"/>
      <c r="J55" s="126"/>
      <c r="L55" s="127"/>
      <c r="N55" s="54"/>
      <c r="O55" s="54"/>
      <c r="P55" s="157"/>
      <c r="Q55" s="109"/>
      <c r="R55" s="109"/>
      <c r="S55" s="54"/>
      <c r="T55" s="54"/>
      <c r="U55" s="162"/>
      <c r="V55" s="162"/>
      <c r="W55" s="162"/>
      <c r="X55" s="162"/>
      <c r="Y55" s="154"/>
      <c r="Z55" s="154"/>
      <c r="AA55" s="157"/>
      <c r="AB55" s="157"/>
      <c r="AC55" s="161"/>
      <c r="AD55" s="157"/>
      <c r="AE55" s="54"/>
      <c r="AF55" s="54"/>
      <c r="AG55" s="54"/>
      <c r="AH55" s="54"/>
      <c r="AI55" s="54"/>
      <c r="AK55" s="128"/>
    </row>
    <row r="56" spans="1:37" hidden="1">
      <c r="A56" s="108" t="s">
        <v>94</v>
      </c>
      <c r="C56" s="125">
        <f>1092+12</f>
        <v>1104</v>
      </c>
      <c r="D56" s="126">
        <v>11.51</v>
      </c>
      <c r="F56" s="127">
        <f>ROUND(D56*$C56,0)</f>
        <v>12707</v>
      </c>
      <c r="G56" s="126">
        <v>12.09</v>
      </c>
      <c r="I56" s="127">
        <f t="shared" ref="I56:I59" si="5">G56*C56</f>
        <v>13347.36</v>
      </c>
      <c r="J56" s="126">
        <f>$J$20</f>
        <v>10.55</v>
      </c>
      <c r="L56" s="127">
        <f>ROUND(J56*$C56,0)</f>
        <v>11647</v>
      </c>
      <c r="N56" s="54"/>
      <c r="O56" s="54"/>
      <c r="P56" s="157"/>
      <c r="Q56" s="109"/>
      <c r="R56" s="109"/>
      <c r="S56" s="54"/>
      <c r="T56" s="54"/>
      <c r="U56" s="162"/>
      <c r="V56" s="162"/>
      <c r="W56" s="162"/>
      <c r="X56" s="162"/>
      <c r="Y56" s="154"/>
      <c r="Z56" s="154"/>
      <c r="AA56" s="157"/>
      <c r="AB56" s="157"/>
      <c r="AC56" s="161"/>
      <c r="AD56" s="157"/>
      <c r="AE56" s="54"/>
      <c r="AF56" s="54"/>
      <c r="AG56" s="54"/>
      <c r="AH56" s="54"/>
      <c r="AI56" s="54"/>
      <c r="AK56" s="128"/>
    </row>
    <row r="57" spans="1:37" hidden="1">
      <c r="A57" s="108" t="s">
        <v>95</v>
      </c>
      <c r="C57" s="125">
        <f>1452</f>
        <v>1452</v>
      </c>
      <c r="D57" s="126">
        <v>16.900000000000002</v>
      </c>
      <c r="F57" s="127">
        <f>ROUND(D57*$C57,0)</f>
        <v>24539</v>
      </c>
      <c r="G57" s="126">
        <v>17.760000000000002</v>
      </c>
      <c r="I57" s="127">
        <f t="shared" si="5"/>
        <v>25787.520000000004</v>
      </c>
      <c r="J57" s="126">
        <f>$J$21</f>
        <v>15.5</v>
      </c>
      <c r="L57" s="127">
        <f>ROUND(J57*$C57,0)</f>
        <v>22506</v>
      </c>
      <c r="N57" s="54"/>
      <c r="O57" s="54"/>
      <c r="P57" s="157"/>
      <c r="Q57" s="109"/>
      <c r="R57" s="109"/>
      <c r="S57" s="54"/>
      <c r="T57" s="54"/>
      <c r="U57" s="162"/>
      <c r="V57" s="162"/>
      <c r="W57" s="162"/>
      <c r="X57" s="162"/>
      <c r="Y57" s="154"/>
      <c r="Z57" s="154"/>
      <c r="AA57" s="157"/>
      <c r="AB57" s="157"/>
      <c r="AC57" s="161"/>
      <c r="AD57" s="157"/>
      <c r="AE57" s="54"/>
      <c r="AF57" s="54"/>
      <c r="AG57" s="54"/>
      <c r="AH57" s="54"/>
      <c r="AI57" s="54"/>
      <c r="AK57" s="128"/>
    </row>
    <row r="58" spans="1:37" hidden="1">
      <c r="A58" s="108" t="s">
        <v>96</v>
      </c>
      <c r="C58" s="125">
        <f>420</f>
        <v>420</v>
      </c>
      <c r="D58" s="126">
        <v>27.26</v>
      </c>
      <c r="F58" s="127">
        <f>ROUND(D58*$C58,0)</f>
        <v>11449</v>
      </c>
      <c r="G58" s="126">
        <v>28.64</v>
      </c>
      <c r="I58" s="127">
        <f t="shared" si="5"/>
        <v>12028.800000000001</v>
      </c>
      <c r="J58" s="126">
        <f>$J$22</f>
        <v>25.02</v>
      </c>
      <c r="L58" s="127">
        <f>ROUND(J58*$C58,0)</f>
        <v>10508</v>
      </c>
      <c r="N58" s="54"/>
      <c r="O58" s="54"/>
      <c r="P58" s="157"/>
      <c r="Q58" s="109"/>
      <c r="R58" s="109"/>
      <c r="S58" s="54"/>
      <c r="T58" s="54"/>
      <c r="U58" s="162"/>
      <c r="V58" s="162"/>
      <c r="W58" s="162"/>
      <c r="X58" s="162"/>
      <c r="Y58" s="154"/>
      <c r="Z58" s="154"/>
      <c r="AA58" s="157"/>
      <c r="AB58" s="157"/>
      <c r="AC58" s="161"/>
      <c r="AD58" s="157"/>
      <c r="AE58" s="54"/>
      <c r="AF58" s="54"/>
      <c r="AG58" s="54"/>
      <c r="AH58" s="54"/>
      <c r="AI58" s="54"/>
      <c r="AK58" s="128"/>
    </row>
    <row r="59" spans="1:37" hidden="1">
      <c r="A59" s="108" t="s">
        <v>97</v>
      </c>
      <c r="C59" s="125">
        <f>60+252+60</f>
        <v>372</v>
      </c>
      <c r="D59" s="126">
        <v>1</v>
      </c>
      <c r="E59" s="54"/>
      <c r="F59" s="139">
        <f>ROUND(D59*$C59,0)</f>
        <v>372</v>
      </c>
      <c r="G59" s="126">
        <v>1</v>
      </c>
      <c r="H59" s="54"/>
      <c r="I59" s="127">
        <f t="shared" si="5"/>
        <v>372</v>
      </c>
      <c r="J59" s="133">
        <f>$J$23</f>
        <v>1</v>
      </c>
      <c r="K59" s="54"/>
      <c r="L59" s="139">
        <f>ROUND(J59*$C59,0)</f>
        <v>372</v>
      </c>
      <c r="N59" s="154"/>
      <c r="O59" s="154"/>
      <c r="P59" s="157"/>
      <c r="Q59" s="109"/>
      <c r="R59" s="109"/>
      <c r="S59" s="54"/>
      <c r="T59" s="54"/>
      <c r="U59" s="154"/>
      <c r="V59" s="154"/>
      <c r="W59" s="154"/>
      <c r="X59" s="154"/>
      <c r="Y59" s="154"/>
      <c r="Z59" s="154"/>
      <c r="AA59" s="157"/>
      <c r="AB59" s="157"/>
      <c r="AC59" s="157"/>
      <c r="AD59" s="157"/>
      <c r="AE59" s="54"/>
      <c r="AF59" s="54"/>
      <c r="AG59" s="54"/>
      <c r="AH59" s="54"/>
      <c r="AI59" s="54"/>
      <c r="AK59" s="128"/>
    </row>
    <row r="60" spans="1:37" hidden="1">
      <c r="A60" s="134" t="s">
        <v>98</v>
      </c>
      <c r="C60" s="125">
        <f>C62</f>
        <v>2233418</v>
      </c>
      <c r="D60" s="133"/>
      <c r="E60" s="54"/>
      <c r="F60" s="127"/>
      <c r="G60" s="133"/>
      <c r="H60" s="54"/>
      <c r="I60" s="127"/>
      <c r="J60" s="135">
        <f>J24</f>
        <v>2.246</v>
      </c>
      <c r="K60" s="136" t="s">
        <v>99</v>
      </c>
      <c r="L60" s="127">
        <f>J60*C60/100</f>
        <v>50162.56828</v>
      </c>
      <c r="N60" s="128"/>
      <c r="P60" s="93"/>
      <c r="Q60" s="108"/>
      <c r="R60" s="108"/>
      <c r="S60" s="129"/>
      <c r="T60" s="129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K60" s="128"/>
    </row>
    <row r="61" spans="1:37" hidden="1">
      <c r="A61" s="108" t="s">
        <v>100</v>
      </c>
      <c r="C61" s="125">
        <f>10262+6261</f>
        <v>16523</v>
      </c>
      <c r="D61" s="126"/>
      <c r="F61" s="127"/>
      <c r="G61" s="126"/>
      <c r="I61" s="127"/>
      <c r="J61" s="126"/>
      <c r="L61" s="127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63"/>
      <c r="AB61" s="154"/>
      <c r="AC61" s="154"/>
      <c r="AD61" s="154"/>
      <c r="AE61" s="54"/>
      <c r="AF61" s="54"/>
      <c r="AG61" s="54"/>
      <c r="AH61" s="54"/>
      <c r="AI61" s="54"/>
      <c r="AK61" s="128"/>
    </row>
    <row r="62" spans="1:37" hidden="1">
      <c r="A62" s="108" t="s">
        <v>101</v>
      </c>
      <c r="C62" s="125">
        <f>1643386+590032</f>
        <v>2233418</v>
      </c>
      <c r="D62" s="133"/>
      <c r="E62" s="54"/>
      <c r="F62" s="139">
        <f>SUM(F52:F59)</f>
        <v>292950</v>
      </c>
      <c r="G62" s="133"/>
      <c r="H62" s="54"/>
      <c r="I62" s="139">
        <f>SUM(I52:I59)</f>
        <v>307753.92000000004</v>
      </c>
      <c r="J62" s="133"/>
      <c r="K62" s="54"/>
      <c r="L62" s="139">
        <f>SUM(L52:L60)</f>
        <v>319031.56828000001</v>
      </c>
      <c r="N62" s="154"/>
      <c r="O62" s="154"/>
      <c r="P62" s="162"/>
      <c r="Q62" s="154"/>
      <c r="R62" s="154"/>
      <c r="S62" s="54"/>
      <c r="T62" s="54"/>
      <c r="U62" s="54"/>
      <c r="V62" s="54"/>
      <c r="W62" s="54"/>
      <c r="X62" s="54"/>
      <c r="Y62" s="54"/>
      <c r="Z62" s="154"/>
      <c r="AA62" s="154"/>
      <c r="AB62" s="154"/>
      <c r="AC62" s="154"/>
      <c r="AD62" s="154"/>
      <c r="AE62" s="54"/>
      <c r="AF62" s="54"/>
      <c r="AG62" s="54"/>
      <c r="AH62" s="54"/>
      <c r="AI62" s="54"/>
      <c r="AK62" s="128"/>
    </row>
    <row r="63" spans="1:37" hidden="1">
      <c r="A63" s="108" t="s">
        <v>102</v>
      </c>
      <c r="C63" s="125">
        <v>-5758.1427362705708</v>
      </c>
      <c r="D63" s="133"/>
      <c r="E63" s="54"/>
      <c r="F63" s="139" t="e">
        <f>#REF!</f>
        <v>#REF!</v>
      </c>
      <c r="G63" s="133"/>
      <c r="H63" s="54"/>
      <c r="I63" s="139">
        <v>-910.80858255895487</v>
      </c>
      <c r="J63" s="133"/>
      <c r="K63" s="54"/>
      <c r="L63" s="139">
        <f>I63</f>
        <v>-910.80858255895487</v>
      </c>
      <c r="N63" s="164"/>
      <c r="O63" s="164"/>
      <c r="P63" s="162"/>
      <c r="Q63" s="154"/>
      <c r="R63" s="154"/>
      <c r="S63" s="154"/>
      <c r="T63" s="154"/>
      <c r="U63" s="159"/>
      <c r="V63" s="159"/>
      <c r="W63" s="159"/>
      <c r="X63" s="159"/>
      <c r="Y63" s="157"/>
      <c r="Z63" s="154"/>
      <c r="AA63" s="154"/>
      <c r="AB63" s="154"/>
      <c r="AC63" s="154"/>
      <c r="AD63" s="154"/>
      <c r="AE63" s="54"/>
      <c r="AF63" s="54"/>
      <c r="AG63" s="54"/>
      <c r="AH63" s="54"/>
      <c r="AI63" s="54"/>
      <c r="AK63" s="128"/>
    </row>
    <row r="64" spans="1:37" ht="16.5" hidden="1" thickBot="1">
      <c r="A64" s="108" t="s">
        <v>103</v>
      </c>
      <c r="C64" s="141">
        <f>C62+C63</f>
        <v>2227659.8572637294</v>
      </c>
      <c r="D64" s="142"/>
      <c r="E64" s="142"/>
      <c r="F64" s="142" t="e">
        <f>F62+F63</f>
        <v>#REF!</v>
      </c>
      <c r="G64" s="143"/>
      <c r="H64" s="142"/>
      <c r="I64" s="142">
        <f>I62+I63</f>
        <v>306843.11141744111</v>
      </c>
      <c r="J64" s="143"/>
      <c r="K64" s="142"/>
      <c r="L64" s="142">
        <f>L62+L63</f>
        <v>318120.75969744107</v>
      </c>
      <c r="N64" s="165"/>
      <c r="O64" s="165"/>
      <c r="P64" s="166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54"/>
      <c r="AF64" s="54"/>
      <c r="AG64" s="54"/>
      <c r="AH64" s="54"/>
      <c r="AI64" s="54"/>
      <c r="AK64" s="128"/>
    </row>
    <row r="65" spans="1:37" hidden="1">
      <c r="C65" s="148"/>
      <c r="D65" s="148"/>
      <c r="E65" s="148"/>
      <c r="F65" s="124"/>
      <c r="G65" s="149" t="s">
        <v>0</v>
      </c>
      <c r="H65" s="148"/>
      <c r="I65" s="124"/>
      <c r="J65" s="136" t="s">
        <v>0</v>
      </c>
      <c r="K65" s="148"/>
      <c r="L65" s="127" t="s">
        <v>0</v>
      </c>
      <c r="N65" s="54"/>
      <c r="O65" s="54"/>
      <c r="P65" s="109"/>
      <c r="Q65" s="109"/>
      <c r="R65" s="109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K65" s="128"/>
    </row>
    <row r="66" spans="1:37" hidden="1">
      <c r="A66" s="123" t="s">
        <v>87</v>
      </c>
      <c r="F66" s="124"/>
      <c r="I66" s="124"/>
      <c r="N66" s="54"/>
      <c r="O66" s="54"/>
      <c r="P66" s="109"/>
      <c r="Q66" s="109"/>
      <c r="R66" s="109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K66" s="128"/>
    </row>
    <row r="67" spans="1:37" hidden="1">
      <c r="A67" s="108" t="s">
        <v>108</v>
      </c>
      <c r="F67" s="124"/>
      <c r="I67" s="12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54"/>
      <c r="AF67" s="54"/>
      <c r="AG67" s="54"/>
      <c r="AH67" s="54"/>
      <c r="AI67" s="54"/>
      <c r="AK67" s="128"/>
    </row>
    <row r="68" spans="1:37" hidden="1">
      <c r="F68" s="124"/>
      <c r="I68" s="12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54"/>
      <c r="AF68" s="54"/>
      <c r="AG68" s="54"/>
      <c r="AH68" s="54"/>
      <c r="AI68" s="54"/>
      <c r="AK68" s="128"/>
    </row>
    <row r="69" spans="1:37" hidden="1">
      <c r="A69" s="108" t="s">
        <v>89</v>
      </c>
      <c r="F69" s="124"/>
      <c r="I69" s="124"/>
      <c r="N69" s="154"/>
      <c r="O69" s="154"/>
      <c r="P69" s="154"/>
      <c r="Q69" s="109"/>
      <c r="R69" s="109"/>
      <c r="S69" s="155"/>
      <c r="T69" s="155"/>
      <c r="U69" s="156"/>
      <c r="V69" s="156"/>
      <c r="W69" s="156"/>
      <c r="X69" s="156"/>
      <c r="Y69" s="157"/>
      <c r="Z69" s="158"/>
      <c r="AA69" s="154"/>
      <c r="AB69" s="154"/>
      <c r="AC69" s="154"/>
      <c r="AD69" s="154"/>
      <c r="AE69" s="54"/>
      <c r="AF69" s="54"/>
      <c r="AG69" s="54"/>
      <c r="AH69" s="54"/>
      <c r="AI69" s="54"/>
      <c r="AK69" s="128"/>
    </row>
    <row r="70" spans="1:37" hidden="1">
      <c r="A70" s="108" t="s">
        <v>90</v>
      </c>
      <c r="C70" s="125">
        <f>504+132</f>
        <v>636</v>
      </c>
      <c r="D70" s="126">
        <v>10.119999999999999</v>
      </c>
      <c r="F70" s="127">
        <f>ROUND(D70*$C70,0)</f>
        <v>6436</v>
      </c>
      <c r="G70" s="126">
        <v>10.63</v>
      </c>
      <c r="I70" s="127">
        <f t="shared" ref="I70:I72" si="6">G70*C70</f>
        <v>6760.68</v>
      </c>
      <c r="J70" s="126">
        <f>$J$16</f>
        <v>9.2899999999999991</v>
      </c>
      <c r="L70" s="127">
        <f>ROUND(J70*$C70,0)</f>
        <v>5908</v>
      </c>
      <c r="N70" s="54"/>
      <c r="O70" s="54"/>
      <c r="P70" s="157"/>
      <c r="Q70" s="109"/>
      <c r="R70" s="109"/>
      <c r="S70" s="154"/>
      <c r="T70" s="154"/>
      <c r="U70" s="159"/>
      <c r="V70" s="159"/>
      <c r="W70" s="159"/>
      <c r="X70" s="159"/>
      <c r="Y70" s="160"/>
      <c r="Z70" s="154"/>
      <c r="AA70" s="157"/>
      <c r="AB70" s="157"/>
      <c r="AC70" s="161"/>
      <c r="AD70" s="157"/>
      <c r="AE70" s="54"/>
      <c r="AF70" s="54"/>
      <c r="AG70" s="54"/>
      <c r="AH70" s="54"/>
      <c r="AI70" s="54"/>
      <c r="AK70" s="128"/>
    </row>
    <row r="71" spans="1:37" hidden="1">
      <c r="A71" s="108" t="s">
        <v>91</v>
      </c>
      <c r="C71" s="125">
        <f>410</f>
        <v>410</v>
      </c>
      <c r="D71" s="126">
        <v>19.25</v>
      </c>
      <c r="F71" s="127">
        <f>ROUND(D71*$C71,0)</f>
        <v>7893</v>
      </c>
      <c r="G71" s="126">
        <v>20.23</v>
      </c>
      <c r="I71" s="127">
        <f t="shared" si="6"/>
        <v>8294.2999999999993</v>
      </c>
      <c r="J71" s="126">
        <f>$J$17</f>
        <v>17.66</v>
      </c>
      <c r="L71" s="127">
        <f>ROUND(J71*$C71,0)</f>
        <v>7241</v>
      </c>
      <c r="N71" s="54"/>
      <c r="O71" s="54"/>
      <c r="P71" s="157"/>
      <c r="Q71" s="109"/>
      <c r="R71" s="109"/>
      <c r="S71" s="54"/>
      <c r="T71" s="54"/>
      <c r="U71" s="162"/>
      <c r="V71" s="162"/>
      <c r="W71" s="162"/>
      <c r="X71" s="162"/>
      <c r="Y71" s="154"/>
      <c r="Z71" s="154"/>
      <c r="AA71" s="157"/>
      <c r="AB71" s="157"/>
      <c r="AC71" s="161"/>
      <c r="AD71" s="157"/>
      <c r="AE71" s="54"/>
      <c r="AF71" s="54"/>
      <c r="AG71" s="54"/>
      <c r="AH71" s="54"/>
      <c r="AI71" s="54"/>
      <c r="AK71" s="128"/>
    </row>
    <row r="72" spans="1:37" hidden="1">
      <c r="A72" s="108" t="s">
        <v>92</v>
      </c>
      <c r="C72" s="125">
        <f>48</f>
        <v>48</v>
      </c>
      <c r="D72" s="126">
        <v>39.840000000000003</v>
      </c>
      <c r="F72" s="127">
        <f>ROUND(D72*$C72,0)</f>
        <v>1912</v>
      </c>
      <c r="G72" s="126">
        <v>41.86</v>
      </c>
      <c r="I72" s="127">
        <f t="shared" si="6"/>
        <v>2009.28</v>
      </c>
      <c r="J72" s="126">
        <f>$J$18</f>
        <v>36.57</v>
      </c>
      <c r="L72" s="127">
        <f>ROUND(J72*$C72,0)</f>
        <v>1755</v>
      </c>
      <c r="N72" s="54"/>
      <c r="O72" s="54"/>
      <c r="P72" s="157"/>
      <c r="Q72" s="109"/>
      <c r="R72" s="109"/>
      <c r="S72" s="54"/>
      <c r="T72" s="54"/>
      <c r="U72" s="162"/>
      <c r="V72" s="162"/>
      <c r="W72" s="162"/>
      <c r="X72" s="162"/>
      <c r="Y72" s="154"/>
      <c r="Z72" s="154"/>
      <c r="AA72" s="157"/>
      <c r="AB72" s="157"/>
      <c r="AC72" s="161"/>
      <c r="AD72" s="157"/>
      <c r="AE72" s="54"/>
      <c r="AF72" s="54"/>
      <c r="AG72" s="54"/>
      <c r="AH72" s="54"/>
      <c r="AI72" s="54"/>
      <c r="AK72" s="128"/>
    </row>
    <row r="73" spans="1:37" hidden="1">
      <c r="A73" s="108" t="s">
        <v>93</v>
      </c>
      <c r="C73" s="125"/>
      <c r="D73" s="126"/>
      <c r="F73" s="127"/>
      <c r="G73" s="126"/>
      <c r="I73" s="127"/>
      <c r="J73" s="126"/>
      <c r="L73" s="127"/>
      <c r="N73" s="54"/>
      <c r="O73" s="54"/>
      <c r="P73" s="157"/>
      <c r="Q73" s="109"/>
      <c r="R73" s="109"/>
      <c r="S73" s="54"/>
      <c r="T73" s="54"/>
      <c r="U73" s="162"/>
      <c r="V73" s="162"/>
      <c r="W73" s="162"/>
      <c r="X73" s="162"/>
      <c r="Y73" s="154"/>
      <c r="Z73" s="154"/>
      <c r="AA73" s="157"/>
      <c r="AB73" s="157"/>
      <c r="AC73" s="161"/>
      <c r="AD73" s="157"/>
      <c r="AE73" s="54"/>
      <c r="AF73" s="54"/>
      <c r="AG73" s="54"/>
      <c r="AH73" s="54"/>
      <c r="AI73" s="54"/>
      <c r="AK73" s="128"/>
    </row>
    <row r="74" spans="1:37" hidden="1">
      <c r="A74" s="108" t="s">
        <v>94</v>
      </c>
      <c r="C74" s="125">
        <f>12</f>
        <v>12</v>
      </c>
      <c r="D74" s="126">
        <v>11.51</v>
      </c>
      <c r="F74" s="127">
        <f>ROUND(D74*$C74,0)</f>
        <v>138</v>
      </c>
      <c r="G74" s="126">
        <v>12.09</v>
      </c>
      <c r="I74" s="127">
        <f t="shared" ref="I74:I77" si="7">G74*C74</f>
        <v>145.07999999999998</v>
      </c>
      <c r="J74" s="126">
        <f>$J$20</f>
        <v>10.55</v>
      </c>
      <c r="L74" s="127">
        <f>ROUND(J74*$C74,0)</f>
        <v>127</v>
      </c>
      <c r="N74" s="54"/>
      <c r="O74" s="54"/>
      <c r="P74" s="157"/>
      <c r="Q74" s="109"/>
      <c r="R74" s="109"/>
      <c r="S74" s="54"/>
      <c r="T74" s="54"/>
      <c r="U74" s="162"/>
      <c r="V74" s="162"/>
      <c r="W74" s="162"/>
      <c r="X74" s="162"/>
      <c r="Y74" s="154"/>
      <c r="Z74" s="154"/>
      <c r="AA74" s="157"/>
      <c r="AB74" s="157"/>
      <c r="AC74" s="161"/>
      <c r="AD74" s="157"/>
      <c r="AE74" s="54"/>
      <c r="AF74" s="54"/>
      <c r="AG74" s="54"/>
      <c r="AH74" s="54"/>
      <c r="AI74" s="54"/>
      <c r="AK74" s="128"/>
    </row>
    <row r="75" spans="1:37" hidden="1">
      <c r="A75" s="108" t="s">
        <v>95</v>
      </c>
      <c r="C75" s="125">
        <f>96</f>
        <v>96</v>
      </c>
      <c r="D75" s="126">
        <v>16.900000000000002</v>
      </c>
      <c r="F75" s="127">
        <f>ROUND(D75*$C75,0)</f>
        <v>1622</v>
      </c>
      <c r="G75" s="126">
        <v>17.760000000000002</v>
      </c>
      <c r="I75" s="127">
        <f t="shared" si="7"/>
        <v>1704.96</v>
      </c>
      <c r="J75" s="126">
        <f>$J$21</f>
        <v>15.5</v>
      </c>
      <c r="L75" s="127">
        <f>ROUND(J75*$C75,0)</f>
        <v>1488</v>
      </c>
      <c r="N75" s="54"/>
      <c r="O75" s="54"/>
      <c r="P75" s="157"/>
      <c r="Q75" s="109"/>
      <c r="R75" s="109"/>
      <c r="S75" s="54"/>
      <c r="T75" s="54"/>
      <c r="U75" s="162"/>
      <c r="V75" s="162"/>
      <c r="W75" s="162"/>
      <c r="X75" s="162"/>
      <c r="Y75" s="154"/>
      <c r="Z75" s="154"/>
      <c r="AA75" s="157"/>
      <c r="AB75" s="157"/>
      <c r="AC75" s="161"/>
      <c r="AD75" s="157"/>
      <c r="AE75" s="54"/>
      <c r="AF75" s="54"/>
      <c r="AG75" s="54"/>
      <c r="AH75" s="54"/>
      <c r="AI75" s="54"/>
      <c r="AK75" s="128"/>
    </row>
    <row r="76" spans="1:37" hidden="1">
      <c r="A76" s="108" t="s">
        <v>96</v>
      </c>
      <c r="C76" s="125">
        <f>24</f>
        <v>24</v>
      </c>
      <c r="D76" s="126">
        <v>27.26</v>
      </c>
      <c r="F76" s="127">
        <f>ROUND(D76*$C76,0)</f>
        <v>654</v>
      </c>
      <c r="G76" s="126">
        <v>28.64</v>
      </c>
      <c r="I76" s="127">
        <f t="shared" si="7"/>
        <v>687.36</v>
      </c>
      <c r="J76" s="126">
        <f>$J$22</f>
        <v>25.02</v>
      </c>
      <c r="L76" s="127">
        <f>ROUND(J76*$C76,0)</f>
        <v>600</v>
      </c>
      <c r="N76" s="54"/>
      <c r="O76" s="54"/>
      <c r="P76" s="157"/>
      <c r="Q76" s="109"/>
      <c r="R76" s="109"/>
      <c r="S76" s="54"/>
      <c r="T76" s="54"/>
      <c r="U76" s="162"/>
      <c r="V76" s="162"/>
      <c r="W76" s="162"/>
      <c r="X76" s="162"/>
      <c r="Y76" s="154"/>
      <c r="Z76" s="154"/>
      <c r="AA76" s="157"/>
      <c r="AB76" s="157"/>
      <c r="AC76" s="161"/>
      <c r="AD76" s="157"/>
      <c r="AE76" s="54"/>
      <c r="AF76" s="54"/>
      <c r="AG76" s="54"/>
      <c r="AH76" s="54"/>
      <c r="AI76" s="54"/>
      <c r="AK76" s="128"/>
    </row>
    <row r="77" spans="1:37" hidden="1">
      <c r="A77" s="108" t="s">
        <v>97</v>
      </c>
      <c r="C77" s="125">
        <f>132</f>
        <v>132</v>
      </c>
      <c r="D77" s="126">
        <v>1</v>
      </c>
      <c r="E77" s="54"/>
      <c r="F77" s="139">
        <f>ROUND(D77*$C77,0)</f>
        <v>132</v>
      </c>
      <c r="G77" s="126">
        <v>1</v>
      </c>
      <c r="H77" s="54"/>
      <c r="I77" s="127">
        <f t="shared" si="7"/>
        <v>132</v>
      </c>
      <c r="J77" s="133">
        <f>$J$23</f>
        <v>1</v>
      </c>
      <c r="K77" s="54"/>
      <c r="L77" s="139">
        <f>ROUND(J77*$C77,0)</f>
        <v>132</v>
      </c>
      <c r="N77" s="154"/>
      <c r="O77" s="154"/>
      <c r="P77" s="157"/>
      <c r="Q77" s="109"/>
      <c r="R77" s="109"/>
      <c r="S77" s="54"/>
      <c r="T77" s="54"/>
      <c r="U77" s="154"/>
      <c r="V77" s="154"/>
      <c r="W77" s="154"/>
      <c r="X77" s="154"/>
      <c r="Y77" s="154"/>
      <c r="Z77" s="154"/>
      <c r="AA77" s="157"/>
      <c r="AB77" s="157"/>
      <c r="AC77" s="157"/>
      <c r="AD77" s="157"/>
      <c r="AE77" s="54"/>
      <c r="AF77" s="54"/>
      <c r="AG77" s="54"/>
      <c r="AH77" s="54"/>
      <c r="AI77" s="54"/>
      <c r="AK77" s="128"/>
    </row>
    <row r="78" spans="1:37" hidden="1">
      <c r="A78" s="134" t="s">
        <v>98</v>
      </c>
      <c r="C78" s="125">
        <f>C80</f>
        <v>150052</v>
      </c>
      <c r="D78" s="133"/>
      <c r="E78" s="54"/>
      <c r="F78" s="127"/>
      <c r="G78" s="133"/>
      <c r="H78" s="54"/>
      <c r="I78" s="127"/>
      <c r="J78" s="135">
        <f>J24</f>
        <v>2.246</v>
      </c>
      <c r="K78" s="136" t="s">
        <v>99</v>
      </c>
      <c r="L78" s="127">
        <f>J78*C78/100</f>
        <v>3370.1679200000003</v>
      </c>
      <c r="N78" s="128"/>
      <c r="P78" s="93"/>
      <c r="Q78" s="108"/>
      <c r="R78" s="108"/>
      <c r="S78" s="129"/>
      <c r="T78" s="129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K78" s="128"/>
    </row>
    <row r="79" spans="1:37" hidden="1">
      <c r="A79" s="108" t="s">
        <v>100</v>
      </c>
      <c r="C79" s="125">
        <f>505+192</f>
        <v>697</v>
      </c>
      <c r="D79" s="126"/>
      <c r="F79" s="127"/>
      <c r="G79" s="126"/>
      <c r="I79" s="127"/>
      <c r="J79" s="126"/>
      <c r="L79" s="127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63"/>
      <c r="AB79" s="154"/>
      <c r="AC79" s="154"/>
      <c r="AD79" s="154"/>
      <c r="AE79" s="54"/>
      <c r="AF79" s="54"/>
      <c r="AG79" s="54"/>
      <c r="AH79" s="54"/>
      <c r="AI79" s="54"/>
      <c r="AK79" s="128"/>
    </row>
    <row r="80" spans="1:37" hidden="1">
      <c r="A80" s="108" t="s">
        <v>101</v>
      </c>
      <c r="C80" s="125">
        <f>120664+29388</f>
        <v>150052</v>
      </c>
      <c r="D80" s="133"/>
      <c r="E80" s="54"/>
      <c r="F80" s="139">
        <f>SUM(F70:F77)</f>
        <v>18787</v>
      </c>
      <c r="G80" s="133"/>
      <c r="H80" s="54"/>
      <c r="I80" s="139">
        <f>SUM(I70:I77)</f>
        <v>19733.66</v>
      </c>
      <c r="J80" s="133"/>
      <c r="K80" s="54"/>
      <c r="L80" s="139">
        <f>SUM(L70:L78)</f>
        <v>20621.16792</v>
      </c>
      <c r="N80" s="154"/>
      <c r="O80" s="154"/>
      <c r="P80" s="162"/>
      <c r="Q80" s="154"/>
      <c r="R80" s="154"/>
      <c r="S80" s="54"/>
      <c r="T80" s="54"/>
      <c r="U80" s="54"/>
      <c r="V80" s="54"/>
      <c r="W80" s="54"/>
      <c r="X80" s="54"/>
      <c r="Y80" s="54"/>
      <c r="Z80" s="154"/>
      <c r="AA80" s="154"/>
      <c r="AB80" s="154"/>
      <c r="AC80" s="154"/>
      <c r="AD80" s="154"/>
      <c r="AE80" s="54"/>
      <c r="AF80" s="54"/>
      <c r="AG80" s="54"/>
      <c r="AH80" s="54"/>
      <c r="AI80" s="54"/>
      <c r="AK80" s="128"/>
    </row>
    <row r="81" spans="1:37" hidden="1">
      <c r="A81" s="108" t="s">
        <v>102</v>
      </c>
      <c r="C81" s="125">
        <v>2058.6634390073832</v>
      </c>
      <c r="D81" s="133"/>
      <c r="E81" s="54"/>
      <c r="F81" s="139" t="e">
        <f>#REF!</f>
        <v>#REF!</v>
      </c>
      <c r="G81" s="133"/>
      <c r="H81" s="54"/>
      <c r="I81" s="139">
        <v>323.44323111926008</v>
      </c>
      <c r="J81" s="133"/>
      <c r="K81" s="54"/>
      <c r="L81" s="139">
        <f>I81</f>
        <v>323.44323111926008</v>
      </c>
      <c r="N81" s="164"/>
      <c r="O81" s="164"/>
      <c r="P81" s="162"/>
      <c r="Q81" s="154"/>
      <c r="R81" s="154"/>
      <c r="S81" s="154"/>
      <c r="T81" s="154"/>
      <c r="U81" s="159"/>
      <c r="V81" s="159"/>
      <c r="W81" s="159"/>
      <c r="X81" s="159"/>
      <c r="Y81" s="157"/>
      <c r="Z81" s="154"/>
      <c r="AA81" s="154"/>
      <c r="AB81" s="154"/>
      <c r="AC81" s="154"/>
      <c r="AD81" s="154"/>
      <c r="AE81" s="54"/>
      <c r="AF81" s="54"/>
      <c r="AG81" s="54"/>
      <c r="AH81" s="54"/>
      <c r="AI81" s="54"/>
      <c r="AK81" s="128"/>
    </row>
    <row r="82" spans="1:37" ht="16.5" hidden="1" thickBot="1">
      <c r="A82" s="108" t="s">
        <v>103</v>
      </c>
      <c r="C82" s="141">
        <f>C80+C81</f>
        <v>152110.66343900739</v>
      </c>
      <c r="D82" s="142"/>
      <c r="E82" s="142"/>
      <c r="F82" s="142" t="e">
        <f>F80+F81</f>
        <v>#REF!</v>
      </c>
      <c r="G82" s="143"/>
      <c r="H82" s="142"/>
      <c r="I82" s="142">
        <f>I80+I81</f>
        <v>20057.103231119261</v>
      </c>
      <c r="J82" s="143"/>
      <c r="K82" s="142"/>
      <c r="L82" s="142">
        <f>L80+L81</f>
        <v>20944.611151119261</v>
      </c>
      <c r="N82" s="165"/>
      <c r="O82" s="165"/>
      <c r="P82" s="166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54"/>
      <c r="AF82" s="54"/>
      <c r="AG82" s="54"/>
      <c r="AH82" s="54"/>
      <c r="AI82" s="54"/>
      <c r="AK82" s="128"/>
    </row>
    <row r="83" spans="1:37" hidden="1">
      <c r="C83" s="148"/>
      <c r="D83" s="148"/>
      <c r="E83" s="148"/>
      <c r="F83" s="124"/>
      <c r="G83" s="149" t="s">
        <v>0</v>
      </c>
      <c r="H83" s="148"/>
      <c r="I83" s="124"/>
      <c r="J83" s="136" t="s">
        <v>0</v>
      </c>
      <c r="K83" s="148"/>
      <c r="L83" s="127" t="s">
        <v>0</v>
      </c>
      <c r="N83" s="54"/>
      <c r="O83" s="54"/>
      <c r="P83" s="109"/>
      <c r="Q83" s="109"/>
      <c r="R83" s="109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K83" s="128"/>
    </row>
    <row r="84" spans="1:37">
      <c r="A84" s="340" t="s">
        <v>109</v>
      </c>
      <c r="B84" s="136"/>
      <c r="C84" s="136"/>
      <c r="D84" s="168"/>
      <c r="E84" s="168"/>
      <c r="F84" s="136"/>
      <c r="G84" s="168"/>
      <c r="H84" s="136"/>
      <c r="I84" s="136"/>
      <c r="J84" s="168"/>
      <c r="K84" s="136"/>
      <c r="L84" s="136"/>
      <c r="N84" s="54"/>
      <c r="O84" s="54"/>
      <c r="P84" s="109"/>
      <c r="Q84" s="109"/>
      <c r="R84" s="109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K84" s="128"/>
    </row>
    <row r="85" spans="1:37">
      <c r="A85" s="136" t="s">
        <v>110</v>
      </c>
      <c r="B85" s="136"/>
      <c r="C85" s="136"/>
      <c r="D85" s="168"/>
      <c r="E85" s="168"/>
      <c r="F85" s="136"/>
      <c r="G85" s="168"/>
      <c r="H85" s="136"/>
      <c r="I85" s="136"/>
      <c r="J85" s="168"/>
      <c r="K85" s="136"/>
      <c r="L85" s="136"/>
      <c r="N85" s="169"/>
      <c r="O85" s="169"/>
      <c r="P85" s="109"/>
      <c r="Q85" s="109"/>
      <c r="R85" s="109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K85" s="128"/>
    </row>
    <row r="86" spans="1:37">
      <c r="A86" s="170"/>
      <c r="B86" s="136"/>
      <c r="C86" s="136"/>
      <c r="D86" s="168"/>
      <c r="E86" s="168"/>
      <c r="F86" s="136"/>
      <c r="G86" s="168"/>
      <c r="H86" s="136"/>
      <c r="I86" s="136"/>
      <c r="J86" s="168"/>
      <c r="K86" s="136"/>
      <c r="L86" s="136"/>
      <c r="N86" s="54"/>
      <c r="O86" s="54"/>
      <c r="P86" s="109"/>
      <c r="Q86" s="171" t="s">
        <v>111</v>
      </c>
      <c r="R86" s="171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K86" s="128"/>
    </row>
    <row r="87" spans="1:37">
      <c r="A87" s="136" t="s">
        <v>112</v>
      </c>
      <c r="B87" s="136"/>
      <c r="C87" s="168">
        <f t="shared" ref="C87:C92" si="8">C104+C119+C134+C149</f>
        <v>1251563.7333333334</v>
      </c>
      <c r="D87" s="172">
        <v>6</v>
      </c>
      <c r="E87" s="136"/>
      <c r="F87" s="127">
        <f t="shared" ref="F87:F92" si="9">F104+F119+F134+F149</f>
        <v>7509382</v>
      </c>
      <c r="G87" s="172">
        <v>6</v>
      </c>
      <c r="H87" s="136"/>
      <c r="I87" s="127">
        <f t="shared" ref="I87:I92" si="10">I104+I119+I134+I149</f>
        <v>7509382</v>
      </c>
      <c r="J87" s="172">
        <v>8.85</v>
      </c>
      <c r="K87" s="136"/>
      <c r="L87" s="127">
        <f t="shared" ref="L87:L94" si="11">L104+L119+L134+L149</f>
        <v>11076339</v>
      </c>
      <c r="N87" s="128" t="e">
        <f>J87*#REF!</f>
        <v>#REF!</v>
      </c>
      <c r="Q87" s="64">
        <f t="shared" ref="Q87:Q92" si="12">(J87-G87)/G87</f>
        <v>0.47499999999999992</v>
      </c>
      <c r="R87" s="96"/>
      <c r="S87" s="173" t="s">
        <v>0</v>
      </c>
      <c r="AD87" s="54"/>
      <c r="AE87" s="54"/>
      <c r="AF87" s="54"/>
      <c r="AG87" s="54"/>
      <c r="AH87" s="54"/>
      <c r="AI87" s="54"/>
      <c r="AK87" s="128"/>
    </row>
    <row r="88" spans="1:37">
      <c r="A88" s="136" t="s">
        <v>113</v>
      </c>
      <c r="B88" s="136"/>
      <c r="C88" s="168">
        <f t="shared" si="8"/>
        <v>686427244.71970081</v>
      </c>
      <c r="D88" s="135">
        <v>5.1929999999999996</v>
      </c>
      <c r="E88" s="136" t="s">
        <v>99</v>
      </c>
      <c r="F88" s="127">
        <f t="shared" si="9"/>
        <v>35646167</v>
      </c>
      <c r="G88" s="135">
        <v>5.9489999999999998</v>
      </c>
      <c r="H88" s="136" t="s">
        <v>99</v>
      </c>
      <c r="I88" s="127">
        <f t="shared" si="10"/>
        <v>40835558</v>
      </c>
      <c r="J88" s="135">
        <f>ROUND(G88*(1+$Q$100),2)-0.297</f>
        <v>3.7529999999999997</v>
      </c>
      <c r="K88" s="136" t="s">
        <v>99</v>
      </c>
      <c r="L88" s="127">
        <f t="shared" si="11"/>
        <v>25761613</v>
      </c>
      <c r="N88" s="128" t="e">
        <f>(J88/100)*#REF!</f>
        <v>#REF!</v>
      </c>
      <c r="P88" s="174" t="s">
        <v>0</v>
      </c>
      <c r="Q88" s="64">
        <f>(J88+J93-G88)/G88</f>
        <v>4.3872919818456903E-2</v>
      </c>
      <c r="R88" s="96"/>
      <c r="S88" s="96">
        <f>(G89-G88)/G88</f>
        <v>0.58278702302908036</v>
      </c>
      <c r="T88" s="96"/>
      <c r="U88" s="96"/>
      <c r="W88" s="128"/>
      <c r="X88" s="128"/>
      <c r="Y88" s="96"/>
      <c r="AD88" s="54"/>
      <c r="AE88" s="54"/>
      <c r="AF88" s="54"/>
      <c r="AG88" s="54"/>
      <c r="AH88" s="54"/>
      <c r="AI88" s="54"/>
      <c r="AK88" s="128"/>
    </row>
    <row r="89" spans="1:37">
      <c r="A89" s="136" t="s">
        <v>114</v>
      </c>
      <c r="B89" s="136"/>
      <c r="C89" s="168">
        <f t="shared" si="8"/>
        <v>915483323.92636359</v>
      </c>
      <c r="D89" s="135">
        <v>8.1929999999999996</v>
      </c>
      <c r="E89" s="136" t="s">
        <v>99</v>
      </c>
      <c r="F89" s="127">
        <f t="shared" si="9"/>
        <v>75005549</v>
      </c>
      <c r="G89" s="135">
        <v>9.4159999999999986</v>
      </c>
      <c r="H89" s="136" t="s">
        <v>99</v>
      </c>
      <c r="I89" s="127">
        <f t="shared" si="10"/>
        <v>86201910</v>
      </c>
      <c r="J89" s="135">
        <f>ROUND(G89*(1+$Q$100),2)+0.084</f>
        <v>6.484</v>
      </c>
      <c r="K89" s="136" t="s">
        <v>99</v>
      </c>
      <c r="L89" s="127">
        <f t="shared" si="11"/>
        <v>59359939</v>
      </c>
      <c r="N89" s="128" t="e">
        <f>(J89/100)*#REF!</f>
        <v>#REF!</v>
      </c>
      <c r="O89" s="175"/>
      <c r="Q89" s="64">
        <f>(J89+J94-G89)/G89</f>
        <v>0.13976210705182679</v>
      </c>
      <c r="R89" s="96"/>
      <c r="S89" s="96">
        <f>(J89-J88)/J88</f>
        <v>0.72768451905142573</v>
      </c>
      <c r="T89" s="96">
        <v>0.72450000000000003</v>
      </c>
      <c r="U89" s="96"/>
      <c r="W89" s="176"/>
      <c r="X89" s="176"/>
      <c r="Y89" s="96"/>
      <c r="AD89" s="54"/>
      <c r="AE89" s="54"/>
      <c r="AF89" s="54"/>
      <c r="AG89" s="54"/>
      <c r="AH89" s="54"/>
      <c r="AI89" s="54"/>
      <c r="AK89" s="128"/>
    </row>
    <row r="90" spans="1:37">
      <c r="A90" s="136" t="s">
        <v>115</v>
      </c>
      <c r="B90" s="136"/>
      <c r="C90" s="168">
        <f t="shared" si="8"/>
        <v>5557</v>
      </c>
      <c r="D90" s="172">
        <v>1.6</v>
      </c>
      <c r="E90" s="136"/>
      <c r="F90" s="127">
        <f t="shared" si="9"/>
        <v>8891</v>
      </c>
      <c r="G90" s="172">
        <v>1.65</v>
      </c>
      <c r="H90" s="136"/>
      <c r="I90" s="127">
        <f t="shared" si="10"/>
        <v>9169</v>
      </c>
      <c r="J90" s="172">
        <v>1.65</v>
      </c>
      <c r="K90" s="136"/>
      <c r="L90" s="127">
        <f t="shared" si="11"/>
        <v>9169</v>
      </c>
      <c r="N90" s="128" t="e">
        <f>J90*#REF!</f>
        <v>#REF!</v>
      </c>
      <c r="Q90" s="64">
        <f t="shared" si="12"/>
        <v>0</v>
      </c>
      <c r="R90" s="96"/>
      <c r="S90" s="113"/>
      <c r="W90" s="128"/>
      <c r="X90" s="128"/>
      <c r="Y90" s="96"/>
      <c r="AD90" s="54"/>
      <c r="AE90" s="54"/>
      <c r="AF90" s="54"/>
      <c r="AG90" s="54"/>
      <c r="AH90" s="54"/>
      <c r="AI90" s="54"/>
      <c r="AK90" s="128"/>
    </row>
    <row r="91" spans="1:37">
      <c r="A91" s="177" t="s">
        <v>116</v>
      </c>
      <c r="B91" s="177"/>
      <c r="C91" s="168">
        <f t="shared" si="8"/>
        <v>752</v>
      </c>
      <c r="D91" s="172">
        <v>3.1</v>
      </c>
      <c r="E91" s="177"/>
      <c r="F91" s="127">
        <f t="shared" si="9"/>
        <v>2331</v>
      </c>
      <c r="G91" s="172">
        <v>3.2</v>
      </c>
      <c r="H91" s="177"/>
      <c r="I91" s="127">
        <f t="shared" si="10"/>
        <v>2407</v>
      </c>
      <c r="J91" s="172">
        <f>ROUND(J90/G90*G91,2)</f>
        <v>3.2</v>
      </c>
      <c r="K91" s="177"/>
      <c r="L91" s="127">
        <f t="shared" si="11"/>
        <v>2407</v>
      </c>
      <c r="N91" s="128" t="e">
        <f>J91*#REF!</f>
        <v>#REF!</v>
      </c>
      <c r="Q91" s="64">
        <f t="shared" si="12"/>
        <v>0</v>
      </c>
      <c r="R91" s="96"/>
      <c r="S91" s="113"/>
      <c r="AD91" s="54"/>
      <c r="AE91" s="54"/>
      <c r="AF91" s="54"/>
      <c r="AG91" s="54"/>
      <c r="AH91" s="54"/>
      <c r="AI91" s="54"/>
      <c r="AK91" s="128"/>
    </row>
    <row r="92" spans="1:37">
      <c r="A92" s="177" t="s">
        <v>117</v>
      </c>
      <c r="B92" s="177"/>
      <c r="C92" s="168">
        <f t="shared" si="8"/>
        <v>68</v>
      </c>
      <c r="D92" s="178">
        <v>-1.6</v>
      </c>
      <c r="E92" s="177"/>
      <c r="F92" s="127">
        <f t="shared" si="9"/>
        <v>-109</v>
      </c>
      <c r="G92" s="178">
        <v>-1.65</v>
      </c>
      <c r="H92" s="177"/>
      <c r="I92" s="127">
        <f t="shared" si="10"/>
        <v>-112</v>
      </c>
      <c r="J92" s="178">
        <f>-J90</f>
        <v>-1.65</v>
      </c>
      <c r="K92" s="177"/>
      <c r="L92" s="127">
        <f t="shared" si="11"/>
        <v>-112</v>
      </c>
      <c r="N92" s="128" t="e">
        <f>J92*#REF!</f>
        <v>#REF!</v>
      </c>
      <c r="Q92" s="64">
        <f t="shared" si="12"/>
        <v>0</v>
      </c>
      <c r="R92" s="96"/>
      <c r="S92" s="113"/>
      <c r="AD92" s="54"/>
      <c r="AE92" s="54"/>
      <c r="AF92" s="54"/>
      <c r="AG92" s="54"/>
      <c r="AH92" s="54"/>
      <c r="AI92" s="54"/>
      <c r="AK92" s="128"/>
    </row>
    <row r="93" spans="1:37">
      <c r="A93" s="134" t="s">
        <v>118</v>
      </c>
      <c r="C93" s="168">
        <f>C88</f>
        <v>686427244.71970081</v>
      </c>
      <c r="D93" s="133"/>
      <c r="E93" s="54"/>
      <c r="F93" s="127"/>
      <c r="G93" s="133"/>
      <c r="H93" s="54"/>
      <c r="I93" s="127"/>
      <c r="J93" s="135">
        <f>ROUND((I88/($I$88+$I$89)*$O$93)/C93*100,3)-0.154</f>
        <v>2.4570000000000003</v>
      </c>
      <c r="K93" s="136" t="s">
        <v>99</v>
      </c>
      <c r="L93" s="127">
        <f t="shared" si="11"/>
        <v>16865517.40276305</v>
      </c>
      <c r="N93" s="128"/>
      <c r="O93" s="128">
        <v>55754507.599091247</v>
      </c>
      <c r="P93" s="93" t="s">
        <v>18</v>
      </c>
      <c r="Q93" s="108"/>
      <c r="R93" s="108"/>
      <c r="S93" s="129"/>
      <c r="T93" s="129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K93" s="128"/>
    </row>
    <row r="94" spans="1:37">
      <c r="A94" s="134" t="s">
        <v>119</v>
      </c>
      <c r="C94" s="168">
        <f>C89</f>
        <v>915483323.92636359</v>
      </c>
      <c r="D94" s="133"/>
      <c r="E94" s="54"/>
      <c r="F94" s="127"/>
      <c r="G94" s="133"/>
      <c r="H94" s="54"/>
      <c r="I94" s="127"/>
      <c r="J94" s="135">
        <f>ROUND((I89/($I$88+$I$89)*$O$93)/C94*100,3)+0.115</f>
        <v>4.2480000000000002</v>
      </c>
      <c r="K94" s="136" t="s">
        <v>99</v>
      </c>
      <c r="L94" s="127">
        <f t="shared" si="11"/>
        <v>38889731.600391924</v>
      </c>
      <c r="N94" s="128"/>
      <c r="O94" s="128"/>
      <c r="P94" s="93"/>
      <c r="Q94" s="108"/>
      <c r="R94" s="108"/>
      <c r="S94" s="96">
        <f>(J94-J93)/J93</f>
        <v>0.72893772893772879</v>
      </c>
      <c r="T94" s="129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K94" s="128"/>
    </row>
    <row r="95" spans="1:37">
      <c r="A95" s="179" t="s">
        <v>120</v>
      </c>
      <c r="B95" s="180"/>
      <c r="C95" s="181"/>
      <c r="D95" s="182"/>
      <c r="E95" s="183"/>
      <c r="F95" s="184"/>
      <c r="G95" s="185">
        <f>G88</f>
        <v>5.9489999999999998</v>
      </c>
      <c r="H95" s="186" t="s">
        <v>99</v>
      </c>
      <c r="I95" s="184"/>
      <c r="J95" s="185">
        <f>J88+J93</f>
        <v>6.21</v>
      </c>
      <c r="K95" s="186" t="s">
        <v>99</v>
      </c>
      <c r="L95" s="184"/>
      <c r="N95" s="128"/>
      <c r="O95" s="128"/>
      <c r="P95" s="93"/>
      <c r="Q95" s="108"/>
      <c r="R95" s="108"/>
      <c r="S95" s="129"/>
      <c r="T95" s="129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K95" s="128"/>
    </row>
    <row r="96" spans="1:37">
      <c r="A96" s="179" t="s">
        <v>121</v>
      </c>
      <c r="B96" s="180"/>
      <c r="C96" s="181"/>
      <c r="D96" s="182"/>
      <c r="E96" s="183"/>
      <c r="F96" s="184"/>
      <c r="G96" s="185">
        <f>G89</f>
        <v>9.4159999999999986</v>
      </c>
      <c r="H96" s="186" t="s">
        <v>99</v>
      </c>
      <c r="I96" s="184"/>
      <c r="J96" s="185">
        <f>J89+J94</f>
        <v>10.731999999999999</v>
      </c>
      <c r="K96" s="186" t="s">
        <v>99</v>
      </c>
      <c r="L96" s="184"/>
      <c r="N96" s="128"/>
      <c r="O96" s="128"/>
      <c r="P96" s="93"/>
      <c r="Q96" s="108"/>
      <c r="R96" s="108"/>
      <c r="S96" s="96">
        <f>(J96-J95)/J95</f>
        <v>0.72818035426731065</v>
      </c>
      <c r="T96" s="129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K96" s="128"/>
    </row>
    <row r="97" spans="1:37">
      <c r="A97" s="136" t="s">
        <v>122</v>
      </c>
      <c r="B97" s="187"/>
      <c r="C97" s="168">
        <f>C112+C127+C142+C157</f>
        <v>1601910568.6460643</v>
      </c>
      <c r="D97" s="188"/>
      <c r="E97" s="127"/>
      <c r="F97" s="127">
        <f>F112+F127+F142+F157</f>
        <v>118172211</v>
      </c>
      <c r="G97" s="189"/>
      <c r="H97" s="127"/>
      <c r="I97" s="127">
        <f>I112+I127+I142+I157</f>
        <v>134558314</v>
      </c>
      <c r="J97" s="127"/>
      <c r="K97" s="127"/>
      <c r="L97" s="127">
        <f t="shared" ref="L97" si="13">L112+L127+L142+L157</f>
        <v>151964604.00315499</v>
      </c>
      <c r="N97" s="128" t="e">
        <f>SUM(N87:N92)</f>
        <v>#REF!</v>
      </c>
      <c r="P97" s="64"/>
      <c r="AD97" s="54"/>
      <c r="AE97" s="54"/>
      <c r="AF97" s="54"/>
      <c r="AG97" s="54"/>
      <c r="AH97" s="54"/>
      <c r="AI97" s="54"/>
      <c r="AK97" s="128"/>
    </row>
    <row r="98" spans="1:37">
      <c r="A98" s="136" t="s">
        <v>102</v>
      </c>
      <c r="B98" s="190"/>
      <c r="C98" s="191">
        <f>C113+C128+C143+C158</f>
        <v>-102779.74541931186</v>
      </c>
      <c r="D98" s="149"/>
      <c r="E98" s="149"/>
      <c r="F98" s="192" t="e">
        <f>F113+F128+F143+F158</f>
        <v>#REF!</v>
      </c>
      <c r="G98" s="149"/>
      <c r="H98" s="149"/>
      <c r="I98" s="191">
        <f>I113+I128+I143+I158</f>
        <v>12973.103934514973</v>
      </c>
      <c r="J98" s="149"/>
      <c r="K98" s="149"/>
      <c r="L98" s="192">
        <f>I98</f>
        <v>12973.103934514973</v>
      </c>
      <c r="AD98" s="54"/>
      <c r="AE98" s="54"/>
      <c r="AF98" s="54"/>
      <c r="AG98" s="54"/>
      <c r="AH98" s="54"/>
      <c r="AI98" s="54"/>
      <c r="AK98" s="128"/>
    </row>
    <row r="99" spans="1:37" ht="16.5" thickBot="1">
      <c r="A99" s="136" t="s">
        <v>123</v>
      </c>
      <c r="B99" s="136"/>
      <c r="C99" s="193">
        <f>C97+C98</f>
        <v>1601807788.900645</v>
      </c>
      <c r="D99" s="143"/>
      <c r="E99" s="143"/>
      <c r="F99" s="143" t="e">
        <f>F97+F98</f>
        <v>#REF!</v>
      </c>
      <c r="G99" s="143"/>
      <c r="H99" s="143"/>
      <c r="I99" s="143">
        <f>I97+I98</f>
        <v>134571287.10393453</v>
      </c>
      <c r="J99" s="143"/>
      <c r="K99" s="143"/>
      <c r="L99" s="143">
        <f>L97+L98</f>
        <v>151977577.10708952</v>
      </c>
      <c r="O99" s="144" t="s">
        <v>104</v>
      </c>
      <c r="P99" s="194">
        <v>151976943.01497039</v>
      </c>
      <c r="Q99" s="146">
        <v>0.1293415280898132</v>
      </c>
      <c r="R99" s="147"/>
      <c r="S99" s="134" t="s">
        <v>0</v>
      </c>
      <c r="T99" s="134" t="s">
        <v>0</v>
      </c>
      <c r="AD99" s="54"/>
      <c r="AE99" s="54"/>
      <c r="AF99" s="54"/>
      <c r="AG99" s="54"/>
      <c r="AH99" s="54"/>
      <c r="AI99" s="54"/>
      <c r="AK99" s="128"/>
    </row>
    <row r="100" spans="1:37" ht="16.5" thickTop="1">
      <c r="A100" s="136"/>
      <c r="B100" s="195"/>
      <c r="C100" s="168"/>
      <c r="D100" s="168"/>
      <c r="E100" s="168"/>
      <c r="G100" s="136" t="s">
        <v>0</v>
      </c>
      <c r="H100" s="136"/>
      <c r="J100" s="136" t="s">
        <v>0</v>
      </c>
      <c r="K100" s="136"/>
      <c r="L100" s="127" t="s">
        <v>0</v>
      </c>
      <c r="O100" s="150" t="s">
        <v>105</v>
      </c>
      <c r="P100" s="196">
        <f>P99-L99</f>
        <v>-634.09211912751198</v>
      </c>
      <c r="Q100" s="152">
        <v>-0.32</v>
      </c>
      <c r="R100" s="197"/>
      <c r="AD100" s="54"/>
      <c r="AE100" s="54"/>
      <c r="AF100" s="54"/>
      <c r="AG100" s="54"/>
      <c r="AH100" s="54"/>
      <c r="AI100" s="54"/>
      <c r="AK100" s="128"/>
    </row>
    <row r="101" spans="1:37">
      <c r="A101" s="340" t="s">
        <v>124</v>
      </c>
      <c r="B101" s="136"/>
      <c r="C101" s="136" t="s">
        <v>0</v>
      </c>
      <c r="D101" s="168" t="s">
        <v>0</v>
      </c>
      <c r="E101" s="168"/>
      <c r="F101" s="136"/>
      <c r="G101" s="168"/>
      <c r="H101" s="136"/>
      <c r="I101" s="136"/>
      <c r="J101" s="168"/>
      <c r="K101" s="136"/>
      <c r="L101" s="136"/>
      <c r="N101" s="54"/>
      <c r="O101" s="54"/>
      <c r="P101" s="100"/>
      <c r="Q101" s="109"/>
      <c r="R101" s="109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K101" s="128"/>
    </row>
    <row r="102" spans="1:37">
      <c r="A102" s="136" t="s">
        <v>55</v>
      </c>
      <c r="B102" s="136"/>
      <c r="C102" s="136" t="s">
        <v>0</v>
      </c>
      <c r="D102" s="168"/>
      <c r="E102" s="168"/>
      <c r="F102" s="136"/>
      <c r="G102" s="168"/>
      <c r="H102" s="136"/>
      <c r="I102" s="136"/>
      <c r="J102" s="168"/>
      <c r="K102" s="136"/>
      <c r="L102" s="136"/>
      <c r="N102" s="54"/>
      <c r="O102" s="54"/>
      <c r="P102" s="109"/>
      <c r="Q102" s="109"/>
      <c r="R102" s="109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K102" s="128"/>
    </row>
    <row r="103" spans="1:37">
      <c r="A103" s="198" t="s">
        <v>125</v>
      </c>
      <c r="B103" s="136"/>
      <c r="C103" s="136"/>
      <c r="D103" s="168"/>
      <c r="E103" s="168"/>
      <c r="F103" s="136"/>
      <c r="G103" s="168"/>
      <c r="H103" s="136"/>
      <c r="I103" s="136"/>
      <c r="J103" s="168"/>
      <c r="K103" s="136"/>
      <c r="L103" s="136"/>
      <c r="N103" s="54"/>
      <c r="O103" s="54"/>
      <c r="P103" s="109"/>
      <c r="Q103" s="109"/>
      <c r="R103" s="109"/>
      <c r="S103" s="199" t="s">
        <v>0</v>
      </c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K103" s="128"/>
    </row>
    <row r="104" spans="1:37">
      <c r="A104" s="136" t="s">
        <v>112</v>
      </c>
      <c r="B104" s="136"/>
      <c r="C104" s="168">
        <f>1200879+2+446</f>
        <v>1201327</v>
      </c>
      <c r="D104" s="172">
        <v>6</v>
      </c>
      <c r="E104" s="136"/>
      <c r="F104" s="127">
        <f>ROUND(D104*$C104,0)</f>
        <v>7207962</v>
      </c>
      <c r="G104" s="172">
        <v>6</v>
      </c>
      <c r="H104" s="136"/>
      <c r="I104" s="127">
        <f>ROUND(G104*C104,0)</f>
        <v>7207962</v>
      </c>
      <c r="J104" s="172">
        <f>$J$87</f>
        <v>8.85</v>
      </c>
      <c r="K104" s="136"/>
      <c r="L104" s="127">
        <f>ROUND(J104*$C104,0)</f>
        <v>10631744</v>
      </c>
      <c r="N104" s="54"/>
      <c r="O104" s="54"/>
      <c r="P104" s="109"/>
      <c r="Q104" s="109"/>
      <c r="R104" s="109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K104" s="128"/>
    </row>
    <row r="105" spans="1:37">
      <c r="A105" s="136" t="s">
        <v>113</v>
      </c>
      <c r="B105" s="136"/>
      <c r="C105" s="168">
        <v>657951885.40579605</v>
      </c>
      <c r="D105" s="135">
        <v>5.1929999999999996</v>
      </c>
      <c r="E105" s="136" t="s">
        <v>99</v>
      </c>
      <c r="F105" s="127">
        <f>ROUND(D105*$C105/100,0)</f>
        <v>34167441</v>
      </c>
      <c r="G105" s="135">
        <v>5.9489999999999998</v>
      </c>
      <c r="H105" s="136" t="s">
        <v>99</v>
      </c>
      <c r="I105" s="127">
        <f>ROUND(C105*G105/100,0)</f>
        <v>39141558</v>
      </c>
      <c r="J105" s="135">
        <f>$J$88</f>
        <v>3.7529999999999997</v>
      </c>
      <c r="K105" s="136" t="s">
        <v>99</v>
      </c>
      <c r="L105" s="127">
        <f>ROUND(J105*$C105/100,0)</f>
        <v>24692934</v>
      </c>
      <c r="N105" s="54"/>
      <c r="O105" s="54"/>
      <c r="P105" s="109"/>
      <c r="Q105" s="109"/>
      <c r="R105" s="109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K105" s="128"/>
    </row>
    <row r="106" spans="1:37">
      <c r="A106" s="136" t="s">
        <v>114</v>
      </c>
      <c r="B106" s="168"/>
      <c r="C106" s="168">
        <v>878150032.35905731</v>
      </c>
      <c r="D106" s="135">
        <v>8.1929999999999996</v>
      </c>
      <c r="E106" s="136" t="s">
        <v>99</v>
      </c>
      <c r="F106" s="127">
        <f>ROUND(D106*$C106/100,0)</f>
        <v>71946832</v>
      </c>
      <c r="G106" s="135">
        <v>9.4159999999999986</v>
      </c>
      <c r="H106" s="136" t="s">
        <v>99</v>
      </c>
      <c r="I106" s="127">
        <f>ROUND(C106*G106/100,0)</f>
        <v>82686607</v>
      </c>
      <c r="J106" s="135">
        <f>$J$89</f>
        <v>6.484</v>
      </c>
      <c r="K106" s="136" t="s">
        <v>99</v>
      </c>
      <c r="L106" s="127">
        <f>ROUND(J106*$C106/100,0)</f>
        <v>56939248</v>
      </c>
      <c r="N106" s="54"/>
      <c r="O106" s="54"/>
      <c r="P106" s="109"/>
      <c r="Q106" s="109"/>
      <c r="R106" s="109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K106" s="128"/>
    </row>
    <row r="107" spans="1:37">
      <c r="A107" s="136" t="s">
        <v>115</v>
      </c>
      <c r="B107" s="136"/>
      <c r="C107" s="168">
        <v>0</v>
      </c>
      <c r="D107" s="172">
        <v>1.6</v>
      </c>
      <c r="E107" s="136"/>
      <c r="F107" s="127">
        <f>ROUND(D107*$C107,0)</f>
        <v>0</v>
      </c>
      <c r="G107" s="172">
        <v>1.65</v>
      </c>
      <c r="H107" s="136"/>
      <c r="I107" s="127">
        <v>0</v>
      </c>
      <c r="J107" s="172">
        <f>$J$90</f>
        <v>1.65</v>
      </c>
      <c r="K107" s="136"/>
      <c r="L107" s="127">
        <f>ROUND(J107*$C107,0)</f>
        <v>0</v>
      </c>
      <c r="N107" s="54"/>
      <c r="O107" s="54"/>
      <c r="P107" s="109"/>
      <c r="Q107" s="109"/>
      <c r="R107" s="109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K107" s="128"/>
    </row>
    <row r="108" spans="1:37">
      <c r="A108" s="177" t="s">
        <v>116</v>
      </c>
      <c r="B108" s="177"/>
      <c r="C108" s="168">
        <v>0</v>
      </c>
      <c r="D108" s="172">
        <v>3.1</v>
      </c>
      <c r="E108" s="177"/>
      <c r="F108" s="127">
        <f>ROUND(D108*$C108,0)</f>
        <v>0</v>
      </c>
      <c r="G108" s="172">
        <v>3.2</v>
      </c>
      <c r="H108" s="177"/>
      <c r="I108" s="127">
        <v>0</v>
      </c>
      <c r="J108" s="172">
        <f>$J$91</f>
        <v>3.2</v>
      </c>
      <c r="K108" s="177"/>
      <c r="L108" s="127">
        <f>ROUND(J108*$C108,0)</f>
        <v>0</v>
      </c>
      <c r="N108" s="54"/>
      <c r="O108" s="54"/>
      <c r="P108" s="109"/>
      <c r="Q108" s="109"/>
      <c r="R108" s="109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K108" s="128"/>
    </row>
    <row r="109" spans="1:37">
      <c r="A109" s="177" t="s">
        <v>117</v>
      </c>
      <c r="B109" s="177"/>
      <c r="C109" s="168">
        <v>0</v>
      </c>
      <c r="D109" s="178">
        <v>-1.6</v>
      </c>
      <c r="E109" s="177"/>
      <c r="F109" s="127">
        <f>ROUND(D109*$C109,0)</f>
        <v>0</v>
      </c>
      <c r="G109" s="178">
        <v>-1.65</v>
      </c>
      <c r="H109" s="177"/>
      <c r="I109" s="127">
        <v>0</v>
      </c>
      <c r="J109" s="178">
        <f>-J107</f>
        <v>-1.65</v>
      </c>
      <c r="K109" s="177"/>
      <c r="L109" s="127">
        <f>ROUND(J109*$C109,0)</f>
        <v>0</v>
      </c>
      <c r="N109" s="54"/>
      <c r="O109" s="54"/>
      <c r="P109" s="109"/>
      <c r="Q109" s="109"/>
      <c r="R109" s="109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K109" s="128"/>
    </row>
    <row r="110" spans="1:37">
      <c r="A110" s="134" t="s">
        <v>118</v>
      </c>
      <c r="C110" s="125">
        <f>C105</f>
        <v>657951885.40579605</v>
      </c>
      <c r="D110" s="133"/>
      <c r="E110" s="54"/>
      <c r="F110" s="127"/>
      <c r="G110" s="133"/>
      <c r="H110" s="54"/>
      <c r="I110" s="127"/>
      <c r="J110" s="135">
        <f>J93</f>
        <v>2.4570000000000003</v>
      </c>
      <c r="K110" s="136" t="s">
        <v>99</v>
      </c>
      <c r="L110" s="127">
        <f t="shared" ref="L110:L111" si="14">J110*C110/100</f>
        <v>16165877.824420411</v>
      </c>
      <c r="N110" s="128"/>
      <c r="P110" s="93"/>
      <c r="Q110" s="108"/>
      <c r="R110" s="108"/>
      <c r="S110" s="129"/>
      <c r="T110" s="129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K110" s="128"/>
    </row>
    <row r="111" spans="1:37">
      <c r="A111" s="134" t="s">
        <v>119</v>
      </c>
      <c r="C111" s="125">
        <f>C106</f>
        <v>878150032.35905731</v>
      </c>
      <c r="D111" s="133"/>
      <c r="E111" s="54"/>
      <c r="F111" s="127"/>
      <c r="G111" s="133"/>
      <c r="H111" s="54"/>
      <c r="I111" s="127"/>
      <c r="J111" s="135">
        <f>J94</f>
        <v>4.2480000000000002</v>
      </c>
      <c r="K111" s="136" t="s">
        <v>99</v>
      </c>
      <c r="L111" s="127">
        <f t="shared" si="14"/>
        <v>37303813.374612756</v>
      </c>
      <c r="N111" s="128"/>
      <c r="P111" s="93"/>
      <c r="Q111" s="108"/>
      <c r="R111" s="108"/>
      <c r="S111" s="129"/>
      <c r="T111" s="129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K111" s="128"/>
    </row>
    <row r="112" spans="1:37">
      <c r="A112" s="136" t="s">
        <v>122</v>
      </c>
      <c r="B112" s="187"/>
      <c r="C112" s="168">
        <f>SUM(C105:C106)</f>
        <v>1536101917.7648535</v>
      </c>
      <c r="D112" s="188"/>
      <c r="E112" s="127"/>
      <c r="F112" s="127">
        <f>SUM(F104:F109)</f>
        <v>113322235</v>
      </c>
      <c r="G112" s="189"/>
      <c r="H112" s="127"/>
      <c r="I112" s="127">
        <f>SUM(I104:I109)</f>
        <v>129036127</v>
      </c>
      <c r="J112" s="127"/>
      <c r="K112" s="127"/>
      <c r="L112" s="127">
        <f>SUM(L104:L111)</f>
        <v>145733617.19903317</v>
      </c>
      <c r="N112" s="54"/>
      <c r="O112" s="54"/>
      <c r="P112" s="200"/>
      <c r="Q112" s="109"/>
      <c r="R112" s="109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K112" s="128"/>
    </row>
    <row r="113" spans="1:37">
      <c r="A113" s="136" t="s">
        <v>102</v>
      </c>
      <c r="B113" s="190"/>
      <c r="C113" s="201">
        <v>-98559.970767906168</v>
      </c>
      <c r="D113" s="149"/>
      <c r="E113" s="149"/>
      <c r="F113" s="192" t="e">
        <f>#REF!</f>
        <v>#REF!</v>
      </c>
      <c r="G113" s="149"/>
      <c r="H113" s="149"/>
      <c r="I113" s="191">
        <v>12440.360107517636</v>
      </c>
      <c r="J113" s="149"/>
      <c r="K113" s="149"/>
      <c r="L113" s="192">
        <f>I113</f>
        <v>12440.360107517636</v>
      </c>
      <c r="N113" s="164"/>
      <c r="O113" s="164"/>
      <c r="P113" s="162"/>
      <c r="Q113" s="109"/>
      <c r="R113" s="109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K113" s="128"/>
    </row>
    <row r="114" spans="1:37" ht="16.5" thickBot="1">
      <c r="A114" s="136" t="s">
        <v>123</v>
      </c>
      <c r="B114" s="136"/>
      <c r="C114" s="193">
        <f>C112+C113</f>
        <v>1536003357.7940855</v>
      </c>
      <c r="D114" s="143"/>
      <c r="E114" s="143"/>
      <c r="F114" s="143" t="e">
        <f>F112+F113</f>
        <v>#REF!</v>
      </c>
      <c r="G114" s="143"/>
      <c r="H114" s="143"/>
      <c r="I114" s="143">
        <f>SUM(I112:I113)</f>
        <v>129048567.36010751</v>
      </c>
      <c r="J114" s="143"/>
      <c r="K114" s="143"/>
      <c r="L114" s="143">
        <f>L112+L113</f>
        <v>145746057.55914068</v>
      </c>
      <c r="N114" s="165"/>
      <c r="O114" s="165"/>
      <c r="P114" s="166"/>
      <c r="Q114" s="109"/>
      <c r="R114" s="109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K114" s="128"/>
    </row>
    <row r="115" spans="1:37" ht="16.5" thickTop="1">
      <c r="A115" s="136"/>
      <c r="B115" s="195"/>
      <c r="C115" s="168"/>
      <c r="D115" s="168"/>
      <c r="E115" s="168"/>
      <c r="G115" s="136" t="s">
        <v>0</v>
      </c>
      <c r="H115" s="136"/>
      <c r="I115" s="128" t="s">
        <v>0</v>
      </c>
      <c r="J115" s="136" t="s">
        <v>0</v>
      </c>
      <c r="K115" s="136"/>
      <c r="L115" s="127" t="s">
        <v>0</v>
      </c>
      <c r="N115" s="54"/>
      <c r="O115" s="54"/>
      <c r="P115" s="109"/>
      <c r="Q115" s="109"/>
      <c r="R115" s="109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K115" s="128"/>
    </row>
    <row r="116" spans="1:37">
      <c r="A116" s="340" t="s">
        <v>126</v>
      </c>
      <c r="B116" s="136"/>
      <c r="C116" s="136" t="s">
        <v>0</v>
      </c>
      <c r="D116" s="168"/>
      <c r="E116" s="168"/>
      <c r="F116" s="136"/>
      <c r="G116" s="168"/>
      <c r="H116" s="136"/>
      <c r="I116" s="136"/>
      <c r="J116" s="168"/>
      <c r="K116" s="136"/>
      <c r="L116" s="136"/>
      <c r="N116" s="54"/>
      <c r="O116" s="54"/>
      <c r="P116" s="109"/>
      <c r="Q116" s="109"/>
      <c r="R116" s="109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K116" s="128"/>
    </row>
    <row r="117" spans="1:37">
      <c r="A117" s="136" t="s">
        <v>55</v>
      </c>
      <c r="B117" s="136"/>
      <c r="C117" s="136"/>
      <c r="D117" s="168"/>
      <c r="E117" s="168"/>
      <c r="F117" s="136"/>
      <c r="G117" s="168"/>
      <c r="H117" s="136"/>
      <c r="I117" s="136"/>
      <c r="J117" s="168"/>
      <c r="K117" s="136"/>
      <c r="L117" s="136"/>
      <c r="N117" s="54"/>
      <c r="O117" s="54"/>
      <c r="P117" s="109"/>
      <c r="Q117" s="109"/>
      <c r="R117" s="109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K117" s="128"/>
    </row>
    <row r="118" spans="1:37">
      <c r="A118" s="170"/>
      <c r="B118" s="136"/>
      <c r="C118" s="136"/>
      <c r="D118" s="168"/>
      <c r="E118" s="168"/>
      <c r="F118" s="136"/>
      <c r="G118" s="168"/>
      <c r="H118" s="136"/>
      <c r="I118" s="136"/>
      <c r="J118" s="168"/>
      <c r="K118" s="136"/>
      <c r="L118" s="136"/>
      <c r="N118" s="54"/>
      <c r="O118" s="54"/>
      <c r="P118" s="109"/>
      <c r="Q118" s="109"/>
      <c r="R118" s="109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K118" s="128"/>
    </row>
    <row r="119" spans="1:37">
      <c r="A119" s="136" t="s">
        <v>112</v>
      </c>
      <c r="B119" s="136"/>
      <c r="C119" s="168">
        <v>48990.733333333301</v>
      </c>
      <c r="D119" s="172">
        <v>6</v>
      </c>
      <c r="E119" s="136"/>
      <c r="F119" s="127">
        <f>ROUND(D119*$C119,0)</f>
        <v>293944</v>
      </c>
      <c r="G119" s="172">
        <v>6</v>
      </c>
      <c r="H119" s="136"/>
      <c r="I119" s="127">
        <f>ROUND(G119*C119,0)</f>
        <v>293944</v>
      </c>
      <c r="J119" s="172">
        <f>$J$87</f>
        <v>8.85</v>
      </c>
      <c r="K119" s="136"/>
      <c r="L119" s="127">
        <f>ROUND(J119*$C119,0)</f>
        <v>433568</v>
      </c>
      <c r="N119" s="54"/>
      <c r="O119" s="54"/>
      <c r="P119" s="109"/>
      <c r="Q119" s="109"/>
      <c r="R119" s="109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K119" s="128"/>
    </row>
    <row r="120" spans="1:37">
      <c r="A120" s="136" t="s">
        <v>113</v>
      </c>
      <c r="B120" s="136"/>
      <c r="C120" s="168">
        <v>27771554.146252096</v>
      </c>
      <c r="D120" s="135">
        <v>5.1929999999999996</v>
      </c>
      <c r="E120" s="136" t="s">
        <v>99</v>
      </c>
      <c r="F120" s="127">
        <f>ROUND(D120*$C120/100,0)</f>
        <v>1442177</v>
      </c>
      <c r="G120" s="135">
        <v>5.9489999999999998</v>
      </c>
      <c r="H120" s="136" t="s">
        <v>99</v>
      </c>
      <c r="I120" s="127">
        <f>ROUND(C120*G120/100,0)</f>
        <v>1652130</v>
      </c>
      <c r="J120" s="135">
        <f>$J$88</f>
        <v>3.7529999999999997</v>
      </c>
      <c r="K120" s="136" t="s">
        <v>99</v>
      </c>
      <c r="L120" s="127">
        <f>ROUND(J120*$C120/100,0)</f>
        <v>1042266</v>
      </c>
      <c r="N120" s="54"/>
      <c r="O120" s="54"/>
      <c r="P120" s="109"/>
      <c r="Q120" s="109"/>
      <c r="R120" s="109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K120" s="128"/>
    </row>
    <row r="121" spans="1:37">
      <c r="A121" s="136" t="s">
        <v>114</v>
      </c>
      <c r="B121" s="136"/>
      <c r="C121" s="168">
        <v>35390608.200177774</v>
      </c>
      <c r="D121" s="135">
        <v>8.1929999999999996</v>
      </c>
      <c r="E121" s="136" t="s">
        <v>99</v>
      </c>
      <c r="F121" s="127">
        <f>ROUND(D121*$C121/100,0)</f>
        <v>2899553</v>
      </c>
      <c r="G121" s="135">
        <v>9.4159999999999986</v>
      </c>
      <c r="H121" s="136" t="s">
        <v>99</v>
      </c>
      <c r="I121" s="127">
        <f>ROUND(C121*G121/100,0)</f>
        <v>3332380</v>
      </c>
      <c r="J121" s="135">
        <f>$J$89</f>
        <v>6.484</v>
      </c>
      <c r="K121" s="136" t="s">
        <v>99</v>
      </c>
      <c r="L121" s="127">
        <f>ROUND(J121*$C121/100,0)</f>
        <v>2294727</v>
      </c>
      <c r="N121" s="54"/>
      <c r="O121" s="54"/>
      <c r="P121" s="109"/>
      <c r="Q121" s="109"/>
      <c r="R121" s="109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K121" s="128"/>
    </row>
    <row r="122" spans="1:37">
      <c r="A122" s="136" t="s">
        <v>115</v>
      </c>
      <c r="B122" s="136"/>
      <c r="C122" s="168">
        <v>0</v>
      </c>
      <c r="D122" s="172">
        <v>1.6</v>
      </c>
      <c r="E122" s="136"/>
      <c r="F122" s="127">
        <f>ROUND(D122*$C122,0)</f>
        <v>0</v>
      </c>
      <c r="G122" s="172">
        <v>1.65</v>
      </c>
      <c r="H122" s="136"/>
      <c r="I122" s="127">
        <v>0</v>
      </c>
      <c r="J122" s="172">
        <f>$J$90</f>
        <v>1.65</v>
      </c>
      <c r="K122" s="136"/>
      <c r="L122" s="127">
        <f>ROUND(J122*$C122,0)</f>
        <v>0</v>
      </c>
      <c r="N122" s="54"/>
      <c r="O122" s="54"/>
      <c r="P122" s="109"/>
      <c r="Q122" s="109"/>
      <c r="R122" s="109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K122" s="128"/>
    </row>
    <row r="123" spans="1:37">
      <c r="A123" s="177" t="s">
        <v>116</v>
      </c>
      <c r="B123" s="177"/>
      <c r="C123" s="168">
        <v>0</v>
      </c>
      <c r="D123" s="172">
        <v>3.1</v>
      </c>
      <c r="E123" s="177"/>
      <c r="F123" s="127">
        <f>ROUND(D123*$C123,0)</f>
        <v>0</v>
      </c>
      <c r="G123" s="172">
        <v>3.2</v>
      </c>
      <c r="H123" s="177"/>
      <c r="I123" s="127">
        <v>0</v>
      </c>
      <c r="J123" s="172">
        <f>$J$91</f>
        <v>3.2</v>
      </c>
      <c r="K123" s="177"/>
      <c r="L123" s="127">
        <f>ROUND(J123*$C123,0)</f>
        <v>0</v>
      </c>
      <c r="N123" s="54"/>
      <c r="O123" s="54"/>
      <c r="P123" s="109"/>
      <c r="Q123" s="109"/>
      <c r="R123" s="109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K123" s="128"/>
    </row>
    <row r="124" spans="1:37">
      <c r="A124" s="177" t="s">
        <v>117</v>
      </c>
      <c r="B124" s="177"/>
      <c r="C124" s="168">
        <v>0</v>
      </c>
      <c r="D124" s="178">
        <v>-1.6</v>
      </c>
      <c r="E124" s="177"/>
      <c r="F124" s="127">
        <f>ROUND(D124*$C124,0)</f>
        <v>0</v>
      </c>
      <c r="G124" s="178">
        <v>-1.65</v>
      </c>
      <c r="H124" s="177"/>
      <c r="I124" s="127">
        <v>0</v>
      </c>
      <c r="J124" s="178">
        <f>-J122</f>
        <v>-1.65</v>
      </c>
      <c r="K124" s="177"/>
      <c r="L124" s="127">
        <f>ROUND(J124*$C124,0)</f>
        <v>0</v>
      </c>
      <c r="N124" s="54"/>
      <c r="O124" s="54"/>
      <c r="P124" s="109"/>
      <c r="Q124" s="109"/>
      <c r="R124" s="109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K124" s="128"/>
    </row>
    <row r="125" spans="1:37">
      <c r="A125" s="134" t="s">
        <v>118</v>
      </c>
      <c r="C125" s="125">
        <f>C120</f>
        <v>27771554.146252096</v>
      </c>
      <c r="D125" s="133"/>
      <c r="E125" s="54"/>
      <c r="F125" s="127"/>
      <c r="G125" s="133"/>
      <c r="H125" s="54"/>
      <c r="I125" s="127"/>
      <c r="J125" s="135">
        <f>J110</f>
        <v>2.4570000000000003</v>
      </c>
      <c r="K125" s="136" t="s">
        <v>99</v>
      </c>
      <c r="L125" s="127">
        <f t="shared" ref="L125:L126" si="15">J125*C125/100</f>
        <v>682347.08537341398</v>
      </c>
      <c r="N125" s="128"/>
      <c r="P125" s="93"/>
      <c r="Q125" s="108"/>
      <c r="R125" s="108"/>
      <c r="S125" s="129"/>
      <c r="T125" s="129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K125" s="128"/>
    </row>
    <row r="126" spans="1:37">
      <c r="A126" s="134" t="s">
        <v>119</v>
      </c>
      <c r="C126" s="125">
        <f>C121</f>
        <v>35390608.200177774</v>
      </c>
      <c r="D126" s="133"/>
      <c r="E126" s="54"/>
      <c r="F126" s="127"/>
      <c r="G126" s="133"/>
      <c r="H126" s="54"/>
      <c r="I126" s="127"/>
      <c r="J126" s="135">
        <f>J111</f>
        <v>4.2480000000000002</v>
      </c>
      <c r="K126" s="136" t="s">
        <v>99</v>
      </c>
      <c r="L126" s="127">
        <f t="shared" si="15"/>
        <v>1503393.0363435519</v>
      </c>
      <c r="N126" s="128"/>
      <c r="P126" s="93"/>
      <c r="Q126" s="108"/>
      <c r="R126" s="108"/>
      <c r="S126" s="129"/>
      <c r="T126" s="129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K126" s="128"/>
    </row>
    <row r="127" spans="1:37">
      <c r="A127" s="136" t="s">
        <v>122</v>
      </c>
      <c r="B127" s="136"/>
      <c r="C127" s="168">
        <f>SUM(C120:C121)</f>
        <v>63162162.34642987</v>
      </c>
      <c r="D127" s="188"/>
      <c r="E127" s="127"/>
      <c r="F127" s="127">
        <f>SUM(F119:F124)</f>
        <v>4635674</v>
      </c>
      <c r="G127" s="189"/>
      <c r="H127" s="127"/>
      <c r="I127" s="127">
        <f>SUM(I119:I124)</f>
        <v>5278454</v>
      </c>
      <c r="J127" s="127"/>
      <c r="K127" s="127"/>
      <c r="L127" s="127">
        <f>SUM(L119:L126)</f>
        <v>5956301.1217169659</v>
      </c>
      <c r="N127" s="54"/>
      <c r="O127" s="54"/>
      <c r="P127" s="109"/>
      <c r="Q127" s="109"/>
      <c r="R127" s="109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K127" s="128"/>
    </row>
    <row r="128" spans="1:37">
      <c r="A128" s="136" t="s">
        <v>102</v>
      </c>
      <c r="B128" s="136"/>
      <c r="C128" s="201">
        <v>-4050.066849352972</v>
      </c>
      <c r="D128" s="149"/>
      <c r="E128" s="149"/>
      <c r="F128" s="192" t="e">
        <f>#REF!</f>
        <v>#REF!</v>
      </c>
      <c r="G128" s="149"/>
      <c r="H128" s="149"/>
      <c r="I128" s="191">
        <v>509.23332391723989</v>
      </c>
      <c r="J128" s="149"/>
      <c r="K128" s="149"/>
      <c r="L128" s="192">
        <f>I128</f>
        <v>509.23332391723989</v>
      </c>
      <c r="N128" s="164"/>
      <c r="O128" s="164"/>
      <c r="P128" s="162"/>
      <c r="Q128" s="109"/>
      <c r="R128" s="109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K128" s="128"/>
    </row>
    <row r="129" spans="1:37" ht="16.5" thickBot="1">
      <c r="A129" s="136" t="s">
        <v>123</v>
      </c>
      <c r="B129" s="136"/>
      <c r="C129" s="193">
        <f>C127+C128</f>
        <v>63158112.279580519</v>
      </c>
      <c r="D129" s="143"/>
      <c r="E129" s="143"/>
      <c r="F129" s="143" t="e">
        <f>F127+F128</f>
        <v>#REF!</v>
      </c>
      <c r="G129" s="143"/>
      <c r="H129" s="143"/>
      <c r="I129" s="143">
        <f>SUM(I127:I128)</f>
        <v>5278963.2333239168</v>
      </c>
      <c r="J129" s="143"/>
      <c r="K129" s="143"/>
      <c r="L129" s="143">
        <f>L127+L128</f>
        <v>5956810.3550408827</v>
      </c>
      <c r="N129" s="165"/>
      <c r="O129" s="165"/>
      <c r="P129" s="166"/>
      <c r="Q129" s="109"/>
      <c r="R129" s="109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K129" s="128"/>
    </row>
    <row r="130" spans="1:37" ht="16.5" thickTop="1">
      <c r="A130" s="136"/>
      <c r="B130" s="195"/>
      <c r="C130" s="168"/>
      <c r="D130" s="168"/>
      <c r="E130" s="168"/>
      <c r="G130" s="136" t="s">
        <v>0</v>
      </c>
      <c r="H130" s="136"/>
      <c r="J130" s="136" t="s">
        <v>0</v>
      </c>
      <c r="K130" s="136"/>
      <c r="L130" s="127" t="s">
        <v>0</v>
      </c>
      <c r="N130" s="54"/>
      <c r="O130" s="54"/>
      <c r="P130" s="109"/>
      <c r="Q130" s="109"/>
      <c r="R130" s="109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K130" s="128"/>
    </row>
    <row r="131" spans="1:37">
      <c r="A131" s="340" t="s">
        <v>127</v>
      </c>
      <c r="B131" s="136"/>
      <c r="C131" s="136"/>
      <c r="D131" s="168"/>
      <c r="E131" s="168"/>
      <c r="F131" s="136"/>
      <c r="G131" s="168"/>
      <c r="H131" s="136"/>
      <c r="I131" s="136"/>
      <c r="J131" s="168"/>
      <c r="K131" s="136"/>
      <c r="L131" s="136"/>
      <c r="N131" s="54"/>
      <c r="O131" s="54"/>
      <c r="P131" s="109"/>
      <c r="Q131" s="109"/>
      <c r="R131" s="109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K131" s="128"/>
    </row>
    <row r="132" spans="1:37">
      <c r="A132" s="136" t="s">
        <v>55</v>
      </c>
      <c r="B132" s="136"/>
      <c r="C132" s="136"/>
      <c r="D132" s="168"/>
      <c r="E132" s="168"/>
      <c r="F132" s="136"/>
      <c r="G132" s="168"/>
      <c r="H132" s="136"/>
      <c r="I132" s="136"/>
      <c r="J132" s="168"/>
      <c r="K132" s="136"/>
      <c r="L132" s="136"/>
      <c r="N132" s="54"/>
      <c r="O132" s="54"/>
      <c r="P132" s="109"/>
      <c r="Q132" s="109"/>
      <c r="R132" s="109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K132" s="128"/>
    </row>
    <row r="133" spans="1:37">
      <c r="A133" s="170"/>
      <c r="B133" s="136"/>
      <c r="C133" s="136"/>
      <c r="D133" s="168"/>
      <c r="E133" s="168"/>
      <c r="F133" s="136"/>
      <c r="G133" s="168"/>
      <c r="H133" s="136"/>
      <c r="I133" s="136"/>
      <c r="J133" s="168"/>
      <c r="K133" s="136"/>
      <c r="L133" s="136"/>
      <c r="N133" s="54"/>
      <c r="O133" s="54"/>
      <c r="P133" s="109"/>
      <c r="Q133" s="109"/>
      <c r="R133" s="109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K133" s="128"/>
    </row>
    <row r="134" spans="1:37">
      <c r="A134" s="136" t="s">
        <v>112</v>
      </c>
      <c r="B134" s="136"/>
      <c r="C134" s="168">
        <f>1028</f>
        <v>1028</v>
      </c>
      <c r="D134" s="172">
        <v>6</v>
      </c>
      <c r="E134" s="136"/>
      <c r="F134" s="127">
        <f>ROUND(D134*$C134,0)</f>
        <v>6168</v>
      </c>
      <c r="G134" s="172">
        <v>6</v>
      </c>
      <c r="H134" s="136"/>
      <c r="I134" s="127">
        <f>ROUND(G134*C134,0)</f>
        <v>6168</v>
      </c>
      <c r="J134" s="172">
        <f>$J$87</f>
        <v>8.85</v>
      </c>
      <c r="K134" s="136"/>
      <c r="L134" s="127">
        <f>ROUND(J134*$C134,0)</f>
        <v>9098</v>
      </c>
      <c r="N134" s="54"/>
      <c r="O134" s="54"/>
      <c r="P134" s="109"/>
      <c r="Q134" s="109"/>
      <c r="R134" s="109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K134" s="128"/>
    </row>
    <row r="135" spans="1:37">
      <c r="A135" s="136" t="s">
        <v>113</v>
      </c>
      <c r="B135" s="136"/>
      <c r="C135" s="168">
        <v>573656.16765255562</v>
      </c>
      <c r="D135" s="135">
        <v>5.1929999999999996</v>
      </c>
      <c r="E135" s="136" t="s">
        <v>99</v>
      </c>
      <c r="F135" s="127">
        <f>ROUND(D135*$C135/100,0)</f>
        <v>29790</v>
      </c>
      <c r="G135" s="135">
        <v>5.9489999999999998</v>
      </c>
      <c r="H135" s="136" t="s">
        <v>99</v>
      </c>
      <c r="I135" s="127">
        <f>ROUND(C135*G135/100,0)</f>
        <v>34127</v>
      </c>
      <c r="J135" s="135">
        <f>$J$88</f>
        <v>3.7529999999999997</v>
      </c>
      <c r="K135" s="136" t="s">
        <v>99</v>
      </c>
      <c r="L135" s="127">
        <f>ROUND(J135*$C135/100,0)</f>
        <v>21529</v>
      </c>
      <c r="N135" s="54"/>
      <c r="O135" s="54"/>
      <c r="P135" s="109"/>
      <c r="Q135" s="109"/>
      <c r="R135" s="109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K135" s="128"/>
    </row>
    <row r="136" spans="1:37">
      <c r="A136" s="136" t="s">
        <v>114</v>
      </c>
      <c r="B136" s="136"/>
      <c r="C136" s="168">
        <v>1639447.3671285319</v>
      </c>
      <c r="D136" s="135">
        <v>8.1929999999999996</v>
      </c>
      <c r="E136" s="136" t="s">
        <v>99</v>
      </c>
      <c r="F136" s="127">
        <f>ROUND(D136*$C136/100,0)</f>
        <v>134320</v>
      </c>
      <c r="G136" s="135">
        <v>9.4159999999999986</v>
      </c>
      <c r="H136" s="136" t="s">
        <v>99</v>
      </c>
      <c r="I136" s="127">
        <f>ROUND(C136*G136/100,0)</f>
        <v>154370</v>
      </c>
      <c r="J136" s="135">
        <f>$J$89</f>
        <v>6.484</v>
      </c>
      <c r="K136" s="136" t="s">
        <v>99</v>
      </c>
      <c r="L136" s="127">
        <f>ROUND(J136*$C136/100,0)</f>
        <v>106302</v>
      </c>
      <c r="N136" s="54"/>
      <c r="O136" s="54"/>
      <c r="P136" s="109"/>
      <c r="Q136" s="109"/>
      <c r="R136" s="109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K136" s="128"/>
    </row>
    <row r="137" spans="1:37">
      <c r="A137" s="136" t="s">
        <v>115</v>
      </c>
      <c r="B137" s="136"/>
      <c r="C137" s="168">
        <f>4742</f>
        <v>4742</v>
      </c>
      <c r="D137" s="172">
        <v>1.6</v>
      </c>
      <c r="E137" s="136"/>
      <c r="F137" s="127">
        <f>ROUND(D137*$C137,0)</f>
        <v>7587</v>
      </c>
      <c r="G137" s="172">
        <v>1.65</v>
      </c>
      <c r="H137" s="136"/>
      <c r="I137" s="127">
        <f t="shared" ref="I137:I138" si="16">ROUND(G137*C137,0)</f>
        <v>7824</v>
      </c>
      <c r="J137" s="172">
        <f>$J$90</f>
        <v>1.65</v>
      </c>
      <c r="K137" s="136"/>
      <c r="L137" s="127">
        <f>ROUND(J137*$C137,0)</f>
        <v>7824</v>
      </c>
      <c r="N137" s="54"/>
      <c r="O137" s="54"/>
      <c r="P137" s="109"/>
      <c r="Q137" s="109"/>
      <c r="R137" s="109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K137" s="128"/>
    </row>
    <row r="138" spans="1:37">
      <c r="A138" s="177" t="s">
        <v>116</v>
      </c>
      <c r="B138" s="177"/>
      <c r="C138" s="168">
        <f>638</f>
        <v>638</v>
      </c>
      <c r="D138" s="172">
        <v>3.1</v>
      </c>
      <c r="E138" s="177"/>
      <c r="F138" s="127">
        <f>ROUND(D138*$C138,0)</f>
        <v>1978</v>
      </c>
      <c r="G138" s="172">
        <v>3.2</v>
      </c>
      <c r="H138" s="177"/>
      <c r="I138" s="127">
        <f t="shared" si="16"/>
        <v>2042</v>
      </c>
      <c r="J138" s="172">
        <f>$J$91</f>
        <v>3.2</v>
      </c>
      <c r="K138" s="177"/>
      <c r="L138" s="127">
        <f>ROUND(J138*$C138,0)</f>
        <v>2042</v>
      </c>
      <c r="N138" s="54"/>
      <c r="O138" s="54"/>
      <c r="P138" s="109"/>
      <c r="Q138" s="109"/>
      <c r="R138" s="109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K138" s="128"/>
    </row>
    <row r="139" spans="1:37">
      <c r="A139" s="177" t="s">
        <v>117</v>
      </c>
      <c r="B139" s="177"/>
      <c r="C139" s="168">
        <v>52</v>
      </c>
      <c r="D139" s="178">
        <v>-1.6</v>
      </c>
      <c r="E139" s="177"/>
      <c r="F139" s="127">
        <f>ROUND(D139*$C139,0)</f>
        <v>-83</v>
      </c>
      <c r="G139" s="178">
        <v>-1.65</v>
      </c>
      <c r="H139" s="177"/>
      <c r="I139" s="127">
        <f>ROUND(G139*C139,0)</f>
        <v>-86</v>
      </c>
      <c r="J139" s="178">
        <f>-J137</f>
        <v>-1.65</v>
      </c>
      <c r="K139" s="177"/>
      <c r="L139" s="127">
        <f>ROUND(J139*$C139,0)</f>
        <v>-86</v>
      </c>
      <c r="N139" s="54"/>
      <c r="O139" s="54"/>
      <c r="P139" s="109"/>
      <c r="Q139" s="109"/>
      <c r="R139" s="109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K139" s="128"/>
    </row>
    <row r="140" spans="1:37">
      <c r="A140" s="134" t="s">
        <v>118</v>
      </c>
      <c r="C140" s="125">
        <f>C135</f>
        <v>573656.16765255562</v>
      </c>
      <c r="D140" s="133"/>
      <c r="E140" s="54"/>
      <c r="F140" s="127"/>
      <c r="G140" s="133"/>
      <c r="H140" s="54"/>
      <c r="I140" s="127"/>
      <c r="J140" s="135">
        <f>J125</f>
        <v>2.4570000000000003</v>
      </c>
      <c r="K140" s="136" t="s">
        <v>99</v>
      </c>
      <c r="L140" s="127">
        <f t="shared" ref="L140:L141" si="17">J140*C140/100</f>
        <v>14094.732039223292</v>
      </c>
      <c r="N140" s="128"/>
      <c r="P140" s="93"/>
      <c r="Q140" s="108"/>
      <c r="R140" s="108"/>
      <c r="S140" s="129"/>
      <c r="T140" s="129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K140" s="128"/>
    </row>
    <row r="141" spans="1:37">
      <c r="A141" s="134" t="s">
        <v>119</v>
      </c>
      <c r="C141" s="125">
        <f>C136</f>
        <v>1639447.3671285319</v>
      </c>
      <c r="D141" s="133"/>
      <c r="E141" s="54"/>
      <c r="F141" s="127"/>
      <c r="G141" s="133"/>
      <c r="H141" s="54"/>
      <c r="I141" s="127"/>
      <c r="J141" s="135">
        <f>J126</f>
        <v>4.2480000000000002</v>
      </c>
      <c r="K141" s="136" t="s">
        <v>99</v>
      </c>
      <c r="L141" s="127">
        <f t="shared" si="17"/>
        <v>69643.724155620032</v>
      </c>
      <c r="N141" s="128"/>
      <c r="P141" s="93"/>
      <c r="Q141" s="108"/>
      <c r="R141" s="108"/>
      <c r="S141" s="129"/>
      <c r="T141" s="129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K141" s="128"/>
    </row>
    <row r="142" spans="1:37">
      <c r="A142" s="136" t="s">
        <v>122</v>
      </c>
      <c r="B142" s="187"/>
      <c r="C142" s="168">
        <f>SUM(C135:C136)</f>
        <v>2213103.5347810877</v>
      </c>
      <c r="D142" s="188"/>
      <c r="E142" s="127"/>
      <c r="F142" s="127">
        <f>SUM(F134:F139)</f>
        <v>179760</v>
      </c>
      <c r="G142" s="189"/>
      <c r="H142" s="127"/>
      <c r="I142" s="127">
        <f>SUM(I134:I139)</f>
        <v>204445</v>
      </c>
      <c r="J142" s="127"/>
      <c r="K142" s="127"/>
      <c r="L142" s="127">
        <f>SUM(L134:L141)</f>
        <v>230447.45619484331</v>
      </c>
      <c r="N142" s="54"/>
      <c r="O142" s="54"/>
      <c r="P142" s="109"/>
      <c r="Q142" s="109"/>
      <c r="R142" s="109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K142" s="128"/>
    </row>
    <row r="143" spans="1:37">
      <c r="A143" s="136" t="s">
        <v>102</v>
      </c>
      <c r="B143" s="202"/>
      <c r="C143" s="201">
        <v>-141.94975056245792</v>
      </c>
      <c r="D143" s="149"/>
      <c r="E143" s="149"/>
      <c r="F143" s="192" t="e">
        <f>#REF!</f>
        <v>#REF!</v>
      </c>
      <c r="G143" s="149"/>
      <c r="H143" s="149"/>
      <c r="I143" s="192">
        <v>19.723602875558147</v>
      </c>
      <c r="J143" s="149"/>
      <c r="K143" s="149"/>
      <c r="L143" s="192">
        <f>I143</f>
        <v>19.723602875558147</v>
      </c>
      <c r="N143" s="164"/>
      <c r="O143" s="164"/>
      <c r="P143" s="162"/>
      <c r="Q143" s="109"/>
      <c r="R143" s="109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K143" s="128"/>
    </row>
    <row r="144" spans="1:37" ht="16.5" thickBot="1">
      <c r="A144" s="136" t="s">
        <v>123</v>
      </c>
      <c r="B144" s="136"/>
      <c r="C144" s="193">
        <f>C142+C143</f>
        <v>2212961.585030525</v>
      </c>
      <c r="D144" s="143"/>
      <c r="E144" s="143"/>
      <c r="F144" s="143" t="e">
        <f>F142+F143</f>
        <v>#REF!</v>
      </c>
      <c r="G144" s="143"/>
      <c r="H144" s="143"/>
      <c r="I144" s="143">
        <f>I142+I143</f>
        <v>204464.72360287557</v>
      </c>
      <c r="J144" s="143"/>
      <c r="K144" s="143"/>
      <c r="L144" s="143">
        <f>L142+L143</f>
        <v>230467.17979771888</v>
      </c>
      <c r="N144" s="165"/>
      <c r="O144" s="165"/>
      <c r="P144" s="166"/>
      <c r="Q144" s="109"/>
      <c r="R144" s="109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K144" s="128"/>
    </row>
    <row r="145" spans="1:37" ht="16.5" thickTop="1">
      <c r="A145" s="136"/>
      <c r="B145" s="195"/>
      <c r="C145" s="168"/>
      <c r="D145" s="168"/>
      <c r="E145" s="168"/>
      <c r="G145" s="136" t="s">
        <v>0</v>
      </c>
      <c r="H145" s="136"/>
      <c r="J145" s="136" t="s">
        <v>0</v>
      </c>
      <c r="K145" s="136"/>
      <c r="L145" s="127" t="s">
        <v>0</v>
      </c>
      <c r="N145" s="54"/>
      <c r="O145" s="54"/>
      <c r="P145" s="109"/>
      <c r="Q145" s="109"/>
      <c r="R145" s="109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K145" s="128"/>
    </row>
    <row r="146" spans="1:37">
      <c r="A146" s="340" t="s">
        <v>128</v>
      </c>
      <c r="B146" s="136"/>
      <c r="C146" s="136"/>
      <c r="D146" s="168"/>
      <c r="E146" s="168"/>
      <c r="F146" s="136"/>
      <c r="G146" s="168"/>
      <c r="H146" s="136"/>
      <c r="I146" s="136"/>
      <c r="J146" s="168"/>
      <c r="K146" s="136"/>
      <c r="L146" s="136"/>
      <c r="N146" s="54"/>
      <c r="O146" s="54"/>
      <c r="P146" s="109"/>
      <c r="Q146" s="109"/>
      <c r="R146" s="109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K146" s="128"/>
    </row>
    <row r="147" spans="1:37">
      <c r="A147" s="136" t="s">
        <v>55</v>
      </c>
      <c r="B147" s="136"/>
      <c r="C147" s="136"/>
      <c r="D147" s="168"/>
      <c r="E147" s="168"/>
      <c r="F147" s="136"/>
      <c r="G147" s="168"/>
      <c r="H147" s="136"/>
      <c r="I147" s="136"/>
      <c r="J147" s="168"/>
      <c r="K147" s="136"/>
      <c r="L147" s="136"/>
      <c r="N147" s="54"/>
      <c r="O147" s="54"/>
      <c r="P147" s="109"/>
      <c r="Q147" s="109"/>
      <c r="R147" s="109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K147" s="128"/>
    </row>
    <row r="148" spans="1:37">
      <c r="A148" s="170"/>
      <c r="B148" s="136"/>
      <c r="C148" s="136"/>
      <c r="D148" s="168"/>
      <c r="E148" s="168"/>
      <c r="F148" s="136"/>
      <c r="G148" s="168"/>
      <c r="H148" s="136"/>
      <c r="I148" s="136"/>
      <c r="J148" s="168"/>
      <c r="K148" s="136"/>
      <c r="L148" s="136"/>
      <c r="N148" s="54"/>
      <c r="O148" s="54"/>
      <c r="P148" s="109"/>
      <c r="Q148" s="109"/>
      <c r="R148" s="109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K148" s="128"/>
    </row>
    <row r="149" spans="1:37">
      <c r="A149" s="136" t="s">
        <v>112</v>
      </c>
      <c r="B149" s="136"/>
      <c r="C149" s="168">
        <v>218</v>
      </c>
      <c r="D149" s="172">
        <v>6</v>
      </c>
      <c r="E149" s="136"/>
      <c r="F149" s="127">
        <f>ROUND(D149*$C149,0)</f>
        <v>1308</v>
      </c>
      <c r="G149" s="172">
        <v>6</v>
      </c>
      <c r="H149" s="136"/>
      <c r="I149" s="127">
        <f>ROUND(G149*C149,0)</f>
        <v>1308</v>
      </c>
      <c r="J149" s="172">
        <f>$J$87</f>
        <v>8.85</v>
      </c>
      <c r="K149" s="136"/>
      <c r="L149" s="127">
        <f>ROUND(J149*$C149,0)</f>
        <v>1929</v>
      </c>
      <c r="N149" s="54"/>
      <c r="O149" s="54"/>
      <c r="P149" s="109"/>
      <c r="Q149" s="109"/>
      <c r="R149" s="109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K149" s="128"/>
    </row>
    <row r="150" spans="1:37">
      <c r="A150" s="136" t="s">
        <v>113</v>
      </c>
      <c r="B150" s="136"/>
      <c r="C150" s="168">
        <v>130149</v>
      </c>
      <c r="D150" s="135">
        <v>5.1929999999999996</v>
      </c>
      <c r="E150" s="136" t="s">
        <v>99</v>
      </c>
      <c r="F150" s="127">
        <f>ROUND(D150*$C150/100,0)</f>
        <v>6759</v>
      </c>
      <c r="G150" s="135">
        <v>5.9489999999999998</v>
      </c>
      <c r="H150" s="136" t="s">
        <v>99</v>
      </c>
      <c r="I150" s="127">
        <f>ROUND(C150*G150/100,0)</f>
        <v>7743</v>
      </c>
      <c r="J150" s="135">
        <f>$J$88</f>
        <v>3.7529999999999997</v>
      </c>
      <c r="K150" s="136" t="s">
        <v>99</v>
      </c>
      <c r="L150" s="127">
        <f>ROUND(J150*$C150/100,0)</f>
        <v>4884</v>
      </c>
      <c r="N150" s="54"/>
      <c r="O150" s="54"/>
      <c r="P150" s="109"/>
      <c r="Q150" s="109"/>
      <c r="R150" s="109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K150" s="128"/>
    </row>
    <row r="151" spans="1:37">
      <c r="A151" s="136" t="s">
        <v>114</v>
      </c>
      <c r="B151" s="136"/>
      <c r="C151" s="168">
        <f>433385-C150</f>
        <v>303236</v>
      </c>
      <c r="D151" s="135">
        <v>8.1929999999999996</v>
      </c>
      <c r="E151" s="136" t="s">
        <v>99</v>
      </c>
      <c r="F151" s="127">
        <f>ROUND(D151*$C151/100,0)</f>
        <v>24844</v>
      </c>
      <c r="G151" s="135">
        <v>9.4159999999999986</v>
      </c>
      <c r="H151" s="136" t="s">
        <v>99</v>
      </c>
      <c r="I151" s="127">
        <f>ROUND(C151*G151/100,0)</f>
        <v>28553</v>
      </c>
      <c r="J151" s="135">
        <f>$J$89</f>
        <v>6.484</v>
      </c>
      <c r="K151" s="136" t="s">
        <v>99</v>
      </c>
      <c r="L151" s="127">
        <f>ROUND(J151*$C151/100,0)</f>
        <v>19662</v>
      </c>
      <c r="N151" s="54"/>
      <c r="O151" s="54"/>
      <c r="P151" s="109"/>
      <c r="Q151" s="109"/>
      <c r="R151" s="109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K151" s="128"/>
    </row>
    <row r="152" spans="1:37">
      <c r="A152" s="136" t="s">
        <v>115</v>
      </c>
      <c r="B152" s="136"/>
      <c r="C152" s="168">
        <v>815</v>
      </c>
      <c r="D152" s="172">
        <v>1.6</v>
      </c>
      <c r="E152" s="136"/>
      <c r="F152" s="127">
        <f>ROUND(D152*$C152,0)</f>
        <v>1304</v>
      </c>
      <c r="G152" s="172">
        <v>1.65</v>
      </c>
      <c r="H152" s="136"/>
      <c r="I152" s="127">
        <f t="shared" ref="I152:I153" si="18">ROUND(G152*C152,0)</f>
        <v>1345</v>
      </c>
      <c r="J152" s="172">
        <f>$J$90</f>
        <v>1.65</v>
      </c>
      <c r="K152" s="136"/>
      <c r="L152" s="127">
        <f>ROUND(J152*$C152,0)</f>
        <v>1345</v>
      </c>
      <c r="N152" s="54"/>
      <c r="O152" s="54"/>
      <c r="P152" s="109"/>
      <c r="Q152" s="109"/>
      <c r="R152" s="109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K152" s="128"/>
    </row>
    <row r="153" spans="1:37">
      <c r="A153" s="177" t="s">
        <v>116</v>
      </c>
      <c r="B153" s="177"/>
      <c r="C153" s="168">
        <v>114</v>
      </c>
      <c r="D153" s="172">
        <v>3.1</v>
      </c>
      <c r="E153" s="177"/>
      <c r="F153" s="127">
        <f>ROUND(D153*$C153,0)</f>
        <v>353</v>
      </c>
      <c r="G153" s="172">
        <v>3.2</v>
      </c>
      <c r="H153" s="177"/>
      <c r="I153" s="127">
        <f t="shared" si="18"/>
        <v>365</v>
      </c>
      <c r="J153" s="172">
        <f>$J$91</f>
        <v>3.2</v>
      </c>
      <c r="K153" s="177"/>
      <c r="L153" s="127">
        <f>ROUND(J153*$C153,0)</f>
        <v>365</v>
      </c>
      <c r="N153" s="54"/>
      <c r="O153" s="54"/>
      <c r="P153" s="109"/>
      <c r="Q153" s="109"/>
      <c r="R153" s="109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K153" s="128"/>
    </row>
    <row r="154" spans="1:37">
      <c r="A154" s="177" t="s">
        <v>117</v>
      </c>
      <c r="B154" s="177"/>
      <c r="C154" s="168">
        <v>16</v>
      </c>
      <c r="D154" s="178">
        <v>-1.6</v>
      </c>
      <c r="E154" s="177"/>
      <c r="F154" s="127">
        <f>ROUND(D154*$C154,0)</f>
        <v>-26</v>
      </c>
      <c r="G154" s="178">
        <v>-1.65</v>
      </c>
      <c r="H154" s="177"/>
      <c r="I154" s="127">
        <f>ROUND(G154*C154,0)</f>
        <v>-26</v>
      </c>
      <c r="J154" s="178">
        <f>-J152</f>
        <v>-1.65</v>
      </c>
      <c r="K154" s="177"/>
      <c r="L154" s="127">
        <f>ROUND(J154*$C154,0)</f>
        <v>-26</v>
      </c>
      <c r="N154" s="54"/>
      <c r="O154" s="54"/>
      <c r="P154" s="109"/>
      <c r="Q154" s="109"/>
      <c r="R154" s="109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K154" s="128"/>
    </row>
    <row r="155" spans="1:37">
      <c r="A155" s="134" t="s">
        <v>118</v>
      </c>
      <c r="C155" s="125">
        <f>C150</f>
        <v>130149</v>
      </c>
      <c r="D155" s="133"/>
      <c r="E155" s="54"/>
      <c r="F155" s="127"/>
      <c r="G155" s="133"/>
      <c r="H155" s="54"/>
      <c r="I155" s="127"/>
      <c r="J155" s="135">
        <f>J140</f>
        <v>2.4570000000000003</v>
      </c>
      <c r="K155" s="136" t="s">
        <v>99</v>
      </c>
      <c r="L155" s="127">
        <f t="shared" ref="L155:L156" si="19">J155*C155/100</f>
        <v>3197.7609300000004</v>
      </c>
      <c r="N155" s="128"/>
      <c r="P155" s="93"/>
      <c r="Q155" s="108"/>
      <c r="R155" s="108"/>
      <c r="S155" s="129"/>
      <c r="T155" s="129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K155" s="128"/>
    </row>
    <row r="156" spans="1:37">
      <c r="A156" s="134" t="s">
        <v>119</v>
      </c>
      <c r="C156" s="125">
        <f>C151</f>
        <v>303236</v>
      </c>
      <c r="D156" s="133"/>
      <c r="E156" s="54"/>
      <c r="F156" s="127"/>
      <c r="G156" s="133"/>
      <c r="H156" s="54"/>
      <c r="I156" s="127"/>
      <c r="J156" s="135">
        <f>J141</f>
        <v>4.2480000000000002</v>
      </c>
      <c r="K156" s="136" t="s">
        <v>99</v>
      </c>
      <c r="L156" s="127">
        <f t="shared" si="19"/>
        <v>12881.465280000002</v>
      </c>
      <c r="N156" s="128"/>
      <c r="P156" s="93"/>
      <c r="Q156" s="108"/>
      <c r="R156" s="108"/>
      <c r="S156" s="129"/>
      <c r="T156" s="129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K156" s="128"/>
    </row>
    <row r="157" spans="1:37">
      <c r="A157" s="136" t="s">
        <v>122</v>
      </c>
      <c r="B157" s="136"/>
      <c r="C157" s="168">
        <f>SUM(C150:C151)</f>
        <v>433385</v>
      </c>
      <c r="D157" s="188"/>
      <c r="E157" s="127"/>
      <c r="F157" s="127">
        <f>SUM(F149:F154)</f>
        <v>34542</v>
      </c>
      <c r="G157" s="189"/>
      <c r="H157" s="127"/>
      <c r="I157" s="127">
        <f>SUM(I149:I154)</f>
        <v>39288</v>
      </c>
      <c r="J157" s="127"/>
      <c r="K157" s="127"/>
      <c r="L157" s="127">
        <f>SUM(L149:L156)</f>
        <v>44238.226210000001</v>
      </c>
      <c r="N157" s="54"/>
      <c r="O157" s="54"/>
      <c r="P157" s="109"/>
      <c r="Q157" s="109"/>
      <c r="R157" s="109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K157" s="128"/>
    </row>
    <row r="158" spans="1:37">
      <c r="A158" s="136" t="s">
        <v>102</v>
      </c>
      <c r="B158" s="136"/>
      <c r="C158" s="201">
        <v>-27.758051490267285</v>
      </c>
      <c r="D158" s="149"/>
      <c r="E158" s="149"/>
      <c r="F158" s="192" t="e">
        <f>#REF!</f>
        <v>#REF!</v>
      </c>
      <c r="G158" s="149"/>
      <c r="H158" s="149"/>
      <c r="I158" s="192">
        <v>3.7869002045382243</v>
      </c>
      <c r="J158" s="149"/>
      <c r="K158" s="149"/>
      <c r="L158" s="192">
        <f>I158</f>
        <v>3.7869002045382243</v>
      </c>
      <c r="N158" s="164"/>
      <c r="O158" s="164"/>
      <c r="P158" s="162"/>
      <c r="Q158" s="109"/>
      <c r="R158" s="109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K158" s="128"/>
    </row>
    <row r="159" spans="1:37" ht="16.5" thickBot="1">
      <c r="A159" s="136" t="s">
        <v>123</v>
      </c>
      <c r="B159" s="136"/>
      <c r="C159" s="193">
        <f>C157+C158</f>
        <v>433357.24194850971</v>
      </c>
      <c r="D159" s="143"/>
      <c r="E159" s="143"/>
      <c r="F159" s="143" t="e">
        <f>F157+F158</f>
        <v>#REF!</v>
      </c>
      <c r="G159" s="143"/>
      <c r="H159" s="143"/>
      <c r="I159" s="143">
        <f>I157+I158</f>
        <v>39291.786900204541</v>
      </c>
      <c r="J159" s="143"/>
      <c r="K159" s="143"/>
      <c r="L159" s="143">
        <f>L157+L158</f>
        <v>44242.013110204542</v>
      </c>
      <c r="N159" s="165"/>
      <c r="O159" s="165"/>
      <c r="P159" s="166"/>
      <c r="Q159" s="109"/>
      <c r="R159" s="109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K159" s="128"/>
    </row>
    <row r="160" spans="1:37" ht="16.5" thickTop="1">
      <c r="A160" s="136"/>
      <c r="B160" s="195"/>
      <c r="C160" s="168"/>
      <c r="D160" s="168"/>
      <c r="E160" s="168"/>
      <c r="G160" s="136" t="s">
        <v>0</v>
      </c>
      <c r="H160" s="136"/>
      <c r="J160" s="136" t="s">
        <v>0</v>
      </c>
      <c r="K160" s="136"/>
      <c r="L160" s="127" t="s">
        <v>0</v>
      </c>
      <c r="N160" s="54"/>
      <c r="O160" s="54"/>
      <c r="P160" s="109"/>
      <c r="Q160" s="109"/>
      <c r="R160" s="109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K160" s="128"/>
    </row>
    <row r="161" spans="1:44">
      <c r="A161" s="340" t="s">
        <v>129</v>
      </c>
      <c r="B161" s="136"/>
      <c r="C161" s="136" t="s">
        <v>0</v>
      </c>
      <c r="D161" s="127" t="s">
        <v>0</v>
      </c>
      <c r="E161" s="127"/>
      <c r="F161" s="136" t="s">
        <v>0</v>
      </c>
      <c r="G161" s="127"/>
      <c r="H161" s="136"/>
      <c r="I161" s="136"/>
      <c r="J161" s="127"/>
      <c r="K161" s="136"/>
      <c r="L161" s="136"/>
      <c r="N161" s="54"/>
      <c r="O161" s="54"/>
      <c r="P161" s="109"/>
      <c r="Q161" s="109"/>
      <c r="R161" s="109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K161" s="128"/>
    </row>
    <row r="162" spans="1:44">
      <c r="A162" s="136" t="s">
        <v>130</v>
      </c>
      <c r="B162" s="136"/>
      <c r="C162" s="136"/>
      <c r="D162" s="127"/>
      <c r="E162" s="127"/>
      <c r="F162" s="136"/>
      <c r="G162" s="127"/>
      <c r="H162" s="136"/>
      <c r="I162" s="136"/>
      <c r="J162" s="127"/>
      <c r="K162" s="136"/>
      <c r="L162" s="136"/>
      <c r="N162" s="54"/>
      <c r="O162" s="54"/>
      <c r="P162" s="109"/>
      <c r="Q162" s="109"/>
      <c r="R162" s="109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K162" s="128"/>
    </row>
    <row r="163" spans="1:44">
      <c r="A163" s="136"/>
      <c r="B163" s="136"/>
      <c r="C163" s="136"/>
      <c r="D163" s="127"/>
      <c r="E163" s="127"/>
      <c r="F163" s="136"/>
      <c r="G163" s="127"/>
      <c r="H163" s="136"/>
      <c r="I163" s="136"/>
      <c r="J163" s="127"/>
      <c r="K163" s="136"/>
      <c r="L163" s="136"/>
      <c r="N163" s="54"/>
      <c r="O163" s="54"/>
      <c r="Q163" s="109"/>
      <c r="R163" s="109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K163" s="128"/>
    </row>
    <row r="164" spans="1:44">
      <c r="A164" s="136" t="s">
        <v>131</v>
      </c>
      <c r="B164" s="136"/>
      <c r="C164" s="136"/>
      <c r="D164" s="127"/>
      <c r="E164" s="127"/>
      <c r="F164" s="136"/>
      <c r="G164" s="127"/>
      <c r="H164" s="136"/>
      <c r="I164" s="136"/>
      <c r="J164" s="127"/>
      <c r="K164" s="136"/>
      <c r="L164" s="136"/>
      <c r="N164" s="54"/>
      <c r="O164" s="54"/>
      <c r="P164" s="109"/>
      <c r="Q164" s="171" t="s">
        <v>111</v>
      </c>
      <c r="R164" s="171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K164" s="128"/>
    </row>
    <row r="165" spans="1:44">
      <c r="A165" s="136" t="s">
        <v>132</v>
      </c>
      <c r="B165" s="136"/>
      <c r="C165" s="168">
        <f>C486</f>
        <v>1</v>
      </c>
      <c r="D165" s="172">
        <v>91.679999999999993</v>
      </c>
      <c r="E165" s="127"/>
      <c r="F165" s="127">
        <f t="shared" ref="F165:I167" si="20">F451</f>
        <v>92</v>
      </c>
      <c r="G165" s="172">
        <v>104.52000000000001</v>
      </c>
      <c r="H165" s="136"/>
      <c r="I165" s="127">
        <f t="shared" si="20"/>
        <v>105</v>
      </c>
      <c r="J165" s="172">
        <f>J169*12</f>
        <v>115.32</v>
      </c>
      <c r="K165" s="136"/>
      <c r="L165" s="127">
        <f>L451</f>
        <v>115</v>
      </c>
      <c r="N165" s="128" t="e">
        <f>J165*#REF!</f>
        <v>#REF!</v>
      </c>
      <c r="Q165" s="64">
        <f>(J165-G165)/G165</f>
        <v>0.10332950631458077</v>
      </c>
      <c r="R165" s="64"/>
      <c r="U165" s="203"/>
      <c r="W165" s="203"/>
      <c r="Y165" s="203"/>
      <c r="Z165" s="203"/>
      <c r="AK165" s="54"/>
      <c r="AL165" s="54"/>
      <c r="AM165" s="54"/>
      <c r="AN165" s="54"/>
      <c r="AO165" s="54"/>
      <c r="AP165" s="54"/>
      <c r="AR165" s="128"/>
    </row>
    <row r="166" spans="1:44">
      <c r="A166" s="136" t="s">
        <v>133</v>
      </c>
      <c r="B166" s="136"/>
      <c r="C166" s="168">
        <f>C452</f>
        <v>88.747945205479496</v>
      </c>
      <c r="D166" s="172">
        <v>136.32</v>
      </c>
      <c r="E166" s="127"/>
      <c r="F166" s="127">
        <f t="shared" si="20"/>
        <v>12098</v>
      </c>
      <c r="G166" s="172">
        <v>155.76</v>
      </c>
      <c r="H166" s="136"/>
      <c r="I166" s="127">
        <f t="shared" si="20"/>
        <v>13824</v>
      </c>
      <c r="J166" s="172">
        <f>J170*12</f>
        <v>171.84</v>
      </c>
      <c r="K166" s="136"/>
      <c r="L166" s="127">
        <f>L452</f>
        <v>15251</v>
      </c>
      <c r="N166" s="128" t="e">
        <f>J166*#REF!</f>
        <v>#REF!</v>
      </c>
      <c r="O166" s="128"/>
      <c r="Q166" s="64">
        <f>(J166-G166)/G166</f>
        <v>0.103235747303544</v>
      </c>
      <c r="R166" s="64"/>
      <c r="T166" s="128"/>
      <c r="U166" s="204"/>
      <c r="V166" s="128"/>
      <c r="W166" s="204"/>
      <c r="X166" s="128"/>
      <c r="Y166" s="128"/>
      <c r="Z166" s="204"/>
      <c r="AA166" s="96"/>
      <c r="AB166" s="128"/>
      <c r="AC166" s="128"/>
      <c r="AK166" s="54"/>
      <c r="AL166" s="54"/>
      <c r="AM166" s="54"/>
      <c r="AN166" s="54"/>
      <c r="AO166" s="54"/>
      <c r="AP166" s="54"/>
      <c r="AR166" s="128"/>
    </row>
    <row r="167" spans="1:44">
      <c r="A167" s="136" t="s">
        <v>134</v>
      </c>
      <c r="B167" s="136"/>
      <c r="C167" s="168">
        <f>C453</f>
        <v>3368.9150684931501</v>
      </c>
      <c r="D167" s="172">
        <v>9.66</v>
      </c>
      <c r="E167" s="127"/>
      <c r="F167" s="127">
        <f t="shared" si="20"/>
        <v>32544</v>
      </c>
      <c r="G167" s="172">
        <v>11.040000000000001</v>
      </c>
      <c r="H167" s="136"/>
      <c r="I167" s="127">
        <f t="shared" si="20"/>
        <v>37193</v>
      </c>
      <c r="J167" s="172">
        <f>J171*12</f>
        <v>12.120000000000001</v>
      </c>
      <c r="K167" s="136"/>
      <c r="L167" s="127">
        <f>L453</f>
        <v>40831</v>
      </c>
      <c r="N167" s="128" t="e">
        <f>J167*#REF!</f>
        <v>#REF!</v>
      </c>
      <c r="Q167" s="64">
        <f>(J167-G167)/G167</f>
        <v>9.7826086956521743E-2</v>
      </c>
      <c r="R167" s="64"/>
      <c r="T167" s="128"/>
      <c r="U167" s="204"/>
      <c r="V167" s="128"/>
      <c r="W167" s="204"/>
      <c r="X167" s="128"/>
      <c r="Y167" s="128"/>
      <c r="Z167" s="204"/>
      <c r="AA167" s="96"/>
      <c r="AB167" s="128"/>
      <c r="AC167" s="128"/>
      <c r="AK167" s="54"/>
      <c r="AL167" s="54"/>
      <c r="AM167" s="54"/>
      <c r="AN167" s="54"/>
      <c r="AO167" s="54"/>
      <c r="AP167" s="54"/>
      <c r="AR167" s="128"/>
    </row>
    <row r="168" spans="1:44">
      <c r="A168" s="136" t="s">
        <v>135</v>
      </c>
      <c r="B168" s="136"/>
      <c r="C168" s="205"/>
      <c r="D168" s="127"/>
      <c r="E168" s="127"/>
      <c r="F168" s="136"/>
      <c r="G168" s="127"/>
      <c r="H168" s="136"/>
      <c r="I168" s="136"/>
      <c r="J168" s="127"/>
      <c r="K168" s="136"/>
      <c r="L168" s="136"/>
      <c r="Q168" s="206"/>
      <c r="R168" s="206"/>
      <c r="T168" s="128"/>
      <c r="U168" s="204"/>
      <c r="V168" s="128"/>
      <c r="W168" s="204"/>
      <c r="X168" s="128"/>
      <c r="Y168" s="128"/>
      <c r="Z168" s="204"/>
      <c r="AA168" s="96"/>
      <c r="AB168" s="128"/>
      <c r="AC168" s="128"/>
      <c r="AK168" s="54"/>
      <c r="AL168" s="54"/>
      <c r="AM168" s="54"/>
      <c r="AN168" s="54"/>
      <c r="AO168" s="54"/>
      <c r="AP168" s="54"/>
      <c r="AR168" s="128"/>
    </row>
    <row r="169" spans="1:44">
      <c r="A169" s="136" t="s">
        <v>132</v>
      </c>
      <c r="B169" s="136"/>
      <c r="C169" s="205">
        <f>C208+C345</f>
        <v>163154.29999999361</v>
      </c>
      <c r="D169" s="172">
        <v>7.64</v>
      </c>
      <c r="E169" s="207"/>
      <c r="F169" s="208">
        <f>F208+F345</f>
        <v>1202713</v>
      </c>
      <c r="G169" s="172">
        <v>8.7100000000000009</v>
      </c>
      <c r="H169" s="209"/>
      <c r="I169" s="208">
        <f>I208+I345</f>
        <v>1421074</v>
      </c>
      <c r="J169" s="172">
        <f>ROUND(G169*(1+$Q$201),2)</f>
        <v>9.61</v>
      </c>
      <c r="K169" s="209"/>
      <c r="L169" s="208">
        <f>L208+L345</f>
        <v>1567913</v>
      </c>
      <c r="N169" s="128" t="e">
        <f>J169*#REF!</f>
        <v>#REF!</v>
      </c>
      <c r="Q169" s="64">
        <f>(J169-G169)/G169</f>
        <v>0.10332950631458077</v>
      </c>
      <c r="R169" s="64"/>
      <c r="T169" s="128"/>
      <c r="U169" s="204"/>
      <c r="V169" s="128"/>
      <c r="W169" s="204"/>
      <c r="X169" s="128"/>
      <c r="Y169" s="128"/>
      <c r="Z169" s="204"/>
      <c r="AA169" s="96"/>
      <c r="AB169" s="128"/>
      <c r="AC169" s="128"/>
      <c r="AK169" s="54"/>
      <c r="AL169" s="54"/>
      <c r="AM169" s="54"/>
      <c r="AN169" s="54"/>
      <c r="AO169" s="54"/>
      <c r="AP169" s="54"/>
      <c r="AR169" s="128"/>
    </row>
    <row r="170" spans="1:44">
      <c r="A170" s="136" t="s">
        <v>133</v>
      </c>
      <c r="B170" s="136"/>
      <c r="C170" s="205">
        <f>C209+C346</f>
        <v>62611.199999999109</v>
      </c>
      <c r="D170" s="172">
        <v>11.36</v>
      </c>
      <c r="E170" s="210"/>
      <c r="F170" s="208">
        <f>F209+F346</f>
        <v>707158</v>
      </c>
      <c r="G170" s="172">
        <v>12.98</v>
      </c>
      <c r="H170" s="211"/>
      <c r="I170" s="208">
        <f>I209+I346</f>
        <v>812693</v>
      </c>
      <c r="J170" s="172">
        <f>ROUND(G170*(1+$Q$201),2)</f>
        <v>14.32</v>
      </c>
      <c r="K170" s="211"/>
      <c r="L170" s="208">
        <f>L209+L346</f>
        <v>896593</v>
      </c>
      <c r="N170" s="128" t="e">
        <f>J170*#REF!</f>
        <v>#REF!</v>
      </c>
      <c r="Q170" s="64">
        <f>(J170-G170)/G170</f>
        <v>0.1032357473035439</v>
      </c>
      <c r="R170" s="64"/>
      <c r="S170" s="113"/>
      <c r="T170" s="128"/>
      <c r="U170" s="204"/>
      <c r="V170" s="128"/>
      <c r="W170" s="212"/>
      <c r="X170" s="128"/>
      <c r="Y170" s="128"/>
      <c r="Z170" s="212"/>
      <c r="AB170" s="54"/>
      <c r="AC170" s="54"/>
      <c r="AD170" s="54"/>
      <c r="AE170" s="54"/>
      <c r="AF170" s="54"/>
      <c r="AG170" s="54"/>
      <c r="AH170" s="54"/>
      <c r="AI170" s="54"/>
      <c r="AK170" s="128"/>
    </row>
    <row r="171" spans="1:44">
      <c r="A171" s="136" t="s">
        <v>134</v>
      </c>
      <c r="B171" s="136"/>
      <c r="C171" s="205">
        <f>C210+C347</f>
        <v>1220817.5</v>
      </c>
      <c r="D171" s="172">
        <v>0.81</v>
      </c>
      <c r="E171" s="210"/>
      <c r="F171" s="208">
        <f>F210+F347</f>
        <v>988060</v>
      </c>
      <c r="G171" s="172">
        <v>0.92</v>
      </c>
      <c r="H171" s="211"/>
      <c r="I171" s="208">
        <f>I210+I347</f>
        <v>1123153</v>
      </c>
      <c r="J171" s="172">
        <f>ROUND(G171*(1+$Q$201),2)</f>
        <v>1.01</v>
      </c>
      <c r="K171" s="211"/>
      <c r="L171" s="208">
        <f>L210+L347</f>
        <v>1233026</v>
      </c>
      <c r="N171" s="128" t="e">
        <f>J171*#REF!</f>
        <v>#REF!</v>
      </c>
      <c r="Q171" s="64">
        <f>(J171-G171)/G171</f>
        <v>9.7826086956521702E-2</v>
      </c>
      <c r="R171" s="64"/>
      <c r="S171" s="113"/>
      <c r="V171" s="213"/>
      <c r="W171" s="213"/>
      <c r="X171" s="213"/>
      <c r="Y171" s="213"/>
      <c r="Z171" s="213"/>
      <c r="AB171" s="54"/>
      <c r="AC171" s="54"/>
      <c r="AD171" s="54"/>
      <c r="AE171" s="54"/>
      <c r="AF171" s="54"/>
      <c r="AG171" s="54"/>
      <c r="AH171" s="54"/>
      <c r="AI171" s="54"/>
      <c r="AK171" s="128"/>
    </row>
    <row r="172" spans="1:44">
      <c r="A172" s="136" t="s">
        <v>136</v>
      </c>
      <c r="B172" s="136"/>
      <c r="C172" s="205">
        <f>SUM(C169:C170)</f>
        <v>225765.49999999272</v>
      </c>
      <c r="D172" s="172"/>
      <c r="E172" s="207"/>
      <c r="F172" s="208"/>
      <c r="G172" s="172"/>
      <c r="H172" s="209"/>
      <c r="I172" s="208"/>
      <c r="J172" s="172"/>
      <c r="K172" s="209"/>
      <c r="L172" s="208"/>
      <c r="Q172" s="206"/>
      <c r="R172" s="206"/>
      <c r="S172" s="113"/>
      <c r="AB172" s="54"/>
      <c r="AC172" s="54"/>
      <c r="AD172" s="54"/>
      <c r="AE172" s="54"/>
      <c r="AF172" s="54"/>
      <c r="AG172" s="54"/>
      <c r="AH172" s="54"/>
      <c r="AI172" s="54"/>
      <c r="AK172" s="128"/>
    </row>
    <row r="173" spans="1:44">
      <c r="A173" s="136" t="s">
        <v>100</v>
      </c>
      <c r="B173" s="136"/>
      <c r="C173" s="205">
        <f t="shared" ref="C173:C181" si="21">C211+C349+C455</f>
        <v>223761.49999999272</v>
      </c>
      <c r="D173" s="172"/>
      <c r="E173" s="207"/>
      <c r="F173" s="208"/>
      <c r="G173" s="172"/>
      <c r="H173" s="209"/>
      <c r="I173" s="208"/>
      <c r="J173" s="172"/>
      <c r="K173" s="209"/>
      <c r="L173" s="208"/>
      <c r="Q173" s="206"/>
      <c r="R173" s="206"/>
      <c r="S173" s="113"/>
      <c r="AB173" s="54"/>
      <c r="AC173" s="54"/>
      <c r="AD173" s="54"/>
      <c r="AE173" s="54"/>
      <c r="AF173" s="54"/>
      <c r="AG173" s="54"/>
      <c r="AH173" s="54"/>
      <c r="AI173" s="54"/>
      <c r="AK173" s="128"/>
    </row>
    <row r="174" spans="1:44">
      <c r="A174" s="136" t="s">
        <v>137</v>
      </c>
      <c r="B174" s="136"/>
      <c r="C174" s="205">
        <f t="shared" si="21"/>
        <v>794203.5</v>
      </c>
      <c r="D174" s="172">
        <v>2.98</v>
      </c>
      <c r="E174" s="209"/>
      <c r="F174" s="208">
        <f>F212+F350+F456</f>
        <v>2365218</v>
      </c>
      <c r="G174" s="172">
        <v>3.4</v>
      </c>
      <c r="H174" s="209"/>
      <c r="I174" s="208">
        <f>I212+I350+I456</f>
        <v>2700291</v>
      </c>
      <c r="J174" s="172">
        <f>ROUND(G174*(1+$Q$201),2)</f>
        <v>3.75</v>
      </c>
      <c r="K174" s="209"/>
      <c r="L174" s="208">
        <f>L212+L350+L456</f>
        <v>2978265</v>
      </c>
      <c r="N174" s="128" t="e">
        <f>J174*#REF!</f>
        <v>#REF!</v>
      </c>
      <c r="Q174" s="64">
        <f>(J174-G174)/G174</f>
        <v>0.10294117647058826</v>
      </c>
      <c r="R174" s="64"/>
      <c r="S174" s="113"/>
      <c r="AB174" s="54"/>
      <c r="AC174" s="54"/>
      <c r="AD174" s="54"/>
      <c r="AE174" s="54"/>
      <c r="AF174" s="54"/>
      <c r="AG174" s="54"/>
      <c r="AH174" s="54"/>
      <c r="AI174" s="54"/>
      <c r="AK174" s="128"/>
    </row>
    <row r="175" spans="1:44">
      <c r="A175" s="136" t="s">
        <v>138</v>
      </c>
      <c r="B175" s="136"/>
      <c r="C175" s="205">
        <f t="shared" si="21"/>
        <v>131920471.98392698</v>
      </c>
      <c r="D175" s="135">
        <v>8.5489999999999995</v>
      </c>
      <c r="E175" s="209" t="s">
        <v>99</v>
      </c>
      <c r="F175" s="208">
        <f>F213+F351+F457</f>
        <v>11121071</v>
      </c>
      <c r="G175" s="135">
        <v>9.766</v>
      </c>
      <c r="H175" s="209" t="s">
        <v>99</v>
      </c>
      <c r="I175" s="208">
        <f>I213+I351+I457</f>
        <v>12883355</v>
      </c>
      <c r="J175" s="135">
        <f>ROUND((G175)*(1+$Q$201)-J179,3)</f>
        <v>6.3540000000000001</v>
      </c>
      <c r="K175" s="209" t="s">
        <v>99</v>
      </c>
      <c r="L175" s="208">
        <f>L213+L351+L457</f>
        <v>8382227</v>
      </c>
      <c r="N175" s="128" t="e">
        <f>(J175/100)*#REF!</f>
        <v>#REF!</v>
      </c>
      <c r="Q175" s="64">
        <f>(J175+J179-G175)/G175</f>
        <v>0.10321523653491715</v>
      </c>
      <c r="R175" s="64"/>
      <c r="S175" s="113"/>
      <c r="T175" s="95"/>
      <c r="U175" s="95"/>
      <c r="V175" s="95"/>
      <c r="W175" s="95"/>
      <c r="X175" s="95"/>
      <c r="Y175" s="95"/>
      <c r="AB175" s="54"/>
      <c r="AC175" s="54"/>
      <c r="AD175" s="54"/>
      <c r="AE175" s="54"/>
      <c r="AF175" s="54"/>
      <c r="AG175" s="54"/>
      <c r="AH175" s="54"/>
      <c r="AI175" s="54"/>
      <c r="AK175" s="128"/>
    </row>
    <row r="176" spans="1:44">
      <c r="A176" s="136" t="s">
        <v>139</v>
      </c>
      <c r="B176" s="136"/>
      <c r="C176" s="205">
        <f t="shared" si="21"/>
        <v>286256333.21862602</v>
      </c>
      <c r="D176" s="135">
        <v>5.9020000000000001</v>
      </c>
      <c r="E176" s="209" t="s">
        <v>99</v>
      </c>
      <c r="F176" s="208">
        <f>F214+F352+F458</f>
        <v>16863945</v>
      </c>
      <c r="G176" s="135">
        <v>6.7460000000000004</v>
      </c>
      <c r="H176" s="209" t="s">
        <v>99</v>
      </c>
      <c r="I176" s="208">
        <f>I214+I352+I458</f>
        <v>19310851</v>
      </c>
      <c r="J176" s="135">
        <f>ROUND((G176)*(1+$Q$201)-J180,3)</f>
        <v>4.3890000000000002</v>
      </c>
      <c r="K176" s="209" t="s">
        <v>99</v>
      </c>
      <c r="L176" s="208">
        <f>L214+L352+L458</f>
        <v>12563791</v>
      </c>
      <c r="N176" s="128" t="e">
        <f>(J176/100)*#REF!</f>
        <v>#REF!</v>
      </c>
      <c r="O176" s="214"/>
      <c r="Q176" s="64">
        <f>(J176+J180-G176)/G176</f>
        <v>0.10317225022235393</v>
      </c>
      <c r="R176" s="64"/>
      <c r="S176" s="113"/>
      <c r="AB176" s="54"/>
      <c r="AC176" s="54"/>
      <c r="AD176" s="54"/>
      <c r="AE176" s="54"/>
      <c r="AF176" s="54"/>
      <c r="AG176" s="54"/>
      <c r="AH176" s="54"/>
      <c r="AI176" s="54"/>
      <c r="AK176" s="128"/>
    </row>
    <row r="177" spans="1:37">
      <c r="A177" s="136" t="s">
        <v>140</v>
      </c>
      <c r="B177" s="136"/>
      <c r="C177" s="205">
        <f t="shared" si="21"/>
        <v>120328651.26156484</v>
      </c>
      <c r="D177" s="135">
        <v>5.0839999999999996</v>
      </c>
      <c r="E177" s="209" t="s">
        <v>99</v>
      </c>
      <c r="F177" s="208">
        <f>F215+F353+F459</f>
        <v>6117509</v>
      </c>
      <c r="G177" s="135">
        <v>5.8120000000000003</v>
      </c>
      <c r="H177" s="209" t="s">
        <v>99</v>
      </c>
      <c r="I177" s="208">
        <f>I215+I353+I459</f>
        <v>6993501</v>
      </c>
      <c r="J177" s="135">
        <f>ROUND((G177)*(1+$Q$201)-J181,3)</f>
        <v>3.782</v>
      </c>
      <c r="K177" s="209" t="s">
        <v>99</v>
      </c>
      <c r="L177" s="208">
        <f>L215+L353+L459</f>
        <v>4550830</v>
      </c>
      <c r="N177" s="128" t="e">
        <f>(J177/100)*#REF!</f>
        <v>#REF!</v>
      </c>
      <c r="O177" s="175"/>
      <c r="Q177" s="64">
        <f>(J177+J181-G177)/G177</f>
        <v>0.10323468685478314</v>
      </c>
      <c r="R177" s="64"/>
      <c r="S177" s="113"/>
      <c r="T177" s="128"/>
      <c r="U177" s="128"/>
      <c r="AB177" s="54"/>
      <c r="AC177" s="54"/>
      <c r="AD177" s="54"/>
      <c r="AE177" s="54"/>
      <c r="AF177" s="54"/>
      <c r="AG177" s="54"/>
      <c r="AH177" s="54"/>
      <c r="AI177" s="54"/>
      <c r="AK177" s="128"/>
    </row>
    <row r="178" spans="1:37">
      <c r="A178" s="136" t="s">
        <v>141</v>
      </c>
      <c r="B178" s="136"/>
      <c r="C178" s="205">
        <f t="shared" si="21"/>
        <v>111858.08888888868</v>
      </c>
      <c r="D178" s="215">
        <v>50</v>
      </c>
      <c r="E178" s="207" t="s">
        <v>99</v>
      </c>
      <c r="F178" s="208">
        <f>F216+F354+F460</f>
        <v>55928</v>
      </c>
      <c r="G178" s="215">
        <v>56</v>
      </c>
      <c r="H178" s="209" t="s">
        <v>99</v>
      </c>
      <c r="I178" s="208">
        <f>I216+I354+I460</f>
        <v>62641</v>
      </c>
      <c r="J178" s="215">
        <f>ROUND(G178*(1+$Q$201),0)</f>
        <v>62</v>
      </c>
      <c r="K178" s="209" t="s">
        <v>99</v>
      </c>
      <c r="L178" s="208">
        <f>L216+L354+L460</f>
        <v>69352</v>
      </c>
      <c r="N178" s="128" t="e">
        <f>(J178/100)*#REF!</f>
        <v>#REF!</v>
      </c>
      <c r="Q178" s="64">
        <f>(J178-G178)/G178</f>
        <v>0.10714285714285714</v>
      </c>
      <c r="R178" s="64"/>
      <c r="S178" s="113"/>
      <c r="AB178" s="54"/>
      <c r="AC178" s="54"/>
      <c r="AD178" s="54"/>
      <c r="AE178" s="54"/>
      <c r="AF178" s="54"/>
      <c r="AG178" s="54"/>
      <c r="AH178" s="54"/>
      <c r="AI178" s="54"/>
      <c r="AK178" s="128"/>
    </row>
    <row r="179" spans="1:37">
      <c r="A179" s="134" t="s">
        <v>142</v>
      </c>
      <c r="C179" s="205">
        <f t="shared" si="21"/>
        <v>131920471.98392698</v>
      </c>
      <c r="D179" s="133"/>
      <c r="E179" s="54"/>
      <c r="F179" s="127"/>
      <c r="G179" s="133"/>
      <c r="H179" s="54"/>
      <c r="I179" s="127"/>
      <c r="J179" s="135">
        <f>ROUND((I175/($I$175+$I$176+$I$177)*$O$179)/C179*100,3)</f>
        <v>4.42</v>
      </c>
      <c r="K179" s="209" t="s">
        <v>99</v>
      </c>
      <c r="L179" s="208">
        <f t="shared" ref="L179:L181" si="22">L217+L355+L461</f>
        <v>5830883</v>
      </c>
      <c r="N179" s="128"/>
      <c r="O179" s="128">
        <v>17734057.318547744</v>
      </c>
      <c r="P179" s="93" t="s">
        <v>18</v>
      </c>
      <c r="Q179" s="108"/>
      <c r="R179" s="108"/>
      <c r="S179" s="129"/>
      <c r="T179" s="129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K179" s="128"/>
    </row>
    <row r="180" spans="1:37">
      <c r="A180" s="134" t="s">
        <v>143</v>
      </c>
      <c r="C180" s="205">
        <f t="shared" si="21"/>
        <v>286256333.21862602</v>
      </c>
      <c r="D180" s="133"/>
      <c r="E180" s="54"/>
      <c r="F180" s="127"/>
      <c r="G180" s="133"/>
      <c r="H180" s="54"/>
      <c r="I180" s="127"/>
      <c r="J180" s="135">
        <f t="shared" ref="J180" si="23">ROUND((I176/($I$175+$I$176+$I$177)*$O$179)/C180*100,3)</f>
        <v>3.0529999999999999</v>
      </c>
      <c r="K180" s="209" t="s">
        <v>99</v>
      </c>
      <c r="L180" s="208">
        <f t="shared" si="22"/>
        <v>8739407</v>
      </c>
      <c r="N180" s="128"/>
      <c r="P180" s="93"/>
      <c r="Q180" s="108"/>
      <c r="R180" s="108"/>
      <c r="S180" s="129"/>
      <c r="T180" s="129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K180" s="128"/>
    </row>
    <row r="181" spans="1:37">
      <c r="A181" s="134" t="s">
        <v>144</v>
      </c>
      <c r="C181" s="205">
        <f t="shared" si="21"/>
        <v>120328651.26156484</v>
      </c>
      <c r="D181" s="133"/>
      <c r="E181" s="54"/>
      <c r="F181" s="127"/>
      <c r="G181" s="133"/>
      <c r="H181" s="54"/>
      <c r="I181" s="127"/>
      <c r="J181" s="135">
        <f>ROUND((I177/($I$175+$I$176+$I$177)*$O$179)/C181*100,3)</f>
        <v>2.63</v>
      </c>
      <c r="K181" s="209" t="s">
        <v>99</v>
      </c>
      <c r="L181" s="208">
        <f t="shared" si="22"/>
        <v>3164644</v>
      </c>
      <c r="N181" s="128"/>
      <c r="P181" s="93"/>
      <c r="Q181" s="64"/>
      <c r="R181" s="108"/>
      <c r="S181" s="129"/>
      <c r="T181" s="129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K181" s="128"/>
    </row>
    <row r="182" spans="1:37">
      <c r="A182" s="179" t="s">
        <v>145</v>
      </c>
      <c r="B182" s="180"/>
      <c r="C182" s="216"/>
      <c r="D182" s="182"/>
      <c r="E182" s="183"/>
      <c r="F182" s="184"/>
      <c r="G182" s="185">
        <f>G175</f>
        <v>9.766</v>
      </c>
      <c r="H182" s="217" t="s">
        <v>99</v>
      </c>
      <c r="I182" s="184"/>
      <c r="J182" s="185">
        <f>J175+J179</f>
        <v>10.774000000000001</v>
      </c>
      <c r="K182" s="217" t="s">
        <v>99</v>
      </c>
      <c r="L182" s="218"/>
      <c r="N182" s="128"/>
      <c r="P182" s="93"/>
      <c r="Q182" s="64"/>
      <c r="R182" s="108"/>
      <c r="S182" s="129"/>
      <c r="T182" s="129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K182" s="128"/>
    </row>
    <row r="183" spans="1:37">
      <c r="A183" s="179" t="s">
        <v>146</v>
      </c>
      <c r="B183" s="180"/>
      <c r="C183" s="216"/>
      <c r="D183" s="182"/>
      <c r="E183" s="183"/>
      <c r="F183" s="184"/>
      <c r="G183" s="185">
        <f t="shared" ref="G183:G184" si="24">G176</f>
        <v>6.7460000000000004</v>
      </c>
      <c r="H183" s="217" t="s">
        <v>99</v>
      </c>
      <c r="I183" s="184"/>
      <c r="J183" s="185">
        <f t="shared" ref="J183:J184" si="25">J176+J180</f>
        <v>7.4420000000000002</v>
      </c>
      <c r="K183" s="217" t="s">
        <v>99</v>
      </c>
      <c r="L183" s="218"/>
      <c r="N183" s="128"/>
      <c r="P183" s="93"/>
      <c r="Q183" s="64"/>
      <c r="R183" s="108"/>
      <c r="S183" s="129"/>
      <c r="T183" s="129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K183" s="128"/>
    </row>
    <row r="184" spans="1:37">
      <c r="A184" s="179" t="s">
        <v>147</v>
      </c>
      <c r="B184" s="180"/>
      <c r="C184" s="216"/>
      <c r="D184" s="182"/>
      <c r="E184" s="183"/>
      <c r="F184" s="184"/>
      <c r="G184" s="185">
        <f t="shared" si="24"/>
        <v>5.8120000000000003</v>
      </c>
      <c r="H184" s="217" t="s">
        <v>99</v>
      </c>
      <c r="I184" s="184"/>
      <c r="J184" s="185">
        <f t="shared" si="25"/>
        <v>6.4119999999999999</v>
      </c>
      <c r="K184" s="217" t="s">
        <v>99</v>
      </c>
      <c r="L184" s="218"/>
      <c r="N184" s="128"/>
      <c r="P184" s="93"/>
      <c r="Q184" s="64"/>
      <c r="R184" s="108"/>
      <c r="S184" s="129"/>
      <c r="T184" s="129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K184" s="128"/>
    </row>
    <row r="185" spans="1:37">
      <c r="A185" s="219" t="s">
        <v>148</v>
      </c>
      <c r="B185" s="136"/>
      <c r="C185" s="205"/>
      <c r="D185" s="220">
        <v>-0.01</v>
      </c>
      <c r="E185" s="207"/>
      <c r="F185" s="208"/>
      <c r="G185" s="220">
        <v>-0.01</v>
      </c>
      <c r="H185" s="209"/>
      <c r="I185" s="208"/>
      <c r="J185" s="220">
        <v>-0.01</v>
      </c>
      <c r="K185" s="209"/>
      <c r="L185" s="208"/>
      <c r="P185" s="221"/>
      <c r="AB185" s="54"/>
      <c r="AC185" s="54"/>
      <c r="AD185" s="54"/>
      <c r="AE185" s="54"/>
      <c r="AF185" s="54"/>
      <c r="AG185" s="54"/>
      <c r="AH185" s="54"/>
      <c r="AI185" s="54"/>
      <c r="AK185" s="128"/>
    </row>
    <row r="186" spans="1:37">
      <c r="A186" s="136" t="s">
        <v>132</v>
      </c>
      <c r="B186" s="136"/>
      <c r="C186" s="205">
        <f t="shared" ref="C186:C200" si="26">C221+C359+C465</f>
        <v>72.066666666666706</v>
      </c>
      <c r="D186" s="222">
        <v>7.64</v>
      </c>
      <c r="E186" s="207"/>
      <c r="F186" s="208">
        <f t="shared" ref="F186:F195" si="27">F221+F359+F465</f>
        <v>-6</v>
      </c>
      <c r="G186" s="222">
        <v>8.7100000000000009</v>
      </c>
      <c r="H186" s="207"/>
      <c r="I186" s="208">
        <f t="shared" ref="I186:I195" si="28">I221+I359+I465</f>
        <v>-6</v>
      </c>
      <c r="J186" s="222">
        <f>J169</f>
        <v>9.61</v>
      </c>
      <c r="K186" s="207"/>
      <c r="L186" s="208">
        <f t="shared" ref="L186:L199" si="29">L221+L359+L465</f>
        <v>-7</v>
      </c>
      <c r="N186" s="128" t="e">
        <f>-(J186/100)*#REF!</f>
        <v>#REF!</v>
      </c>
      <c r="AB186" s="54"/>
      <c r="AC186" s="54"/>
      <c r="AD186" s="54"/>
      <c r="AE186" s="54"/>
      <c r="AF186" s="54"/>
      <c r="AG186" s="54"/>
      <c r="AH186" s="54"/>
      <c r="AI186" s="54"/>
      <c r="AK186" s="128"/>
    </row>
    <row r="187" spans="1:37">
      <c r="A187" s="136" t="s">
        <v>133</v>
      </c>
      <c r="B187" s="136"/>
      <c r="C187" s="205">
        <f t="shared" si="26"/>
        <v>138.7000000000001</v>
      </c>
      <c r="D187" s="222">
        <v>11.36</v>
      </c>
      <c r="E187" s="207"/>
      <c r="F187" s="208">
        <f t="shared" si="27"/>
        <v>-14</v>
      </c>
      <c r="G187" s="222">
        <v>12.98</v>
      </c>
      <c r="H187" s="207"/>
      <c r="I187" s="208">
        <f t="shared" si="28"/>
        <v>-17</v>
      </c>
      <c r="J187" s="222">
        <f>J170</f>
        <v>14.32</v>
      </c>
      <c r="K187" s="207"/>
      <c r="L187" s="208">
        <f t="shared" si="29"/>
        <v>-19</v>
      </c>
      <c r="N187" s="128" t="e">
        <f>-(J187/100)*#REF!</f>
        <v>#REF!</v>
      </c>
      <c r="P187" s="174" t="s">
        <v>0</v>
      </c>
      <c r="AD187" s="54"/>
      <c r="AE187" s="54"/>
      <c r="AF187" s="54"/>
      <c r="AG187" s="54"/>
      <c r="AH187" s="54"/>
      <c r="AI187" s="54"/>
      <c r="AK187" s="128"/>
    </row>
    <row r="188" spans="1:37">
      <c r="A188" s="136" t="s">
        <v>149</v>
      </c>
      <c r="B188" s="136"/>
      <c r="C188" s="205">
        <f t="shared" si="26"/>
        <v>2126</v>
      </c>
      <c r="D188" s="222">
        <v>0.81</v>
      </c>
      <c r="E188" s="207"/>
      <c r="F188" s="208">
        <f t="shared" si="27"/>
        <v>-17</v>
      </c>
      <c r="G188" s="222">
        <v>0.92</v>
      </c>
      <c r="H188" s="207"/>
      <c r="I188" s="208">
        <f t="shared" si="28"/>
        <v>-19</v>
      </c>
      <c r="J188" s="222">
        <f>J171</f>
        <v>1.01</v>
      </c>
      <c r="K188" s="207"/>
      <c r="L188" s="208">
        <f t="shared" si="29"/>
        <v>-22</v>
      </c>
      <c r="N188" s="128" t="e">
        <f>-(J188/100)*#REF!</f>
        <v>#REF!</v>
      </c>
      <c r="Q188" s="174" t="s">
        <v>0</v>
      </c>
      <c r="S188" s="134" t="s">
        <v>0</v>
      </c>
      <c r="AD188" s="54"/>
      <c r="AE188" s="54"/>
      <c r="AF188" s="54"/>
      <c r="AG188" s="54"/>
      <c r="AH188" s="54"/>
      <c r="AI188" s="54"/>
      <c r="AK188" s="128"/>
    </row>
    <row r="189" spans="1:37">
      <c r="A189" s="136" t="s">
        <v>150</v>
      </c>
      <c r="B189" s="136"/>
      <c r="C189" s="205">
        <f t="shared" si="26"/>
        <v>844.5</v>
      </c>
      <c r="D189" s="222">
        <v>2.98</v>
      </c>
      <c r="E189" s="209"/>
      <c r="F189" s="208">
        <f t="shared" si="27"/>
        <v>-25</v>
      </c>
      <c r="G189" s="222">
        <v>3.4</v>
      </c>
      <c r="H189" s="209"/>
      <c r="I189" s="208">
        <f t="shared" si="28"/>
        <v>-28</v>
      </c>
      <c r="J189" s="222">
        <f>J174</f>
        <v>3.75</v>
      </c>
      <c r="K189" s="209"/>
      <c r="L189" s="208">
        <f t="shared" si="29"/>
        <v>-32</v>
      </c>
      <c r="N189" s="128" t="e">
        <f>-(J189/100)*#REF!</f>
        <v>#REF!</v>
      </c>
      <c r="R189" s="174" t="s">
        <v>0</v>
      </c>
      <c r="AD189" s="54"/>
      <c r="AE189" s="54"/>
      <c r="AF189" s="54"/>
      <c r="AG189" s="54"/>
      <c r="AH189" s="54"/>
      <c r="AI189" s="54"/>
      <c r="AK189" s="128"/>
    </row>
    <row r="190" spans="1:37">
      <c r="A190" s="136" t="s">
        <v>151</v>
      </c>
      <c r="B190" s="136"/>
      <c r="C190" s="205">
        <f t="shared" si="26"/>
        <v>153019.66666666669</v>
      </c>
      <c r="D190" s="223">
        <v>8.5489999999999995</v>
      </c>
      <c r="E190" s="209" t="s">
        <v>99</v>
      </c>
      <c r="F190" s="208">
        <f t="shared" si="27"/>
        <v>-130</v>
      </c>
      <c r="G190" s="223">
        <v>9.766</v>
      </c>
      <c r="H190" s="209" t="s">
        <v>99</v>
      </c>
      <c r="I190" s="208">
        <f t="shared" si="28"/>
        <v>-150</v>
      </c>
      <c r="J190" s="223">
        <f>J175</f>
        <v>6.3540000000000001</v>
      </c>
      <c r="K190" s="209" t="s">
        <v>99</v>
      </c>
      <c r="L190" s="208">
        <f t="shared" si="29"/>
        <v>-97</v>
      </c>
      <c r="N190" s="128" t="e">
        <f>-((J190/100)*#REF!)/100</f>
        <v>#REF!</v>
      </c>
      <c r="AD190" s="54"/>
      <c r="AE190" s="54"/>
      <c r="AF190" s="54"/>
      <c r="AG190" s="54"/>
      <c r="AH190" s="54"/>
      <c r="AI190" s="54"/>
      <c r="AK190" s="128"/>
    </row>
    <row r="191" spans="1:37">
      <c r="A191" s="136" t="s">
        <v>139</v>
      </c>
      <c r="B191" s="136"/>
      <c r="C191" s="205">
        <f t="shared" si="26"/>
        <v>574098.33333333279</v>
      </c>
      <c r="D191" s="223">
        <v>5.9020000000000001</v>
      </c>
      <c r="E191" s="209" t="s">
        <v>99</v>
      </c>
      <c r="F191" s="208">
        <f t="shared" si="27"/>
        <v>-339</v>
      </c>
      <c r="G191" s="223">
        <v>6.7460000000000004</v>
      </c>
      <c r="H191" s="209" t="s">
        <v>99</v>
      </c>
      <c r="I191" s="208">
        <f t="shared" si="28"/>
        <v>-387</v>
      </c>
      <c r="J191" s="223">
        <f>J176</f>
        <v>4.3890000000000002</v>
      </c>
      <c r="K191" s="209" t="s">
        <v>99</v>
      </c>
      <c r="L191" s="208">
        <f t="shared" si="29"/>
        <v>-252</v>
      </c>
      <c r="N191" s="128" t="e">
        <f>-((J191/100)*#REF!)/100</f>
        <v>#REF!</v>
      </c>
      <c r="AD191" s="54"/>
      <c r="AE191" s="54"/>
      <c r="AF191" s="54"/>
      <c r="AG191" s="54"/>
      <c r="AH191" s="54"/>
      <c r="AI191" s="54"/>
      <c r="AK191" s="128"/>
    </row>
    <row r="192" spans="1:37">
      <c r="A192" s="136" t="s">
        <v>140</v>
      </c>
      <c r="B192" s="136"/>
      <c r="C192" s="205">
        <f t="shared" si="26"/>
        <v>124578.00000000047</v>
      </c>
      <c r="D192" s="223">
        <v>5.0839999999999996</v>
      </c>
      <c r="E192" s="209" t="s">
        <v>99</v>
      </c>
      <c r="F192" s="208">
        <f t="shared" si="27"/>
        <v>-63</v>
      </c>
      <c r="G192" s="223">
        <v>5.8120000000000003</v>
      </c>
      <c r="H192" s="209" t="s">
        <v>99</v>
      </c>
      <c r="I192" s="208">
        <f t="shared" si="28"/>
        <v>-72</v>
      </c>
      <c r="J192" s="223">
        <f>J177</f>
        <v>3.782</v>
      </c>
      <c r="K192" s="209" t="s">
        <v>99</v>
      </c>
      <c r="L192" s="208">
        <f t="shared" si="29"/>
        <v>-47</v>
      </c>
      <c r="N192" s="128" t="e">
        <f>-((J192/100)*#REF!)/100</f>
        <v>#REF!</v>
      </c>
      <c r="AB192" s="54"/>
      <c r="AC192" s="54"/>
      <c r="AD192" s="54"/>
      <c r="AE192" s="54"/>
      <c r="AF192" s="54"/>
      <c r="AG192" s="54"/>
      <c r="AH192" s="54"/>
      <c r="AI192" s="54"/>
      <c r="AK192" s="128"/>
    </row>
    <row r="193" spans="1:37">
      <c r="A193" s="136" t="s">
        <v>141</v>
      </c>
      <c r="B193" s="136"/>
      <c r="C193" s="205">
        <f t="shared" si="26"/>
        <v>2643.7</v>
      </c>
      <c r="D193" s="224">
        <v>50</v>
      </c>
      <c r="E193" s="209" t="s">
        <v>99</v>
      </c>
      <c r="F193" s="208">
        <f t="shared" si="27"/>
        <v>-13</v>
      </c>
      <c r="G193" s="224">
        <v>56</v>
      </c>
      <c r="H193" s="209" t="s">
        <v>99</v>
      </c>
      <c r="I193" s="208">
        <f t="shared" si="28"/>
        <v>-15</v>
      </c>
      <c r="J193" s="224">
        <f>J178</f>
        <v>62</v>
      </c>
      <c r="K193" s="209" t="s">
        <v>99</v>
      </c>
      <c r="L193" s="208">
        <f t="shared" si="29"/>
        <v>-16</v>
      </c>
      <c r="N193" s="128" t="e">
        <f>-((J193/100)*#REF!)/100</f>
        <v>#REF!</v>
      </c>
      <c r="AB193" s="54"/>
      <c r="AC193" s="54"/>
      <c r="AD193" s="54"/>
      <c r="AE193" s="54"/>
      <c r="AF193" s="54"/>
      <c r="AG193" s="54"/>
      <c r="AH193" s="54"/>
      <c r="AI193" s="54"/>
      <c r="AK193" s="128"/>
    </row>
    <row r="194" spans="1:37">
      <c r="A194" s="136" t="s">
        <v>152</v>
      </c>
      <c r="B194" s="136"/>
      <c r="C194" s="205">
        <f t="shared" si="26"/>
        <v>135.13333333333341</v>
      </c>
      <c r="D194" s="225">
        <v>60</v>
      </c>
      <c r="E194" s="207"/>
      <c r="F194" s="208">
        <f t="shared" si="27"/>
        <v>8108</v>
      </c>
      <c r="G194" s="225">
        <v>60</v>
      </c>
      <c r="H194" s="209"/>
      <c r="I194" s="208">
        <f t="shared" si="28"/>
        <v>8108</v>
      </c>
      <c r="J194" s="225">
        <v>60</v>
      </c>
      <c r="K194" s="209"/>
      <c r="L194" s="208">
        <f t="shared" si="29"/>
        <v>8108</v>
      </c>
      <c r="N194" s="128" t="e">
        <f>J194*#REF!</f>
        <v>#REF!</v>
      </c>
      <c r="Q194" s="174" t="s">
        <v>0</v>
      </c>
      <c r="AB194" s="54"/>
      <c r="AC194" s="54"/>
      <c r="AD194" s="54"/>
      <c r="AE194" s="54"/>
      <c r="AF194" s="54"/>
      <c r="AG194" s="54"/>
      <c r="AH194" s="54"/>
      <c r="AI194" s="54"/>
      <c r="AK194" s="128"/>
    </row>
    <row r="195" spans="1:37">
      <c r="A195" s="136" t="s">
        <v>153</v>
      </c>
      <c r="B195" s="136"/>
      <c r="C195" s="205">
        <f t="shared" si="26"/>
        <v>2126</v>
      </c>
      <c r="D195" s="226">
        <v>-30</v>
      </c>
      <c r="E195" s="207" t="s">
        <v>99</v>
      </c>
      <c r="F195" s="208">
        <f t="shared" si="27"/>
        <v>-638</v>
      </c>
      <c r="G195" s="226">
        <v>-30</v>
      </c>
      <c r="H195" s="209" t="s">
        <v>99</v>
      </c>
      <c r="I195" s="208">
        <f t="shared" si="28"/>
        <v>-638</v>
      </c>
      <c r="J195" s="226">
        <v>-30</v>
      </c>
      <c r="K195" s="209" t="s">
        <v>99</v>
      </c>
      <c r="L195" s="208">
        <f t="shared" si="29"/>
        <v>-638</v>
      </c>
      <c r="N195" s="128" t="e">
        <f>(J195/100)*#REF!</f>
        <v>#REF!</v>
      </c>
      <c r="S195" s="227"/>
      <c r="T195" s="227"/>
      <c r="AB195" s="54"/>
      <c r="AC195" s="54"/>
      <c r="AD195" s="54"/>
      <c r="AE195" s="54"/>
      <c r="AF195" s="54"/>
      <c r="AG195" s="54"/>
      <c r="AH195" s="54"/>
      <c r="AI195" s="54"/>
      <c r="AK195" s="128"/>
    </row>
    <row r="196" spans="1:37">
      <c r="A196" s="134" t="s">
        <v>142</v>
      </c>
      <c r="C196" s="205">
        <f t="shared" si="26"/>
        <v>153019.66666666669</v>
      </c>
      <c r="D196" s="133"/>
      <c r="E196" s="54"/>
      <c r="F196" s="127"/>
      <c r="G196" s="133"/>
      <c r="H196" s="54"/>
      <c r="I196" s="127"/>
      <c r="J196" s="135">
        <f>J179</f>
        <v>4.42</v>
      </c>
      <c r="K196" s="209" t="s">
        <v>99</v>
      </c>
      <c r="L196" s="208">
        <f t="shared" si="29"/>
        <v>-67</v>
      </c>
      <c r="N196" s="128"/>
      <c r="P196" s="93"/>
      <c r="Q196" s="108"/>
      <c r="R196" s="108"/>
      <c r="S196" s="129"/>
      <c r="T196" s="129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K196" s="128"/>
    </row>
    <row r="197" spans="1:37">
      <c r="A197" s="134" t="s">
        <v>143</v>
      </c>
      <c r="C197" s="205">
        <f t="shared" si="26"/>
        <v>574098.33333333279</v>
      </c>
      <c r="D197" s="133"/>
      <c r="E197" s="54"/>
      <c r="F197" s="127"/>
      <c r="G197" s="133"/>
      <c r="H197" s="54"/>
      <c r="I197" s="127"/>
      <c r="J197" s="135">
        <f>J180</f>
        <v>3.0529999999999999</v>
      </c>
      <c r="K197" s="209" t="s">
        <v>99</v>
      </c>
      <c r="L197" s="208">
        <f t="shared" si="29"/>
        <v>-175</v>
      </c>
      <c r="N197" s="128"/>
      <c r="P197" s="93"/>
      <c r="Q197" s="108"/>
      <c r="R197" s="108"/>
      <c r="S197" s="129"/>
      <c r="T197" s="129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K197" s="128"/>
    </row>
    <row r="198" spans="1:37">
      <c r="A198" s="134" t="s">
        <v>144</v>
      </c>
      <c r="C198" s="205">
        <f t="shared" si="26"/>
        <v>124578.00000000047</v>
      </c>
      <c r="D198" s="133"/>
      <c r="E198" s="54"/>
      <c r="F198" s="127"/>
      <c r="G198" s="133"/>
      <c r="H198" s="54"/>
      <c r="I198" s="127"/>
      <c r="J198" s="135">
        <f>J181</f>
        <v>2.63</v>
      </c>
      <c r="K198" s="209" t="s">
        <v>99</v>
      </c>
      <c r="L198" s="208">
        <f t="shared" si="29"/>
        <v>-33</v>
      </c>
      <c r="N198" s="128"/>
      <c r="P198" s="93"/>
      <c r="Q198" s="108"/>
      <c r="R198" s="108"/>
      <c r="S198" s="129"/>
      <c r="T198" s="129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K198" s="128"/>
    </row>
    <row r="199" spans="1:37">
      <c r="A199" s="136" t="s">
        <v>122</v>
      </c>
      <c r="B199" s="125"/>
      <c r="C199" s="205">
        <f t="shared" si="26"/>
        <v>538505456.464118</v>
      </c>
      <c r="D199" s="215"/>
      <c r="E199" s="127"/>
      <c r="F199" s="208">
        <f>F234+F372+F478</f>
        <v>39473199</v>
      </c>
      <c r="G199" s="215"/>
      <c r="H199" s="209"/>
      <c r="I199" s="208">
        <f>I234+I372+I478</f>
        <v>45365456</v>
      </c>
      <c r="J199" s="215"/>
      <c r="K199" s="209"/>
      <c r="L199" s="208">
        <f t="shared" si="29"/>
        <v>50039831</v>
      </c>
      <c r="N199" s="128" t="e">
        <f>SUM(N165:N195)</f>
        <v>#REF!</v>
      </c>
      <c r="AB199" s="54"/>
      <c r="AC199" s="54"/>
      <c r="AD199" s="54"/>
      <c r="AE199" s="54"/>
      <c r="AF199" s="54"/>
      <c r="AG199" s="54"/>
      <c r="AH199" s="54"/>
      <c r="AI199" s="54"/>
      <c r="AK199" s="128"/>
    </row>
    <row r="200" spans="1:37">
      <c r="A200" s="136" t="s">
        <v>102</v>
      </c>
      <c r="B200" s="202"/>
      <c r="C200" s="228">
        <f t="shared" si="26"/>
        <v>-1109664.9810797435</v>
      </c>
      <c r="D200" s="149"/>
      <c r="E200" s="149"/>
      <c r="F200" s="229" t="e">
        <f>F235+F373+F479</f>
        <v>#REF!</v>
      </c>
      <c r="G200" s="149"/>
      <c r="H200" s="149"/>
      <c r="I200" s="229">
        <f>I235+I373+I479</f>
        <v>-104118.6695298296</v>
      </c>
      <c r="J200" s="149"/>
      <c r="K200" s="149"/>
      <c r="L200" s="229">
        <f>I200</f>
        <v>-104118.6695298296</v>
      </c>
      <c r="N200" s="230"/>
      <c r="Q200" s="96"/>
      <c r="R200" s="96"/>
      <c r="AB200" s="54"/>
      <c r="AC200" s="54"/>
      <c r="AD200" s="54"/>
      <c r="AE200" s="54"/>
      <c r="AF200" s="54"/>
      <c r="AG200" s="54"/>
      <c r="AH200" s="54"/>
      <c r="AI200" s="54"/>
      <c r="AK200" s="128"/>
    </row>
    <row r="201" spans="1:37" ht="16.5" thickBot="1">
      <c r="A201" s="136" t="s">
        <v>123</v>
      </c>
      <c r="B201" s="136"/>
      <c r="C201" s="193">
        <f>SUM(C199:C200)</f>
        <v>537395791.48303831</v>
      </c>
      <c r="D201" s="231"/>
      <c r="E201" s="232"/>
      <c r="F201" s="233" t="e">
        <f>F199+F200</f>
        <v>#REF!</v>
      </c>
      <c r="G201" s="234"/>
      <c r="H201" s="235"/>
      <c r="I201" s="233">
        <f>I199+I200</f>
        <v>45261337.330470167</v>
      </c>
      <c r="J201" s="236"/>
      <c r="K201" s="235"/>
      <c r="L201" s="233">
        <f>L199+L200</f>
        <v>49935712.330470167</v>
      </c>
      <c r="N201" s="237"/>
      <c r="O201" s="144" t="s">
        <v>154</v>
      </c>
      <c r="P201" s="145">
        <v>49935701.943274468</v>
      </c>
      <c r="Q201" s="238">
        <v>0.10324499999999999</v>
      </c>
      <c r="R201" s="239"/>
      <c r="S201" s="64" t="s">
        <v>0</v>
      </c>
      <c r="AB201" s="54"/>
      <c r="AC201" s="54"/>
      <c r="AD201" s="54"/>
      <c r="AE201" s="54"/>
      <c r="AF201" s="54"/>
      <c r="AG201" s="54"/>
      <c r="AH201" s="54"/>
      <c r="AI201" s="54"/>
      <c r="AK201" s="128"/>
    </row>
    <row r="202" spans="1:37" ht="16.5" thickTop="1">
      <c r="A202" s="136"/>
      <c r="B202" s="136"/>
      <c r="C202" s="168"/>
      <c r="D202" s="225"/>
      <c r="E202" s="127"/>
      <c r="F202" s="127"/>
      <c r="G202" s="225"/>
      <c r="H202" s="136"/>
      <c r="I202" s="127" t="s">
        <v>0</v>
      </c>
      <c r="J202" s="225"/>
      <c r="K202" s="136"/>
      <c r="L202" s="127" t="s">
        <v>0</v>
      </c>
      <c r="O202" s="150" t="s">
        <v>105</v>
      </c>
      <c r="P202" s="151">
        <f>P201-L201</f>
        <v>-10.387195698916912</v>
      </c>
      <c r="Q202" s="240" t="s">
        <v>0</v>
      </c>
      <c r="R202" s="241"/>
      <c r="AB202" s="54"/>
      <c r="AC202" s="54"/>
      <c r="AD202" s="54"/>
      <c r="AE202" s="54"/>
      <c r="AF202" s="54"/>
      <c r="AG202" s="54"/>
      <c r="AH202" s="54"/>
      <c r="AI202" s="54"/>
      <c r="AK202" s="128"/>
    </row>
    <row r="203" spans="1:37" hidden="1">
      <c r="A203" s="136"/>
      <c r="B203" s="136"/>
      <c r="C203" s="168"/>
      <c r="D203" s="225"/>
      <c r="E203" s="127"/>
      <c r="F203" s="127"/>
      <c r="G203" s="225"/>
      <c r="H203" s="136"/>
      <c r="I203" s="127"/>
      <c r="J203" s="225"/>
      <c r="K203" s="136"/>
      <c r="AB203" s="54"/>
      <c r="AC203" s="54"/>
      <c r="AD203" s="54"/>
      <c r="AE203" s="54"/>
      <c r="AF203" s="54"/>
      <c r="AG203" s="54"/>
      <c r="AH203" s="54"/>
      <c r="AI203" s="54"/>
      <c r="AK203" s="128"/>
    </row>
    <row r="204" spans="1:37" hidden="1">
      <c r="A204" s="167" t="s">
        <v>129</v>
      </c>
      <c r="B204" s="136"/>
      <c r="C204" s="136"/>
      <c r="D204" s="127"/>
      <c r="E204" s="127"/>
      <c r="F204" s="136" t="s">
        <v>0</v>
      </c>
      <c r="G204" s="127"/>
      <c r="H204" s="136"/>
      <c r="I204" s="136"/>
      <c r="J204" s="127"/>
      <c r="K204" s="136"/>
      <c r="L204" s="136"/>
      <c r="P204" s="242" t="s">
        <v>0</v>
      </c>
      <c r="Q204" s="64"/>
      <c r="R204" s="64"/>
      <c r="AB204" s="54"/>
      <c r="AC204" s="54"/>
      <c r="AD204" s="54"/>
      <c r="AE204" s="54"/>
      <c r="AF204" s="54"/>
      <c r="AG204" s="54"/>
      <c r="AH204" s="54"/>
      <c r="AI204" s="54"/>
      <c r="AK204" s="128"/>
    </row>
    <row r="205" spans="1:37" hidden="1">
      <c r="A205" s="136" t="s">
        <v>155</v>
      </c>
      <c r="B205" s="136"/>
      <c r="C205" s="136"/>
      <c r="D205" s="127"/>
      <c r="E205" s="127"/>
      <c r="F205" s="136"/>
      <c r="G205" s="127"/>
      <c r="H205" s="136"/>
      <c r="I205" s="136"/>
      <c r="J205" s="127"/>
      <c r="K205" s="136"/>
      <c r="L205" s="136"/>
      <c r="N205" s="243"/>
      <c r="O205" s="243"/>
      <c r="P205" s="109"/>
      <c r="Q205" s="109"/>
      <c r="R205" s="109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K205" s="128"/>
    </row>
    <row r="206" spans="1:37" hidden="1">
      <c r="A206" s="136"/>
      <c r="B206" s="136"/>
      <c r="C206" s="136"/>
      <c r="D206" s="127"/>
      <c r="E206" s="127"/>
      <c r="F206" s="136"/>
      <c r="G206" s="127"/>
      <c r="H206" s="136"/>
      <c r="I206" s="136"/>
      <c r="J206" s="127"/>
      <c r="K206" s="136"/>
      <c r="L206" s="136"/>
      <c r="N206" s="243"/>
      <c r="O206" s="243"/>
      <c r="P206" s="109"/>
      <c r="Q206" s="109"/>
      <c r="R206" s="109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K206" s="128"/>
    </row>
    <row r="207" spans="1:37" hidden="1">
      <c r="A207" s="136" t="s">
        <v>135</v>
      </c>
      <c r="B207" s="136"/>
      <c r="C207" s="205"/>
      <c r="D207" s="127"/>
      <c r="E207" s="127"/>
      <c r="F207" s="136"/>
      <c r="G207" s="127"/>
      <c r="H207" s="136"/>
      <c r="I207" s="136"/>
      <c r="J207" s="127"/>
      <c r="K207" s="136"/>
      <c r="L207" s="136"/>
      <c r="N207" s="54"/>
      <c r="O207" s="54"/>
      <c r="P207" s="109"/>
      <c r="Q207" s="109"/>
      <c r="R207" s="109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K207" s="128"/>
    </row>
    <row r="208" spans="1:37" hidden="1">
      <c r="A208" s="136" t="s">
        <v>132</v>
      </c>
      <c r="B208" s="136"/>
      <c r="C208" s="205">
        <f>C277+C311+C242</f>
        <v>158636.29999999361</v>
      </c>
      <c r="D208" s="172">
        <v>7.64</v>
      </c>
      <c r="E208" s="207"/>
      <c r="F208" s="127">
        <f>F277+F311</f>
        <v>1168196</v>
      </c>
      <c r="G208" s="172">
        <v>8.7100000000000009</v>
      </c>
      <c r="H208" s="209"/>
      <c r="I208" s="127">
        <f>I277+I311+I242</f>
        <v>1381722</v>
      </c>
      <c r="J208" s="172">
        <f>$J$169</f>
        <v>9.61</v>
      </c>
      <c r="K208" s="209"/>
      <c r="L208" s="127">
        <f>L277+L311+L242</f>
        <v>1524495</v>
      </c>
      <c r="N208" s="54"/>
      <c r="O208" s="54"/>
      <c r="P208" s="109"/>
      <c r="Q208" s="109"/>
      <c r="R208" s="109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K208" s="128"/>
    </row>
    <row r="209" spans="1:37" hidden="1">
      <c r="A209" s="136" t="s">
        <v>133</v>
      </c>
      <c r="B209" s="136"/>
      <c r="C209" s="205">
        <f>C278+C312+C243</f>
        <v>62611.199999999109</v>
      </c>
      <c r="D209" s="172">
        <v>11.36</v>
      </c>
      <c r="E209" s="210"/>
      <c r="F209" s="127">
        <f>F278+F312</f>
        <v>707158</v>
      </c>
      <c r="G209" s="172">
        <v>12.98</v>
      </c>
      <c r="H209" s="211"/>
      <c r="I209" s="127">
        <f>I278+I312+I243</f>
        <v>812693</v>
      </c>
      <c r="J209" s="172">
        <f>$J$170</f>
        <v>14.32</v>
      </c>
      <c r="K209" s="211"/>
      <c r="L209" s="127">
        <f>L278+L312+L243</f>
        <v>896593</v>
      </c>
      <c r="N209" s="54"/>
      <c r="O209" s="54"/>
      <c r="P209" s="109"/>
      <c r="Q209" s="109"/>
      <c r="R209" s="109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K209" s="128"/>
    </row>
    <row r="210" spans="1:37" hidden="1">
      <c r="A210" s="136" t="s">
        <v>134</v>
      </c>
      <c r="B210" s="136"/>
      <c r="C210" s="205">
        <f>C279+C313+C244</f>
        <v>1220817.5</v>
      </c>
      <c r="D210" s="172">
        <v>0.81</v>
      </c>
      <c r="E210" s="210"/>
      <c r="F210" s="127">
        <f>F279+F313</f>
        <v>988060</v>
      </c>
      <c r="G210" s="172">
        <v>0.92</v>
      </c>
      <c r="H210" s="211"/>
      <c r="I210" s="127">
        <f>I279+I313+I244</f>
        <v>1123153</v>
      </c>
      <c r="J210" s="172">
        <f>$J$171</f>
        <v>1.01</v>
      </c>
      <c r="K210" s="211"/>
      <c r="L210" s="127">
        <f>L279+L313+L244</f>
        <v>1233026</v>
      </c>
      <c r="N210" s="54"/>
      <c r="O210" s="54"/>
      <c r="P210" s="109"/>
      <c r="Q210" s="109"/>
      <c r="R210" s="109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K210" s="128"/>
    </row>
    <row r="211" spans="1:37" hidden="1">
      <c r="A211" s="136" t="s">
        <v>136</v>
      </c>
      <c r="B211" s="136"/>
      <c r="C211" s="205">
        <f>SUM(C208:C209)</f>
        <v>221247.49999999272</v>
      </c>
      <c r="D211" s="172"/>
      <c r="E211" s="207"/>
      <c r="F211" s="127"/>
      <c r="G211" s="172"/>
      <c r="H211" s="209"/>
      <c r="I211" s="127"/>
      <c r="J211" s="172"/>
      <c r="K211" s="209"/>
      <c r="L211" s="127"/>
      <c r="N211" s="54"/>
      <c r="O211" s="54"/>
      <c r="P211" s="109"/>
      <c r="Q211" s="109"/>
      <c r="R211" s="109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K211" s="128"/>
    </row>
    <row r="212" spans="1:37" hidden="1">
      <c r="A212" s="136" t="s">
        <v>137</v>
      </c>
      <c r="B212" s="136"/>
      <c r="C212" s="205">
        <f t="shared" ref="C212:C219" si="30">C281+C315+C246</f>
        <v>781307.5</v>
      </c>
      <c r="D212" s="225">
        <v>2.98</v>
      </c>
      <c r="E212" s="209"/>
      <c r="F212" s="127">
        <f>F281+F315</f>
        <v>2326788</v>
      </c>
      <c r="G212" s="225">
        <v>3.4</v>
      </c>
      <c r="H212" s="209"/>
      <c r="I212" s="127">
        <f>I281+I315+I246</f>
        <v>2656445</v>
      </c>
      <c r="J212" s="225">
        <f>$J$174</f>
        <v>3.75</v>
      </c>
      <c r="K212" s="209"/>
      <c r="L212" s="127">
        <f>L281+L315+L246</f>
        <v>2929904</v>
      </c>
      <c r="N212" s="54"/>
      <c r="O212" s="54"/>
      <c r="P212" s="109"/>
      <c r="Q212" s="109"/>
      <c r="R212" s="109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K212" s="128"/>
    </row>
    <row r="213" spans="1:37" hidden="1">
      <c r="A213" s="136" t="s">
        <v>138</v>
      </c>
      <c r="B213" s="136"/>
      <c r="C213" s="205">
        <f t="shared" si="30"/>
        <v>130571195.98392698</v>
      </c>
      <c r="D213" s="135">
        <v>8.5489999999999995</v>
      </c>
      <c r="E213" s="209" t="s">
        <v>99</v>
      </c>
      <c r="F213" s="127">
        <f>F282+F316</f>
        <v>11005721</v>
      </c>
      <c r="G213" s="135">
        <v>9.766</v>
      </c>
      <c r="H213" s="209" t="s">
        <v>99</v>
      </c>
      <c r="I213" s="127">
        <f>I282+I316+I247</f>
        <v>12751584</v>
      </c>
      <c r="J213" s="135">
        <f>$J$175</f>
        <v>6.3540000000000001</v>
      </c>
      <c r="K213" s="209" t="s">
        <v>99</v>
      </c>
      <c r="L213" s="127">
        <f>L282+L316+L247</f>
        <v>8296494</v>
      </c>
      <c r="N213" s="54"/>
      <c r="O213" s="54"/>
      <c r="P213" s="109"/>
      <c r="Q213" s="109"/>
      <c r="R213" s="109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K213" s="128"/>
    </row>
    <row r="214" spans="1:37" hidden="1">
      <c r="A214" s="136" t="s">
        <v>139</v>
      </c>
      <c r="B214" s="136"/>
      <c r="C214" s="205">
        <f t="shared" si="30"/>
        <v>286080284.21862602</v>
      </c>
      <c r="D214" s="135">
        <v>5.9020000000000001</v>
      </c>
      <c r="E214" s="209" t="s">
        <v>99</v>
      </c>
      <c r="F214" s="127">
        <f>F283+F317</f>
        <v>16853555</v>
      </c>
      <c r="G214" s="135">
        <v>6.7460000000000004</v>
      </c>
      <c r="H214" s="209" t="s">
        <v>99</v>
      </c>
      <c r="I214" s="127">
        <f>I283+I317+I248</f>
        <v>19298975</v>
      </c>
      <c r="J214" s="135">
        <f>$J$176</f>
        <v>4.3890000000000002</v>
      </c>
      <c r="K214" s="209" t="s">
        <v>99</v>
      </c>
      <c r="L214" s="127">
        <f>L283+L317+L248</f>
        <v>12556064</v>
      </c>
      <c r="N214" s="54"/>
      <c r="O214" s="54"/>
      <c r="P214" s="109"/>
      <c r="Q214" s="109"/>
      <c r="R214" s="109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K214" s="128"/>
    </row>
    <row r="215" spans="1:37" hidden="1">
      <c r="A215" s="136" t="s">
        <v>140</v>
      </c>
      <c r="B215" s="136"/>
      <c r="C215" s="205">
        <f t="shared" si="30"/>
        <v>120193838.26156484</v>
      </c>
      <c r="D215" s="135">
        <v>5.0839999999999996</v>
      </c>
      <c r="E215" s="209" t="s">
        <v>99</v>
      </c>
      <c r="F215" s="127">
        <f>F284+F318</f>
        <v>6110655</v>
      </c>
      <c r="G215" s="135">
        <v>5.8120000000000003</v>
      </c>
      <c r="H215" s="209" t="s">
        <v>99</v>
      </c>
      <c r="I215" s="127">
        <f>I284+I318+I249</f>
        <v>6985666</v>
      </c>
      <c r="J215" s="135">
        <f>$J$177</f>
        <v>3.782</v>
      </c>
      <c r="K215" s="209" t="s">
        <v>99</v>
      </c>
      <c r="L215" s="127">
        <f>L284+L318+L249</f>
        <v>4545731</v>
      </c>
      <c r="N215" s="54"/>
      <c r="O215" s="54"/>
      <c r="P215" s="109"/>
      <c r="Q215" s="109"/>
      <c r="R215" s="109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K215" s="128"/>
    </row>
    <row r="216" spans="1:37" hidden="1">
      <c r="A216" s="136" t="s">
        <v>141</v>
      </c>
      <c r="B216" s="136"/>
      <c r="C216" s="205">
        <f t="shared" si="30"/>
        <v>110441.09999999979</v>
      </c>
      <c r="D216" s="215">
        <v>50</v>
      </c>
      <c r="E216" s="207" t="s">
        <v>99</v>
      </c>
      <c r="F216" s="127">
        <f>F285+F319</f>
        <v>55220</v>
      </c>
      <c r="G216" s="215">
        <v>56</v>
      </c>
      <c r="H216" s="209" t="s">
        <v>99</v>
      </c>
      <c r="I216" s="127">
        <f>I285+I319+I250</f>
        <v>61847</v>
      </c>
      <c r="J216" s="215">
        <f>$J$178</f>
        <v>62</v>
      </c>
      <c r="K216" s="209" t="s">
        <v>99</v>
      </c>
      <c r="L216" s="127">
        <f>L285+L319+L250</f>
        <v>68473</v>
      </c>
      <c r="N216" s="54"/>
      <c r="O216" s="54"/>
      <c r="P216" s="109"/>
      <c r="Q216" s="109"/>
      <c r="R216" s="109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K216" s="128"/>
    </row>
    <row r="217" spans="1:37" hidden="1">
      <c r="A217" s="134" t="s">
        <v>142</v>
      </c>
      <c r="C217" s="205">
        <f t="shared" si="30"/>
        <v>130571195.98392698</v>
      </c>
      <c r="D217" s="133"/>
      <c r="E217" s="54"/>
      <c r="F217" s="127"/>
      <c r="G217" s="133"/>
      <c r="H217" s="54"/>
      <c r="I217" s="127"/>
      <c r="J217" s="135">
        <f>J179</f>
        <v>4.42</v>
      </c>
      <c r="K217" s="209" t="s">
        <v>99</v>
      </c>
      <c r="L217" s="127">
        <f t="shared" ref="L217:L219" si="31">L286+L320+L251</f>
        <v>5771246</v>
      </c>
      <c r="N217" s="128"/>
      <c r="P217" s="93"/>
      <c r="Q217" s="108"/>
      <c r="R217" s="108"/>
      <c r="S217" s="129"/>
      <c r="T217" s="129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K217" s="128"/>
    </row>
    <row r="218" spans="1:37" hidden="1">
      <c r="A218" s="134" t="s">
        <v>143</v>
      </c>
      <c r="C218" s="205">
        <f t="shared" si="30"/>
        <v>286080284.21862602</v>
      </c>
      <c r="D218" s="133"/>
      <c r="E218" s="54"/>
      <c r="F218" s="127"/>
      <c r="G218" s="133"/>
      <c r="H218" s="54"/>
      <c r="I218" s="127"/>
      <c r="J218" s="135">
        <f>J180</f>
        <v>3.0529999999999999</v>
      </c>
      <c r="K218" s="209" t="s">
        <v>99</v>
      </c>
      <c r="L218" s="127">
        <f t="shared" si="31"/>
        <v>8734032</v>
      </c>
      <c r="N218" s="128"/>
      <c r="P218" s="93"/>
      <c r="Q218" s="108"/>
      <c r="R218" s="108"/>
      <c r="S218" s="129"/>
      <c r="T218" s="129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K218" s="128"/>
    </row>
    <row r="219" spans="1:37" hidden="1">
      <c r="A219" s="134" t="s">
        <v>144</v>
      </c>
      <c r="C219" s="205">
        <f t="shared" si="30"/>
        <v>120193838.26156484</v>
      </c>
      <c r="D219" s="133"/>
      <c r="E219" s="54"/>
      <c r="F219" s="127"/>
      <c r="G219" s="133"/>
      <c r="H219" s="54"/>
      <c r="I219" s="127"/>
      <c r="J219" s="135">
        <f>J181</f>
        <v>2.63</v>
      </c>
      <c r="K219" s="209" t="s">
        <v>99</v>
      </c>
      <c r="L219" s="127">
        <f t="shared" si="31"/>
        <v>3161098</v>
      </c>
      <c r="N219" s="128"/>
      <c r="P219" s="93"/>
      <c r="Q219" s="108"/>
      <c r="R219" s="108"/>
      <c r="S219" s="129"/>
      <c r="T219" s="129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K219" s="128"/>
    </row>
    <row r="220" spans="1:37" hidden="1">
      <c r="A220" s="219" t="s">
        <v>148</v>
      </c>
      <c r="B220" s="136"/>
      <c r="C220" s="205"/>
      <c r="D220" s="220">
        <v>-0.01</v>
      </c>
      <c r="E220" s="207"/>
      <c r="F220" s="127"/>
      <c r="G220" s="220">
        <v>-0.01</v>
      </c>
      <c r="H220" s="209"/>
      <c r="I220" s="127"/>
      <c r="J220" s="220">
        <v>-0.01</v>
      </c>
      <c r="K220" s="209"/>
      <c r="L220" s="127"/>
      <c r="N220" s="54"/>
      <c r="O220" s="54"/>
      <c r="P220" s="109"/>
      <c r="Q220" s="109"/>
      <c r="R220" s="109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K220" s="128"/>
    </row>
    <row r="221" spans="1:37" hidden="1">
      <c r="A221" s="136" t="s">
        <v>132</v>
      </c>
      <c r="B221" s="136"/>
      <c r="C221" s="205">
        <f t="shared" ref="C221:C231" si="32">C290+C324+C255</f>
        <v>72.066666666666706</v>
      </c>
      <c r="D221" s="222">
        <v>7.64</v>
      </c>
      <c r="E221" s="207"/>
      <c r="F221" s="127">
        <f t="shared" ref="F221:F230" si="33">F290+F324</f>
        <v>-6</v>
      </c>
      <c r="G221" s="222">
        <v>8.7100000000000009</v>
      </c>
      <c r="H221" s="207"/>
      <c r="I221" s="127">
        <f t="shared" ref="I221:I230" si="34">I290+I324+I255</f>
        <v>-6</v>
      </c>
      <c r="J221" s="222">
        <f>J208</f>
        <v>9.61</v>
      </c>
      <c r="K221" s="207"/>
      <c r="L221" s="127">
        <f t="shared" ref="L221:L234" si="35">L290+L324+L255</f>
        <v>-7</v>
      </c>
      <c r="N221" s="54"/>
      <c r="O221" s="54"/>
      <c r="P221" s="109"/>
      <c r="Q221" s="109"/>
      <c r="R221" s="109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K221" s="128"/>
    </row>
    <row r="222" spans="1:37" hidden="1">
      <c r="A222" s="136" t="s">
        <v>133</v>
      </c>
      <c r="B222" s="136"/>
      <c r="C222" s="205">
        <f t="shared" si="32"/>
        <v>138.7000000000001</v>
      </c>
      <c r="D222" s="222">
        <v>11.36</v>
      </c>
      <c r="E222" s="207"/>
      <c r="F222" s="127">
        <f t="shared" si="33"/>
        <v>-14</v>
      </c>
      <c r="G222" s="222">
        <v>12.98</v>
      </c>
      <c r="H222" s="207"/>
      <c r="I222" s="127">
        <f t="shared" si="34"/>
        <v>-17</v>
      </c>
      <c r="J222" s="222">
        <f>J209</f>
        <v>14.32</v>
      </c>
      <c r="K222" s="207"/>
      <c r="L222" s="127">
        <f t="shared" si="35"/>
        <v>-19</v>
      </c>
      <c r="N222" s="54"/>
      <c r="O222" s="54"/>
      <c r="P222" s="109"/>
      <c r="Q222" s="109"/>
      <c r="R222" s="109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K222" s="128"/>
    </row>
    <row r="223" spans="1:37" hidden="1">
      <c r="A223" s="136" t="s">
        <v>149</v>
      </c>
      <c r="B223" s="136"/>
      <c r="C223" s="205">
        <f t="shared" si="32"/>
        <v>2126</v>
      </c>
      <c r="D223" s="222">
        <v>0.81</v>
      </c>
      <c r="E223" s="207"/>
      <c r="F223" s="127">
        <f t="shared" si="33"/>
        <v>-17</v>
      </c>
      <c r="G223" s="222">
        <v>0.92</v>
      </c>
      <c r="H223" s="207"/>
      <c r="I223" s="127">
        <f t="shared" si="34"/>
        <v>-19</v>
      </c>
      <c r="J223" s="222">
        <f>J210</f>
        <v>1.01</v>
      </c>
      <c r="K223" s="207"/>
      <c r="L223" s="127">
        <f t="shared" si="35"/>
        <v>-22</v>
      </c>
      <c r="N223" s="54"/>
      <c r="O223" s="54"/>
      <c r="P223" s="109"/>
      <c r="Q223" s="109"/>
      <c r="R223" s="109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K223" s="128"/>
    </row>
    <row r="224" spans="1:37" hidden="1">
      <c r="A224" s="136" t="s">
        <v>150</v>
      </c>
      <c r="B224" s="136"/>
      <c r="C224" s="205">
        <f t="shared" si="32"/>
        <v>844.5</v>
      </c>
      <c r="D224" s="222">
        <v>2.98</v>
      </c>
      <c r="E224" s="209"/>
      <c r="F224" s="127">
        <f t="shared" si="33"/>
        <v>-25</v>
      </c>
      <c r="G224" s="222">
        <v>3.4</v>
      </c>
      <c r="H224" s="209"/>
      <c r="I224" s="127">
        <f t="shared" si="34"/>
        <v>-28</v>
      </c>
      <c r="J224" s="222">
        <f>J212</f>
        <v>3.75</v>
      </c>
      <c r="K224" s="209"/>
      <c r="L224" s="127">
        <f t="shared" si="35"/>
        <v>-32</v>
      </c>
      <c r="N224" s="54"/>
      <c r="O224" s="54"/>
      <c r="P224" s="109"/>
      <c r="Q224" s="109"/>
      <c r="R224" s="109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K224" s="128"/>
    </row>
    <row r="225" spans="1:37" hidden="1">
      <c r="A225" s="136" t="s">
        <v>151</v>
      </c>
      <c r="B225" s="136"/>
      <c r="C225" s="205">
        <f t="shared" si="32"/>
        <v>153019.66666666669</v>
      </c>
      <c r="D225" s="223">
        <v>8.5489999999999995</v>
      </c>
      <c r="E225" s="209" t="s">
        <v>99</v>
      </c>
      <c r="F225" s="127">
        <f t="shared" si="33"/>
        <v>-130</v>
      </c>
      <c r="G225" s="223">
        <v>9.766</v>
      </c>
      <c r="H225" s="209" t="s">
        <v>99</v>
      </c>
      <c r="I225" s="127">
        <f t="shared" si="34"/>
        <v>-150</v>
      </c>
      <c r="J225" s="223">
        <f>J213</f>
        <v>6.3540000000000001</v>
      </c>
      <c r="K225" s="209" t="s">
        <v>99</v>
      </c>
      <c r="L225" s="127">
        <f t="shared" si="35"/>
        <v>-97</v>
      </c>
      <c r="N225" s="54"/>
      <c r="O225" s="54"/>
      <c r="P225" s="109"/>
      <c r="Q225" s="109"/>
      <c r="R225" s="109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K225" s="128"/>
    </row>
    <row r="226" spans="1:37" hidden="1">
      <c r="A226" s="136" t="s">
        <v>139</v>
      </c>
      <c r="B226" s="136"/>
      <c r="C226" s="205">
        <f t="shared" si="32"/>
        <v>574098.33333333279</v>
      </c>
      <c r="D226" s="223">
        <v>5.9020000000000001</v>
      </c>
      <c r="E226" s="209" t="s">
        <v>99</v>
      </c>
      <c r="F226" s="127">
        <f t="shared" si="33"/>
        <v>-339</v>
      </c>
      <c r="G226" s="223">
        <v>6.7460000000000004</v>
      </c>
      <c r="H226" s="209" t="s">
        <v>99</v>
      </c>
      <c r="I226" s="127">
        <f t="shared" si="34"/>
        <v>-387</v>
      </c>
      <c r="J226" s="223">
        <f>J214</f>
        <v>4.3890000000000002</v>
      </c>
      <c r="K226" s="209" t="s">
        <v>99</v>
      </c>
      <c r="L226" s="127">
        <f t="shared" si="35"/>
        <v>-252</v>
      </c>
      <c r="N226" s="54"/>
      <c r="O226" s="54"/>
      <c r="P226" s="109"/>
      <c r="Q226" s="109"/>
      <c r="R226" s="109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K226" s="128"/>
    </row>
    <row r="227" spans="1:37" hidden="1">
      <c r="A227" s="136" t="s">
        <v>140</v>
      </c>
      <c r="B227" s="136"/>
      <c r="C227" s="205">
        <f t="shared" si="32"/>
        <v>124578.00000000047</v>
      </c>
      <c r="D227" s="223">
        <v>5.0839999999999996</v>
      </c>
      <c r="E227" s="209" t="s">
        <v>99</v>
      </c>
      <c r="F227" s="127">
        <f t="shared" si="33"/>
        <v>-63</v>
      </c>
      <c r="G227" s="223">
        <v>5.8120000000000003</v>
      </c>
      <c r="H227" s="209" t="s">
        <v>99</v>
      </c>
      <c r="I227" s="127">
        <f t="shared" si="34"/>
        <v>-72</v>
      </c>
      <c r="J227" s="223">
        <f>J215</f>
        <v>3.782</v>
      </c>
      <c r="K227" s="209" t="s">
        <v>99</v>
      </c>
      <c r="L227" s="127">
        <f t="shared" si="35"/>
        <v>-47</v>
      </c>
      <c r="N227" s="54"/>
      <c r="O227" s="54"/>
      <c r="P227" s="109"/>
      <c r="Q227" s="109"/>
      <c r="R227" s="109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K227" s="128"/>
    </row>
    <row r="228" spans="1:37" hidden="1">
      <c r="A228" s="136" t="s">
        <v>141</v>
      </c>
      <c r="B228" s="136"/>
      <c r="C228" s="205">
        <f t="shared" si="32"/>
        <v>2643.7</v>
      </c>
      <c r="D228" s="224">
        <v>50</v>
      </c>
      <c r="E228" s="209" t="s">
        <v>99</v>
      </c>
      <c r="F228" s="127">
        <f t="shared" si="33"/>
        <v>-13</v>
      </c>
      <c r="G228" s="224">
        <v>56</v>
      </c>
      <c r="H228" s="209" t="s">
        <v>99</v>
      </c>
      <c r="I228" s="127">
        <f t="shared" si="34"/>
        <v>-15</v>
      </c>
      <c r="J228" s="224">
        <f>J216</f>
        <v>62</v>
      </c>
      <c r="K228" s="209" t="s">
        <v>99</v>
      </c>
      <c r="L228" s="127">
        <f t="shared" si="35"/>
        <v>-16</v>
      </c>
      <c r="N228" s="54"/>
      <c r="O228" s="54"/>
      <c r="P228" s="109"/>
      <c r="Q228" s="109"/>
      <c r="R228" s="109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K228" s="128"/>
    </row>
    <row r="229" spans="1:37" hidden="1">
      <c r="A229" s="136" t="s">
        <v>152</v>
      </c>
      <c r="B229" s="136"/>
      <c r="C229" s="205">
        <f t="shared" si="32"/>
        <v>135.13333333333341</v>
      </c>
      <c r="D229" s="225">
        <v>60</v>
      </c>
      <c r="E229" s="207"/>
      <c r="F229" s="127">
        <f t="shared" si="33"/>
        <v>8108</v>
      </c>
      <c r="G229" s="225">
        <v>60</v>
      </c>
      <c r="H229" s="209"/>
      <c r="I229" s="127">
        <f t="shared" si="34"/>
        <v>8108</v>
      </c>
      <c r="J229" s="225">
        <f>$J$194</f>
        <v>60</v>
      </c>
      <c r="K229" s="209"/>
      <c r="L229" s="127">
        <f t="shared" si="35"/>
        <v>8108</v>
      </c>
      <c r="N229" s="54"/>
      <c r="O229" s="54"/>
      <c r="P229" s="109"/>
      <c r="Q229" s="109"/>
      <c r="R229" s="109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K229" s="128"/>
    </row>
    <row r="230" spans="1:37" hidden="1">
      <c r="A230" s="136" t="s">
        <v>153</v>
      </c>
      <c r="B230" s="136"/>
      <c r="C230" s="205">
        <f t="shared" si="32"/>
        <v>2126</v>
      </c>
      <c r="D230" s="226">
        <v>-30</v>
      </c>
      <c r="E230" s="207" t="s">
        <v>99</v>
      </c>
      <c r="F230" s="127">
        <f t="shared" si="33"/>
        <v>-638</v>
      </c>
      <c r="G230" s="226">
        <v>-30</v>
      </c>
      <c r="H230" s="209" t="s">
        <v>99</v>
      </c>
      <c r="I230" s="127">
        <f t="shared" si="34"/>
        <v>-638</v>
      </c>
      <c r="J230" s="226">
        <f>$J$195</f>
        <v>-30</v>
      </c>
      <c r="K230" s="209" t="s">
        <v>99</v>
      </c>
      <c r="L230" s="127">
        <f t="shared" si="35"/>
        <v>-638</v>
      </c>
      <c r="N230" s="54"/>
      <c r="O230" s="54"/>
      <c r="P230" s="109"/>
      <c r="Q230" s="109"/>
      <c r="R230" s="109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K230" s="128"/>
    </row>
    <row r="231" spans="1:37" hidden="1">
      <c r="A231" s="134" t="s">
        <v>142</v>
      </c>
      <c r="C231" s="205">
        <f t="shared" si="32"/>
        <v>153019.66666666669</v>
      </c>
      <c r="D231" s="133"/>
      <c r="E231" s="54"/>
      <c r="F231" s="127"/>
      <c r="G231" s="133"/>
      <c r="H231" s="54"/>
      <c r="I231" s="127"/>
      <c r="J231" s="135">
        <f>J179</f>
        <v>4.42</v>
      </c>
      <c r="K231" s="209" t="s">
        <v>99</v>
      </c>
      <c r="L231" s="127">
        <f t="shared" si="35"/>
        <v>-67</v>
      </c>
      <c r="N231" s="128"/>
      <c r="P231" s="93"/>
      <c r="Q231" s="108"/>
      <c r="R231" s="108"/>
      <c r="S231" s="129"/>
      <c r="T231" s="129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K231" s="128"/>
    </row>
    <row r="232" spans="1:37" hidden="1">
      <c r="A232" s="134" t="s">
        <v>143</v>
      </c>
      <c r="C232" s="205">
        <f>C301+C335+C266</f>
        <v>574098.33333333279</v>
      </c>
      <c r="D232" s="133"/>
      <c r="E232" s="54"/>
      <c r="F232" s="127"/>
      <c r="G232" s="133"/>
      <c r="H232" s="54"/>
      <c r="I232" s="127"/>
      <c r="J232" s="135">
        <f>J180</f>
        <v>3.0529999999999999</v>
      </c>
      <c r="K232" s="209" t="s">
        <v>99</v>
      </c>
      <c r="L232" s="127">
        <f t="shared" si="35"/>
        <v>-175</v>
      </c>
      <c r="N232" s="128"/>
      <c r="P232" s="93"/>
      <c r="Q232" s="108"/>
      <c r="R232" s="108"/>
      <c r="S232" s="129"/>
      <c r="T232" s="129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K232" s="128"/>
    </row>
    <row r="233" spans="1:37" hidden="1">
      <c r="A233" s="134" t="s">
        <v>144</v>
      </c>
      <c r="C233" s="205">
        <f>C302+C336+C267</f>
        <v>124578.00000000047</v>
      </c>
      <c r="D233" s="133"/>
      <c r="E233" s="54"/>
      <c r="F233" s="127"/>
      <c r="G233" s="133"/>
      <c r="H233" s="54"/>
      <c r="I233" s="127"/>
      <c r="J233" s="135">
        <f>J181</f>
        <v>2.63</v>
      </c>
      <c r="K233" s="209" t="s">
        <v>99</v>
      </c>
      <c r="L233" s="127">
        <f t="shared" si="35"/>
        <v>-33</v>
      </c>
      <c r="N233" s="128"/>
      <c r="P233" s="93"/>
      <c r="Q233" s="108"/>
      <c r="R233" s="108"/>
      <c r="S233" s="129"/>
      <c r="T233" s="129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K233" s="128"/>
    </row>
    <row r="234" spans="1:37" hidden="1">
      <c r="A234" s="136" t="s">
        <v>122</v>
      </c>
      <c r="B234" s="125"/>
      <c r="C234" s="205">
        <f t="shared" ref="C234" si="36">C303+C337+C268</f>
        <v>536845318.46411794</v>
      </c>
      <c r="D234" s="215"/>
      <c r="E234" s="127"/>
      <c r="F234" s="127">
        <f>F303+F337</f>
        <v>39222216</v>
      </c>
      <c r="G234" s="215"/>
      <c r="H234" s="209"/>
      <c r="I234" s="127">
        <f t="shared" ref="I234" si="37">I303+I337+I268</f>
        <v>45078861</v>
      </c>
      <c r="J234" s="215"/>
      <c r="K234" s="209"/>
      <c r="L234" s="127">
        <f t="shared" si="35"/>
        <v>49723859</v>
      </c>
      <c r="N234" s="54"/>
      <c r="O234" s="54"/>
      <c r="P234" s="109"/>
      <c r="Q234" s="109"/>
      <c r="R234" s="109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K234" s="128"/>
    </row>
    <row r="235" spans="1:37" hidden="1">
      <c r="A235" s="136" t="s">
        <v>102</v>
      </c>
      <c r="B235" s="244"/>
      <c r="C235" s="228">
        <f>C269+C304+C338</f>
        <v>-1106026.6645171219</v>
      </c>
      <c r="D235" s="149"/>
      <c r="E235" s="149"/>
      <c r="F235" s="229" t="e">
        <f>F304+F338</f>
        <v>#REF!</v>
      </c>
      <c r="G235" s="149"/>
      <c r="H235" s="149"/>
      <c r="I235" s="229">
        <f>I269+I304+I338</f>
        <v>-103523.14773000471</v>
      </c>
      <c r="J235" s="149"/>
      <c r="K235" s="149"/>
      <c r="L235" s="229">
        <f>I235</f>
        <v>-103523.14773000471</v>
      </c>
      <c r="N235" s="164"/>
      <c r="O235" s="164"/>
      <c r="P235" s="162"/>
      <c r="Q235" s="109"/>
      <c r="R235" s="109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K235" s="128"/>
    </row>
    <row r="236" spans="1:37" ht="16.5" hidden="1" thickBot="1">
      <c r="A236" s="136" t="s">
        <v>123</v>
      </c>
      <c r="B236" s="136"/>
      <c r="C236" s="193">
        <f>SUM(C234:C235)</f>
        <v>535739291.79960084</v>
      </c>
      <c r="D236" s="231"/>
      <c r="E236" s="232"/>
      <c r="F236" s="233" t="e">
        <f>F234+F235</f>
        <v>#REF!</v>
      </c>
      <c r="G236" s="231"/>
      <c r="H236" s="235"/>
      <c r="I236" s="233">
        <f>I234+I235</f>
        <v>44975337.852269992</v>
      </c>
      <c r="J236" s="231"/>
      <c r="K236" s="235"/>
      <c r="L236" s="233">
        <f>L234+L235</f>
        <v>49620335.852269992</v>
      </c>
      <c r="N236" s="165"/>
      <c r="O236" s="165"/>
      <c r="P236" s="166"/>
      <c r="Q236" s="109"/>
      <c r="R236" s="109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K236" s="128"/>
    </row>
    <row r="237" spans="1:37" hidden="1">
      <c r="A237" s="136"/>
      <c r="B237" s="136"/>
      <c r="C237" s="168"/>
      <c r="D237" s="225"/>
      <c r="E237" s="127"/>
      <c r="F237" s="127"/>
      <c r="G237" s="225"/>
      <c r="H237" s="136"/>
      <c r="I237" s="127"/>
      <c r="J237" s="225"/>
      <c r="K237" s="136"/>
      <c r="L237" s="127" t="s">
        <v>0</v>
      </c>
      <c r="N237" s="54"/>
      <c r="O237" s="54"/>
      <c r="P237" s="109"/>
      <c r="Q237" s="109"/>
      <c r="R237" s="109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K237" s="128"/>
    </row>
    <row r="238" spans="1:37" hidden="1">
      <c r="A238" s="167" t="s">
        <v>129</v>
      </c>
      <c r="B238" s="136"/>
      <c r="C238" s="136"/>
      <c r="D238" s="127"/>
      <c r="E238" s="127"/>
      <c r="F238" s="136" t="s">
        <v>0</v>
      </c>
      <c r="G238" s="127"/>
      <c r="H238" s="136"/>
      <c r="I238" s="136"/>
      <c r="J238" s="127"/>
      <c r="K238" s="136"/>
      <c r="L238" s="136"/>
      <c r="N238" s="54"/>
      <c r="O238" s="54"/>
      <c r="P238" s="109"/>
      <c r="Q238" s="109"/>
      <c r="R238" s="109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K238" s="128"/>
    </row>
    <row r="239" spans="1:37" hidden="1">
      <c r="A239" s="136" t="s">
        <v>156</v>
      </c>
      <c r="B239" s="136"/>
      <c r="C239" s="136"/>
      <c r="D239" s="127"/>
      <c r="E239" s="127"/>
      <c r="F239" s="136"/>
      <c r="G239" s="127"/>
      <c r="H239" s="136"/>
      <c r="I239" s="136"/>
      <c r="J239" s="127"/>
      <c r="K239" s="136"/>
      <c r="L239" s="136"/>
      <c r="N239" s="54"/>
      <c r="O239" s="54"/>
      <c r="P239" s="109"/>
      <c r="Q239" s="109"/>
      <c r="R239" s="109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K239" s="128"/>
    </row>
    <row r="240" spans="1:37" hidden="1">
      <c r="A240" s="198" t="s">
        <v>0</v>
      </c>
      <c r="B240" s="136"/>
      <c r="C240" s="168"/>
      <c r="D240" s="127"/>
      <c r="E240" s="127"/>
      <c r="F240" s="136"/>
      <c r="G240" s="127"/>
      <c r="H240" s="136"/>
      <c r="I240" s="136"/>
      <c r="J240" s="127"/>
      <c r="K240" s="136"/>
      <c r="L240" s="136"/>
      <c r="N240" s="54"/>
      <c r="O240" s="54"/>
      <c r="P240" s="109"/>
      <c r="Q240" s="109"/>
      <c r="R240" s="109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K240" s="128"/>
    </row>
    <row r="241" spans="1:37" hidden="1">
      <c r="A241" s="136" t="s">
        <v>135</v>
      </c>
      <c r="B241" s="136"/>
      <c r="C241" s="205"/>
      <c r="D241" s="127"/>
      <c r="E241" s="127"/>
      <c r="F241" s="136"/>
      <c r="G241" s="127"/>
      <c r="H241" s="136"/>
      <c r="I241" s="136"/>
      <c r="J241" s="127"/>
      <c r="K241" s="136"/>
      <c r="L241" s="136"/>
      <c r="N241" s="54"/>
      <c r="O241" s="54"/>
      <c r="P241" s="109"/>
      <c r="Q241" s="109"/>
      <c r="R241" s="109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K241" s="128"/>
    </row>
    <row r="242" spans="1:37" hidden="1">
      <c r="A242" s="136" t="s">
        <v>132</v>
      </c>
      <c r="B242" s="136"/>
      <c r="C242" s="205">
        <v>5731.1333333333296</v>
      </c>
      <c r="D242" s="172">
        <v>7.64</v>
      </c>
      <c r="E242" s="207"/>
      <c r="F242" s="127">
        <f>ROUND(D242*$C242,0)</f>
        <v>43786</v>
      </c>
      <c r="G242" s="172">
        <v>8.7100000000000009</v>
      </c>
      <c r="H242" s="209"/>
      <c r="I242" s="127">
        <f>ROUND(G242*$C242,0)</f>
        <v>49918</v>
      </c>
      <c r="J242" s="172">
        <f>$J$169</f>
        <v>9.61</v>
      </c>
      <c r="K242" s="209"/>
      <c r="L242" s="127">
        <f>ROUND(J242*$C242,0)</f>
        <v>55076</v>
      </c>
      <c r="N242" s="54"/>
      <c r="O242" s="54"/>
      <c r="P242" s="109"/>
      <c r="Q242" s="109"/>
      <c r="R242" s="109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K242" s="128"/>
    </row>
    <row r="243" spans="1:37" hidden="1">
      <c r="A243" s="136" t="s">
        <v>133</v>
      </c>
      <c r="B243" s="136"/>
      <c r="C243" s="205">
        <v>361.36666666666633</v>
      </c>
      <c r="D243" s="172">
        <v>11.36</v>
      </c>
      <c r="E243" s="210"/>
      <c r="F243" s="127">
        <f>ROUND(D243*$C243,0)</f>
        <v>4105</v>
      </c>
      <c r="G243" s="172">
        <v>12.98</v>
      </c>
      <c r="H243" s="211"/>
      <c r="I243" s="127">
        <f t="shared" ref="I243:I244" si="38">ROUND(G243*$C243,0)</f>
        <v>4691</v>
      </c>
      <c r="J243" s="172">
        <f>$J$170</f>
        <v>14.32</v>
      </c>
      <c r="K243" s="211"/>
      <c r="L243" s="127">
        <f>ROUND(J243*$C243,0)</f>
        <v>5175</v>
      </c>
      <c r="N243" s="54"/>
      <c r="O243" s="54"/>
      <c r="P243" s="109"/>
      <c r="Q243" s="109"/>
      <c r="R243" s="109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K243" s="128"/>
    </row>
    <row r="244" spans="1:37" hidden="1">
      <c r="A244" s="136" t="s">
        <v>134</v>
      </c>
      <c r="B244" s="136"/>
      <c r="C244" s="205">
        <v>991</v>
      </c>
      <c r="D244" s="172">
        <v>0.81</v>
      </c>
      <c r="E244" s="210"/>
      <c r="F244" s="127">
        <f>ROUND(D244*$C244,0)</f>
        <v>803</v>
      </c>
      <c r="G244" s="172">
        <v>0.92</v>
      </c>
      <c r="H244" s="211"/>
      <c r="I244" s="127">
        <f t="shared" si="38"/>
        <v>912</v>
      </c>
      <c r="J244" s="172">
        <f>$J$171</f>
        <v>1.01</v>
      </c>
      <c r="K244" s="211"/>
      <c r="L244" s="127">
        <f>ROUND(J244*$C244,0)</f>
        <v>1001</v>
      </c>
      <c r="N244" s="54"/>
      <c r="O244" s="54"/>
      <c r="P244" s="109"/>
      <c r="Q244" s="109"/>
      <c r="R244" s="109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K244" s="128"/>
    </row>
    <row r="245" spans="1:37" hidden="1">
      <c r="A245" s="136" t="s">
        <v>136</v>
      </c>
      <c r="B245" s="136"/>
      <c r="C245" s="205">
        <f>SUM(C242:C243)</f>
        <v>6092.4999999999964</v>
      </c>
      <c r="D245" s="172"/>
      <c r="E245" s="207"/>
      <c r="F245" s="127"/>
      <c r="G245" s="172"/>
      <c r="H245" s="209"/>
      <c r="I245" s="127"/>
      <c r="J245" s="172"/>
      <c r="K245" s="209"/>
      <c r="L245" s="127"/>
      <c r="N245" s="54"/>
      <c r="O245" s="54"/>
      <c r="P245" s="109"/>
      <c r="Q245" s="109"/>
      <c r="R245" s="109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K245" s="128"/>
    </row>
    <row r="246" spans="1:37" hidden="1">
      <c r="A246" s="136" t="s">
        <v>137</v>
      </c>
      <c r="B246" s="136"/>
      <c r="C246" s="205">
        <v>506</v>
      </c>
      <c r="D246" s="225">
        <v>2.98</v>
      </c>
      <c r="E246" s="209"/>
      <c r="F246" s="127">
        <f>ROUND(D246*$C246,0)</f>
        <v>1508</v>
      </c>
      <c r="G246" s="225">
        <v>3.4</v>
      </c>
      <c r="H246" s="209"/>
      <c r="I246" s="127">
        <f>ROUND(G246*C246,0)</f>
        <v>1720</v>
      </c>
      <c r="J246" s="225">
        <f>$J$174</f>
        <v>3.75</v>
      </c>
      <c r="K246" s="209"/>
      <c r="L246" s="127">
        <f>ROUND(J246*$C246,0)</f>
        <v>1898</v>
      </c>
      <c r="N246" s="54"/>
      <c r="O246" s="54"/>
      <c r="P246" s="109"/>
      <c r="Q246" s="109"/>
      <c r="R246" s="109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K246" s="128"/>
    </row>
    <row r="247" spans="1:37" hidden="1">
      <c r="A247" s="136" t="s">
        <v>138</v>
      </c>
      <c r="B247" s="205"/>
      <c r="C247" s="205">
        <v>1834258.206482322</v>
      </c>
      <c r="D247" s="135">
        <v>8.5489999999999995</v>
      </c>
      <c r="E247" s="209" t="s">
        <v>99</v>
      </c>
      <c r="F247" s="127">
        <f>ROUND(D247*$C247/100,0)</f>
        <v>156811</v>
      </c>
      <c r="G247" s="135">
        <v>9.766</v>
      </c>
      <c r="H247" s="209" t="s">
        <v>99</v>
      </c>
      <c r="I247" s="127">
        <f>ROUND(G247*C247/100,0)</f>
        <v>179134</v>
      </c>
      <c r="J247" s="135">
        <f>$J$175</f>
        <v>6.3540000000000001</v>
      </c>
      <c r="K247" s="209" t="s">
        <v>99</v>
      </c>
      <c r="L247" s="127">
        <f>ROUND(J247*$C247/100,0)</f>
        <v>116549</v>
      </c>
      <c r="N247" s="245"/>
      <c r="O247" s="245"/>
      <c r="P247" s="109"/>
      <c r="Q247" s="109"/>
      <c r="R247" s="109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K247" s="128"/>
    </row>
    <row r="248" spans="1:37" hidden="1">
      <c r="A248" s="136" t="s">
        <v>139</v>
      </c>
      <c r="B248" s="205"/>
      <c r="C248" s="205">
        <v>523605.44908201875</v>
      </c>
      <c r="D248" s="135">
        <v>5.9020000000000001</v>
      </c>
      <c r="E248" s="209" t="s">
        <v>99</v>
      </c>
      <c r="F248" s="127">
        <f>ROUND(D248*$C248/100,0)</f>
        <v>30903</v>
      </c>
      <c r="G248" s="135">
        <v>6.7460000000000004</v>
      </c>
      <c r="H248" s="209" t="s">
        <v>99</v>
      </c>
      <c r="I248" s="127">
        <f t="shared" ref="I248:I250" si="39">ROUND(G248*C248/100,0)</f>
        <v>35322</v>
      </c>
      <c r="J248" s="135">
        <f>$J$176</f>
        <v>4.3890000000000002</v>
      </c>
      <c r="K248" s="209" t="s">
        <v>99</v>
      </c>
      <c r="L248" s="127">
        <f>ROUND(J248*$C248/100,0)</f>
        <v>22981</v>
      </c>
      <c r="N248" s="245"/>
      <c r="O248" s="245"/>
      <c r="P248" s="109"/>
      <c r="Q248" s="109"/>
      <c r="R248" s="109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K248" s="128"/>
    </row>
    <row r="249" spans="1:37" hidden="1">
      <c r="A249" s="136" t="s">
        <v>140</v>
      </c>
      <c r="B249" s="205"/>
      <c r="C249" s="205">
        <v>0</v>
      </c>
      <c r="D249" s="135">
        <v>5.0839999999999996</v>
      </c>
      <c r="E249" s="209" t="s">
        <v>99</v>
      </c>
      <c r="F249" s="127">
        <f>ROUND(D249*$C249/100,0)</f>
        <v>0</v>
      </c>
      <c r="G249" s="135">
        <v>5.8120000000000003</v>
      </c>
      <c r="H249" s="209" t="s">
        <v>99</v>
      </c>
      <c r="I249" s="127">
        <f t="shared" si="39"/>
        <v>0</v>
      </c>
      <c r="J249" s="135">
        <f>$J$177</f>
        <v>3.782</v>
      </c>
      <c r="K249" s="209" t="s">
        <v>99</v>
      </c>
      <c r="L249" s="127">
        <f>ROUND(J249*$C249/100,0)</f>
        <v>0</v>
      </c>
      <c r="N249" s="245"/>
      <c r="O249" s="245"/>
      <c r="P249" s="109"/>
      <c r="Q249" s="109"/>
      <c r="R249" s="109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K249" s="128"/>
    </row>
    <row r="250" spans="1:37" hidden="1">
      <c r="A250" s="136" t="s">
        <v>141</v>
      </c>
      <c r="B250" s="168"/>
      <c r="C250" s="205">
        <f>0</f>
        <v>0</v>
      </c>
      <c r="D250" s="215">
        <v>50</v>
      </c>
      <c r="E250" s="207" t="s">
        <v>99</v>
      </c>
      <c r="F250" s="127">
        <f>ROUND(D250*$C250/100,0)</f>
        <v>0</v>
      </c>
      <c r="G250" s="215">
        <v>56</v>
      </c>
      <c r="H250" s="209" t="s">
        <v>99</v>
      </c>
      <c r="I250" s="127">
        <f t="shared" si="39"/>
        <v>0</v>
      </c>
      <c r="J250" s="215">
        <f>$J$178</f>
        <v>62</v>
      </c>
      <c r="K250" s="209" t="s">
        <v>99</v>
      </c>
      <c r="L250" s="127">
        <f>ROUND(J250*$C250/100,0)</f>
        <v>0</v>
      </c>
      <c r="N250" s="54"/>
      <c r="O250" s="54"/>
      <c r="P250" s="109"/>
      <c r="Q250" s="109"/>
      <c r="R250" s="109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K250" s="128"/>
    </row>
    <row r="251" spans="1:37" hidden="1">
      <c r="A251" s="134" t="s">
        <v>142</v>
      </c>
      <c r="C251" s="125">
        <f>C247</f>
        <v>1834258.206482322</v>
      </c>
      <c r="D251" s="133"/>
      <c r="E251" s="54"/>
      <c r="F251" s="127"/>
      <c r="G251" s="133"/>
      <c r="H251" s="54"/>
      <c r="I251" s="127"/>
      <c r="J251" s="135">
        <f>J179</f>
        <v>4.42</v>
      </c>
      <c r="K251" s="209" t="s">
        <v>99</v>
      </c>
      <c r="L251" s="127">
        <f t="shared" ref="L251:L253" si="40">ROUND(J251*$C251/100,0)</f>
        <v>81074</v>
      </c>
      <c r="N251" s="128"/>
      <c r="P251" s="93"/>
      <c r="Q251" s="108"/>
      <c r="R251" s="108"/>
      <c r="S251" s="129"/>
      <c r="T251" s="129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K251" s="128"/>
    </row>
    <row r="252" spans="1:37" hidden="1">
      <c r="A252" s="134" t="s">
        <v>143</v>
      </c>
      <c r="C252" s="125">
        <f>C248</f>
        <v>523605.44908201875</v>
      </c>
      <c r="D252" s="133"/>
      <c r="E252" s="54"/>
      <c r="F252" s="127"/>
      <c r="G252" s="133"/>
      <c r="H252" s="54"/>
      <c r="I252" s="127"/>
      <c r="J252" s="135">
        <f>J180</f>
        <v>3.0529999999999999</v>
      </c>
      <c r="K252" s="209" t="s">
        <v>99</v>
      </c>
      <c r="L252" s="127">
        <f t="shared" si="40"/>
        <v>15986</v>
      </c>
      <c r="N252" s="128"/>
      <c r="P252" s="93"/>
      <c r="Q252" s="108"/>
      <c r="R252" s="108"/>
      <c r="S252" s="129"/>
      <c r="T252" s="129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K252" s="128"/>
    </row>
    <row r="253" spans="1:37" hidden="1">
      <c r="A253" s="134" t="s">
        <v>144</v>
      </c>
      <c r="C253" s="125">
        <f>C249</f>
        <v>0</v>
      </c>
      <c r="D253" s="133"/>
      <c r="E253" s="54"/>
      <c r="F253" s="127"/>
      <c r="G253" s="133"/>
      <c r="H253" s="54"/>
      <c r="I253" s="127"/>
      <c r="J253" s="135">
        <f>J181</f>
        <v>2.63</v>
      </c>
      <c r="K253" s="209" t="s">
        <v>99</v>
      </c>
      <c r="L253" s="127">
        <f t="shared" si="40"/>
        <v>0</v>
      </c>
      <c r="N253" s="128"/>
      <c r="P253" s="93"/>
      <c r="Q253" s="108"/>
      <c r="R253" s="108"/>
      <c r="S253" s="129"/>
      <c r="T253" s="129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K253" s="128"/>
    </row>
    <row r="254" spans="1:37" hidden="1">
      <c r="A254" s="219" t="s">
        <v>148</v>
      </c>
      <c r="B254" s="168"/>
      <c r="C254" s="205">
        <f>C259+C260+C261</f>
        <v>1940</v>
      </c>
      <c r="D254" s="220">
        <v>-0.01</v>
      </c>
      <c r="E254" s="207"/>
      <c r="F254" s="127"/>
      <c r="G254" s="220">
        <v>-0.01</v>
      </c>
      <c r="H254" s="209"/>
      <c r="I254" s="127"/>
      <c r="J254" s="220">
        <v>-0.01</v>
      </c>
      <c r="K254" s="209"/>
      <c r="L254" s="127"/>
      <c r="N254" s="54"/>
      <c r="O254" s="54"/>
      <c r="P254" s="109"/>
      <c r="Q254" s="109"/>
      <c r="R254" s="109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K254" s="128"/>
    </row>
    <row r="255" spans="1:37" hidden="1">
      <c r="A255" s="136" t="s">
        <v>132</v>
      </c>
      <c r="B255" s="136"/>
      <c r="C255" s="205">
        <v>0</v>
      </c>
      <c r="D255" s="222">
        <v>7.64</v>
      </c>
      <c r="E255" s="207"/>
      <c r="F255" s="127">
        <f>-ROUND(D255*$C255/100,0)</f>
        <v>0</v>
      </c>
      <c r="G255" s="222">
        <v>8.7100000000000009</v>
      </c>
      <c r="H255" s="207"/>
      <c r="I255" s="127">
        <f>-ROUND(G255*$C255/100,0)</f>
        <v>0</v>
      </c>
      <c r="J255" s="222">
        <f>J242</f>
        <v>9.61</v>
      </c>
      <c r="K255" s="207"/>
      <c r="L255" s="127">
        <f>-ROUND(J255*$C255/100,0)</f>
        <v>0</v>
      </c>
      <c r="N255" s="54"/>
      <c r="O255" s="54"/>
      <c r="P255" s="109"/>
      <c r="Q255" s="109"/>
      <c r="R255" s="109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K255" s="128"/>
    </row>
    <row r="256" spans="1:37" hidden="1">
      <c r="A256" s="136" t="s">
        <v>133</v>
      </c>
      <c r="B256" s="136"/>
      <c r="C256" s="205">
        <v>9</v>
      </c>
      <c r="D256" s="222">
        <v>11.36</v>
      </c>
      <c r="E256" s="207"/>
      <c r="F256" s="127">
        <f>-ROUND(D256*$C256/100,0)</f>
        <v>-1</v>
      </c>
      <c r="G256" s="222">
        <v>12.98</v>
      </c>
      <c r="H256" s="207"/>
      <c r="I256" s="127">
        <f t="shared" ref="I256:I258" si="41">-ROUND(G256*$C256/100,0)</f>
        <v>-1</v>
      </c>
      <c r="J256" s="222">
        <f>J243</f>
        <v>14.32</v>
      </c>
      <c r="K256" s="207"/>
      <c r="L256" s="127">
        <f>-ROUND(J256*$C256/100,0)</f>
        <v>-1</v>
      </c>
      <c r="N256" s="54"/>
      <c r="O256" s="54"/>
      <c r="P256" s="109"/>
      <c r="Q256" s="109"/>
      <c r="R256" s="109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K256" s="128"/>
    </row>
    <row r="257" spans="1:37" hidden="1">
      <c r="A257" s="136" t="s">
        <v>149</v>
      </c>
      <c r="B257" s="136"/>
      <c r="C257" s="205">
        <v>0</v>
      </c>
      <c r="D257" s="222">
        <v>0.81</v>
      </c>
      <c r="E257" s="207"/>
      <c r="F257" s="127">
        <f>-ROUND(D257*$C257/100,0)</f>
        <v>0</v>
      </c>
      <c r="G257" s="222">
        <v>0.92</v>
      </c>
      <c r="H257" s="207"/>
      <c r="I257" s="127">
        <f t="shared" si="41"/>
        <v>0</v>
      </c>
      <c r="J257" s="222">
        <f>J244</f>
        <v>1.01</v>
      </c>
      <c r="K257" s="207"/>
      <c r="L257" s="127">
        <f>-ROUND(J257*$C257/100,0)</f>
        <v>0</v>
      </c>
      <c r="N257" s="54"/>
      <c r="O257" s="54"/>
      <c r="P257" s="109"/>
      <c r="Q257" s="109"/>
      <c r="R257" s="109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K257" s="128"/>
    </row>
    <row r="258" spans="1:37" hidden="1">
      <c r="A258" s="136" t="s">
        <v>157</v>
      </c>
      <c r="B258" s="136"/>
      <c r="C258" s="205">
        <f>0</f>
        <v>0</v>
      </c>
      <c r="D258" s="222">
        <v>2.98</v>
      </c>
      <c r="E258" s="209"/>
      <c r="F258" s="127">
        <f>-ROUND(D258*$C258/100,0)</f>
        <v>0</v>
      </c>
      <c r="G258" s="222">
        <v>3.4</v>
      </c>
      <c r="H258" s="209"/>
      <c r="I258" s="127">
        <f t="shared" si="41"/>
        <v>0</v>
      </c>
      <c r="J258" s="222">
        <f>J246</f>
        <v>3.75</v>
      </c>
      <c r="K258" s="209"/>
      <c r="L258" s="127">
        <f>-ROUND(J258*$C258/100,0)</f>
        <v>0</v>
      </c>
      <c r="N258" s="54"/>
      <c r="O258" s="54"/>
      <c r="P258" s="109"/>
      <c r="Q258" s="109"/>
      <c r="R258" s="109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K258" s="128"/>
    </row>
    <row r="259" spans="1:37" hidden="1">
      <c r="A259" s="136" t="s">
        <v>151</v>
      </c>
      <c r="B259" s="136"/>
      <c r="C259" s="205">
        <v>1940</v>
      </c>
      <c r="D259" s="223">
        <v>8.5489999999999995</v>
      </c>
      <c r="E259" s="209" t="s">
        <v>99</v>
      </c>
      <c r="F259" s="127">
        <f>ROUND(D259*$C259/100*D254,0)</f>
        <v>-2</v>
      </c>
      <c r="G259" s="223">
        <v>9.766</v>
      </c>
      <c r="H259" s="209" t="s">
        <v>99</v>
      </c>
      <c r="I259" s="127">
        <f>ROUND(G259*$C259/100*G254,0)</f>
        <v>-2</v>
      </c>
      <c r="J259" s="223">
        <f>J247</f>
        <v>6.3540000000000001</v>
      </c>
      <c r="K259" s="209" t="s">
        <v>99</v>
      </c>
      <c r="L259" s="127">
        <f>ROUND(J259*$C259/100*J254,0)</f>
        <v>-1</v>
      </c>
      <c r="N259" s="54"/>
      <c r="O259" s="54"/>
      <c r="P259" s="109"/>
      <c r="Q259" s="109"/>
      <c r="R259" s="109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K259" s="128"/>
    </row>
    <row r="260" spans="1:37" hidden="1">
      <c r="A260" s="136" t="s">
        <v>139</v>
      </c>
      <c r="B260" s="136"/>
      <c r="C260" s="205">
        <v>0</v>
      </c>
      <c r="D260" s="223">
        <v>5.9020000000000001</v>
      </c>
      <c r="E260" s="209" t="s">
        <v>99</v>
      </c>
      <c r="F260" s="127">
        <f>ROUND(D260*$C260/100*D254,0)</f>
        <v>0</v>
      </c>
      <c r="G260" s="223">
        <v>6.7460000000000004</v>
      </c>
      <c r="H260" s="209" t="s">
        <v>99</v>
      </c>
      <c r="I260" s="127">
        <f>ROUND(G260*$C260/100*G254,0)</f>
        <v>0</v>
      </c>
      <c r="J260" s="223">
        <f>J248</f>
        <v>4.3890000000000002</v>
      </c>
      <c r="K260" s="209" t="s">
        <v>99</v>
      </c>
      <c r="L260" s="127">
        <f>ROUND(J260*$C260/100*J254,0)</f>
        <v>0</v>
      </c>
      <c r="N260" s="54"/>
      <c r="O260" s="54"/>
      <c r="P260" s="109"/>
      <c r="Q260" s="109"/>
      <c r="R260" s="109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K260" s="128"/>
    </row>
    <row r="261" spans="1:37" hidden="1">
      <c r="A261" s="136" t="s">
        <v>140</v>
      </c>
      <c r="B261" s="136"/>
      <c r="C261" s="205">
        <v>0</v>
      </c>
      <c r="D261" s="223">
        <v>5.0839999999999996</v>
      </c>
      <c r="E261" s="209" t="s">
        <v>99</v>
      </c>
      <c r="F261" s="127">
        <f>ROUND(D261*$C261/100*D254,0)</f>
        <v>0</v>
      </c>
      <c r="G261" s="223">
        <v>5.8120000000000003</v>
      </c>
      <c r="H261" s="209" t="s">
        <v>99</v>
      </c>
      <c r="I261" s="127">
        <f>ROUND(G261*$C261/100*G254,0)</f>
        <v>0</v>
      </c>
      <c r="J261" s="223">
        <f>J249</f>
        <v>3.782</v>
      </c>
      <c r="K261" s="209" t="s">
        <v>99</v>
      </c>
      <c r="L261" s="127">
        <f>ROUND(J261*$C261/100*J254,0)</f>
        <v>0</v>
      </c>
      <c r="N261" s="54"/>
      <c r="O261" s="54"/>
      <c r="P261" s="109"/>
      <c r="Q261" s="109"/>
      <c r="R261" s="109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K261" s="128"/>
    </row>
    <row r="262" spans="1:37" hidden="1">
      <c r="A262" s="136" t="s">
        <v>141</v>
      </c>
      <c r="B262" s="136"/>
      <c r="C262" s="205">
        <v>0</v>
      </c>
      <c r="D262" s="224">
        <v>50</v>
      </c>
      <c r="E262" s="209" t="s">
        <v>99</v>
      </c>
      <c r="F262" s="127">
        <f>ROUND(D262*$C262/100*D254,0)</f>
        <v>0</v>
      </c>
      <c r="G262" s="224">
        <v>56</v>
      </c>
      <c r="H262" s="209" t="s">
        <v>99</v>
      </c>
      <c r="I262" s="127">
        <f>ROUND(G262*$C262/100*G254,0)</f>
        <v>0</v>
      </c>
      <c r="J262" s="224">
        <f>J250</f>
        <v>62</v>
      </c>
      <c r="K262" s="209" t="s">
        <v>99</v>
      </c>
      <c r="L262" s="127">
        <f>ROUND(J262*$C262/100*J254,0)</f>
        <v>0</v>
      </c>
      <c r="N262" s="54"/>
      <c r="O262" s="54"/>
      <c r="P262" s="109"/>
      <c r="Q262" s="109"/>
      <c r="R262" s="109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K262" s="128"/>
    </row>
    <row r="263" spans="1:37" hidden="1">
      <c r="A263" s="136" t="s">
        <v>152</v>
      </c>
      <c r="B263" s="136"/>
      <c r="C263" s="205">
        <v>0</v>
      </c>
      <c r="D263" s="225">
        <v>60</v>
      </c>
      <c r="E263" s="207"/>
      <c r="F263" s="127">
        <f>ROUND(D263*$C263,0)</f>
        <v>0</v>
      </c>
      <c r="G263" s="225">
        <v>60</v>
      </c>
      <c r="H263" s="209"/>
      <c r="I263" s="127">
        <f>ROUND(G263*C263,0)</f>
        <v>0</v>
      </c>
      <c r="J263" s="225">
        <f>$J$194</f>
        <v>60</v>
      </c>
      <c r="K263" s="209"/>
      <c r="L263" s="127">
        <f>ROUND(J263*$C263,0)</f>
        <v>0</v>
      </c>
      <c r="N263" s="54"/>
      <c r="O263" s="54"/>
      <c r="P263" s="109"/>
      <c r="Q263" s="109"/>
      <c r="R263" s="109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K263" s="128"/>
    </row>
    <row r="264" spans="1:37" hidden="1">
      <c r="A264" s="136" t="s">
        <v>153</v>
      </c>
      <c r="B264" s="136"/>
      <c r="C264" s="205">
        <v>0</v>
      </c>
      <c r="D264" s="226">
        <v>-30</v>
      </c>
      <c r="E264" s="207" t="s">
        <v>99</v>
      </c>
      <c r="F264" s="127">
        <f>ROUND(D264*$C264/100,0)</f>
        <v>0</v>
      </c>
      <c r="G264" s="226">
        <v>-30</v>
      </c>
      <c r="H264" s="209" t="s">
        <v>99</v>
      </c>
      <c r="I264" s="127">
        <f>ROUND(G264*C264/100,0)</f>
        <v>0</v>
      </c>
      <c r="J264" s="226">
        <f>$J$195</f>
        <v>-30</v>
      </c>
      <c r="K264" s="209" t="s">
        <v>99</v>
      </c>
      <c r="L264" s="127">
        <f>ROUND(J264*$C264/100,0)</f>
        <v>0</v>
      </c>
      <c r="N264" s="54"/>
      <c r="O264" s="54"/>
      <c r="P264" s="109"/>
      <c r="Q264" s="109"/>
      <c r="R264" s="109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K264" s="128"/>
    </row>
    <row r="265" spans="1:37" hidden="1">
      <c r="A265" s="134" t="s">
        <v>142</v>
      </c>
      <c r="C265" s="125">
        <f>C259</f>
        <v>1940</v>
      </c>
      <c r="D265" s="133"/>
      <c r="E265" s="54"/>
      <c r="F265" s="127"/>
      <c r="G265" s="133"/>
      <c r="H265" s="54"/>
      <c r="I265" s="127"/>
      <c r="J265" s="135">
        <f>J179</f>
        <v>4.42</v>
      </c>
      <c r="K265" s="209" t="s">
        <v>99</v>
      </c>
      <c r="L265" s="127">
        <f>ROUND(J265*$C265*J254/100,0)</f>
        <v>-1</v>
      </c>
      <c r="N265" s="128"/>
      <c r="P265" s="93"/>
      <c r="Q265" s="108"/>
      <c r="R265" s="108"/>
      <c r="S265" s="129"/>
      <c r="T265" s="129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K265" s="128"/>
    </row>
    <row r="266" spans="1:37" hidden="1">
      <c r="A266" s="134" t="s">
        <v>143</v>
      </c>
      <c r="C266" s="125">
        <f t="shared" ref="C266:C267" si="42">C260</f>
        <v>0</v>
      </c>
      <c r="D266" s="133"/>
      <c r="E266" s="54"/>
      <c r="F266" s="127"/>
      <c r="G266" s="133"/>
      <c r="H266" s="54"/>
      <c r="I266" s="127"/>
      <c r="J266" s="135">
        <f>J180</f>
        <v>3.0529999999999999</v>
      </c>
      <c r="K266" s="209" t="s">
        <v>99</v>
      </c>
      <c r="L266" s="127">
        <f>ROUND(J266*$C266*J254/100,0)</f>
        <v>0</v>
      </c>
      <c r="N266" s="128"/>
      <c r="P266" s="93"/>
      <c r="Q266" s="108"/>
      <c r="R266" s="108"/>
      <c r="S266" s="129"/>
      <c r="T266" s="129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K266" s="128"/>
    </row>
    <row r="267" spans="1:37" hidden="1">
      <c r="A267" s="134" t="s">
        <v>144</v>
      </c>
      <c r="C267" s="125">
        <f t="shared" si="42"/>
        <v>0</v>
      </c>
      <c r="D267" s="133"/>
      <c r="E267" s="54"/>
      <c r="F267" s="127"/>
      <c r="G267" s="133"/>
      <c r="H267" s="54"/>
      <c r="I267" s="127"/>
      <c r="J267" s="135">
        <f>J181</f>
        <v>2.63</v>
      </c>
      <c r="K267" s="209" t="s">
        <v>99</v>
      </c>
      <c r="L267" s="127">
        <f>ROUND(J267*$C267*J254/100,0)</f>
        <v>0</v>
      </c>
      <c r="N267" s="128"/>
      <c r="P267" s="93"/>
      <c r="Q267" s="108"/>
      <c r="R267" s="108"/>
      <c r="S267" s="129"/>
      <c r="T267" s="129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K267" s="128"/>
    </row>
    <row r="268" spans="1:37" hidden="1">
      <c r="A268" s="136" t="s">
        <v>122</v>
      </c>
      <c r="B268" s="190"/>
      <c r="C268" s="205">
        <f>SUM(C247:C249)</f>
        <v>2357863.6555643408</v>
      </c>
      <c r="D268" s="215"/>
      <c r="E268" s="127"/>
      <c r="F268" s="127">
        <f>SUM(F242:F264)</f>
        <v>237913</v>
      </c>
      <c r="G268" s="215"/>
      <c r="H268" s="209"/>
      <c r="I268" s="127">
        <f>SUM(I242:I264)</f>
        <v>271694</v>
      </c>
      <c r="J268" s="215"/>
      <c r="K268" s="209"/>
      <c r="L268" s="127">
        <f>SUM(L242:L267)</f>
        <v>299737</v>
      </c>
      <c r="N268" s="243"/>
      <c r="O268" s="243"/>
      <c r="P268" s="109"/>
      <c r="Q268" s="109"/>
      <c r="R268" s="109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K268" s="128"/>
    </row>
    <row r="269" spans="1:37" hidden="1">
      <c r="A269" s="136" t="s">
        <v>102</v>
      </c>
      <c r="B269" s="136"/>
      <c r="C269" s="246">
        <v>-151.59181207680737</v>
      </c>
      <c r="D269" s="149"/>
      <c r="E269" s="149"/>
      <c r="F269" s="229" t="e">
        <f>#REF!</f>
        <v>#REF!</v>
      </c>
      <c r="G269" s="149"/>
      <c r="H269" s="149"/>
      <c r="I269" s="229">
        <v>11.556216535227565</v>
      </c>
      <c r="J269" s="149"/>
      <c r="K269" s="149"/>
      <c r="L269" s="229">
        <f>I269</f>
        <v>11.556216535227565</v>
      </c>
      <c r="N269" s="164"/>
      <c r="O269" s="164"/>
      <c r="P269" s="162"/>
      <c r="Q269" s="109"/>
      <c r="R269" s="109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K269" s="128"/>
    </row>
    <row r="270" spans="1:37" ht="16.5" hidden="1" thickBot="1">
      <c r="A270" s="136" t="s">
        <v>123</v>
      </c>
      <c r="B270" s="136"/>
      <c r="C270" s="193">
        <f>SUM(C268:C269)</f>
        <v>2357712.0637522638</v>
      </c>
      <c r="D270" s="231"/>
      <c r="E270" s="232"/>
      <c r="F270" s="233" t="e">
        <f>F268+F269</f>
        <v>#REF!</v>
      </c>
      <c r="G270" s="231"/>
      <c r="H270" s="235"/>
      <c r="I270" s="233">
        <f>I268+I269</f>
        <v>271705.55621653522</v>
      </c>
      <c r="J270" s="231"/>
      <c r="K270" s="235"/>
      <c r="L270" s="233">
        <f>L268+L269</f>
        <v>299748.55621653522</v>
      </c>
      <c r="N270" s="165"/>
      <c r="O270" s="165"/>
      <c r="P270" s="166"/>
      <c r="Q270" s="109"/>
      <c r="R270" s="109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K270" s="128"/>
    </row>
    <row r="271" spans="1:37" hidden="1">
      <c r="A271" s="136"/>
      <c r="B271" s="136"/>
      <c r="C271" s="168"/>
      <c r="D271" s="225"/>
      <c r="E271" s="127"/>
      <c r="F271" s="127"/>
      <c r="G271" s="225"/>
      <c r="H271" s="136"/>
      <c r="I271" s="127"/>
      <c r="J271" s="225"/>
      <c r="K271" s="136"/>
      <c r="L271" s="127" t="s">
        <v>0</v>
      </c>
      <c r="N271" s="54"/>
      <c r="O271" s="54"/>
      <c r="P271" s="109"/>
      <c r="Q271" s="109"/>
      <c r="R271" s="109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K271" s="128"/>
    </row>
    <row r="272" spans="1:37" hidden="1">
      <c r="A272" s="136"/>
      <c r="B272" s="136"/>
      <c r="C272" s="168"/>
      <c r="D272" s="225"/>
      <c r="E272" s="127"/>
      <c r="F272" s="127"/>
      <c r="G272" s="225"/>
      <c r="H272" s="136"/>
      <c r="I272" s="127"/>
      <c r="J272" s="225"/>
      <c r="K272" s="136"/>
      <c r="L272" s="127" t="s">
        <v>0</v>
      </c>
      <c r="N272" s="54"/>
      <c r="O272" s="54"/>
      <c r="P272" s="109"/>
      <c r="Q272" s="109"/>
      <c r="R272" s="109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K272" s="128"/>
    </row>
    <row r="273" spans="1:37" hidden="1">
      <c r="A273" s="167" t="s">
        <v>129</v>
      </c>
      <c r="B273" s="136"/>
      <c r="C273" s="136"/>
      <c r="D273" s="127"/>
      <c r="E273" s="127"/>
      <c r="F273" s="136" t="s">
        <v>0</v>
      </c>
      <c r="G273" s="127"/>
      <c r="H273" s="136"/>
      <c r="I273" s="136"/>
      <c r="J273" s="127"/>
      <c r="K273" s="136"/>
      <c r="L273" s="136"/>
      <c r="N273" s="54"/>
      <c r="O273" s="54"/>
      <c r="P273" s="109"/>
      <c r="Q273" s="109"/>
      <c r="R273" s="109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K273" s="128"/>
    </row>
    <row r="274" spans="1:37" hidden="1">
      <c r="A274" s="136" t="s">
        <v>158</v>
      </c>
      <c r="B274" s="136"/>
      <c r="C274" s="136"/>
      <c r="D274" s="127"/>
      <c r="E274" s="127"/>
      <c r="F274" s="136"/>
      <c r="G274" s="127"/>
      <c r="H274" s="136"/>
      <c r="I274" s="136"/>
      <c r="J274" s="127"/>
      <c r="K274" s="136"/>
      <c r="L274" s="136"/>
      <c r="N274" s="54"/>
      <c r="O274" s="54"/>
      <c r="P274" s="109"/>
      <c r="Q274" s="109"/>
      <c r="R274" s="109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K274" s="128"/>
    </row>
    <row r="275" spans="1:37" hidden="1">
      <c r="A275" s="198" t="s">
        <v>159</v>
      </c>
      <c r="B275" s="136"/>
      <c r="C275" s="168"/>
      <c r="D275" s="127"/>
      <c r="E275" s="127"/>
      <c r="F275" s="136"/>
      <c r="G275" s="127"/>
      <c r="H275" s="136"/>
      <c r="I275" s="136"/>
      <c r="J275" s="127"/>
      <c r="K275" s="136"/>
      <c r="L275" s="136"/>
      <c r="N275" s="54"/>
      <c r="O275" s="54"/>
      <c r="P275" s="109"/>
      <c r="Q275" s="109"/>
      <c r="R275" s="109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K275" s="128"/>
    </row>
    <row r="276" spans="1:37" hidden="1">
      <c r="A276" s="136" t="s">
        <v>135</v>
      </c>
      <c r="B276" s="136"/>
      <c r="C276" s="205"/>
      <c r="D276" s="127"/>
      <c r="E276" s="127"/>
      <c r="F276" s="136"/>
      <c r="G276" s="127"/>
      <c r="H276" s="136"/>
      <c r="I276" s="136"/>
      <c r="J276" s="127"/>
      <c r="K276" s="136"/>
      <c r="L276" s="136"/>
      <c r="N276" s="54"/>
      <c r="O276" s="54"/>
      <c r="P276" s="109"/>
      <c r="Q276" s="109"/>
      <c r="R276" s="109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K276" s="128"/>
    </row>
    <row r="277" spans="1:37" hidden="1">
      <c r="A277" s="136" t="s">
        <v>132</v>
      </c>
      <c r="B277" s="136"/>
      <c r="C277" s="205">
        <v>150737.03333332695</v>
      </c>
      <c r="D277" s="172">
        <v>7.64</v>
      </c>
      <c r="E277" s="207"/>
      <c r="F277" s="127">
        <f>ROUND(D277*$C277,0)</f>
        <v>1151631</v>
      </c>
      <c r="G277" s="172">
        <v>8.7100000000000009</v>
      </c>
      <c r="H277" s="209"/>
      <c r="I277" s="127">
        <f>ROUND(G277*$C277,0)</f>
        <v>1312920</v>
      </c>
      <c r="J277" s="172">
        <f>$J$169</f>
        <v>9.61</v>
      </c>
      <c r="K277" s="209"/>
      <c r="L277" s="127">
        <f>ROUND(J277*$C277,0)</f>
        <v>1448583</v>
      </c>
      <c r="N277" s="54"/>
      <c r="O277" s="54"/>
      <c r="P277" s="109"/>
      <c r="Q277" s="109"/>
      <c r="R277" s="109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K277" s="128"/>
    </row>
    <row r="278" spans="1:37" hidden="1">
      <c r="A278" s="136" t="s">
        <v>133</v>
      </c>
      <c r="B278" s="136"/>
      <c r="C278" s="205">
        <v>58978.533333332438</v>
      </c>
      <c r="D278" s="172">
        <v>11.36</v>
      </c>
      <c r="E278" s="210"/>
      <c r="F278" s="127">
        <f>ROUND(D278*$C278,0)</f>
        <v>669996</v>
      </c>
      <c r="G278" s="172">
        <v>12.98</v>
      </c>
      <c r="H278" s="211"/>
      <c r="I278" s="127">
        <f t="shared" ref="I278:I279" si="43">ROUND(G278*$C278,0)</f>
        <v>765541</v>
      </c>
      <c r="J278" s="172">
        <f>$J$170</f>
        <v>14.32</v>
      </c>
      <c r="K278" s="211"/>
      <c r="L278" s="127">
        <f>ROUND(J278*$C278,0)</f>
        <v>844573</v>
      </c>
      <c r="N278" s="54"/>
      <c r="O278" s="54"/>
      <c r="P278" s="109"/>
      <c r="Q278" s="109"/>
      <c r="R278" s="109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K278" s="128"/>
    </row>
    <row r="279" spans="1:37" hidden="1">
      <c r="A279" s="136" t="s">
        <v>134</v>
      </c>
      <c r="B279" s="136"/>
      <c r="C279" s="205">
        <v>1157061.5</v>
      </c>
      <c r="D279" s="172">
        <v>0.81</v>
      </c>
      <c r="E279" s="210"/>
      <c r="F279" s="127">
        <f>ROUND(D279*$C279,0)</f>
        <v>937220</v>
      </c>
      <c r="G279" s="172">
        <v>0.92</v>
      </c>
      <c r="H279" s="211"/>
      <c r="I279" s="127">
        <f t="shared" si="43"/>
        <v>1064497</v>
      </c>
      <c r="J279" s="172">
        <f>$J$171</f>
        <v>1.01</v>
      </c>
      <c r="K279" s="211"/>
      <c r="L279" s="127">
        <f>ROUND(J279*$C279,0)</f>
        <v>1168632</v>
      </c>
      <c r="N279" s="54"/>
      <c r="O279" s="54"/>
      <c r="P279" s="109"/>
      <c r="Q279" s="109"/>
      <c r="R279" s="109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K279" s="128"/>
    </row>
    <row r="280" spans="1:37" hidden="1">
      <c r="A280" s="136" t="s">
        <v>136</v>
      </c>
      <c r="B280" s="136"/>
      <c r="C280" s="205">
        <f>SUM(C277:C278)</f>
        <v>209715.56666665938</v>
      </c>
      <c r="D280" s="172"/>
      <c r="E280" s="207"/>
      <c r="F280" s="127"/>
      <c r="G280" s="172"/>
      <c r="H280" s="209"/>
      <c r="I280" s="127"/>
      <c r="J280" s="172"/>
      <c r="K280" s="209"/>
      <c r="L280" s="127"/>
      <c r="N280" s="54"/>
      <c r="O280" s="54"/>
      <c r="P280" s="109"/>
      <c r="Q280" s="109"/>
      <c r="R280" s="109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K280" s="128"/>
    </row>
    <row r="281" spans="1:37" hidden="1">
      <c r="A281" s="136" t="s">
        <v>137</v>
      </c>
      <c r="B281" s="136"/>
      <c r="C281" s="205">
        <v>743582</v>
      </c>
      <c r="D281" s="225">
        <v>2.98</v>
      </c>
      <c r="E281" s="209"/>
      <c r="F281" s="127">
        <f>ROUND(D281*$C281,0)</f>
        <v>2215874</v>
      </c>
      <c r="G281" s="225">
        <v>3.4</v>
      </c>
      <c r="H281" s="209"/>
      <c r="I281" s="127">
        <f>ROUND(G281*C281,0)</f>
        <v>2528179</v>
      </c>
      <c r="J281" s="225">
        <f>$J$174</f>
        <v>3.75</v>
      </c>
      <c r="K281" s="209"/>
      <c r="L281" s="127">
        <f>ROUND(J281*$C281,0)</f>
        <v>2788433</v>
      </c>
      <c r="N281" s="54"/>
      <c r="O281" s="54"/>
      <c r="P281" s="109"/>
      <c r="Q281" s="109"/>
      <c r="R281" s="109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K281" s="128"/>
    </row>
    <row r="282" spans="1:37" hidden="1">
      <c r="A282" s="136" t="s">
        <v>138</v>
      </c>
      <c r="B282" s="205"/>
      <c r="C282" s="205">
        <v>125208946.110778</v>
      </c>
      <c r="D282" s="135">
        <v>8.5489999999999995</v>
      </c>
      <c r="E282" s="209" t="s">
        <v>99</v>
      </c>
      <c r="F282" s="127">
        <f>ROUND(D282*$C282/100,0)</f>
        <v>10704113</v>
      </c>
      <c r="G282" s="135">
        <v>9.766</v>
      </c>
      <c r="H282" s="209" t="s">
        <v>99</v>
      </c>
      <c r="I282" s="127">
        <f>ROUND(G282*C282/100,0)</f>
        <v>12227906</v>
      </c>
      <c r="J282" s="135">
        <f>$J$175</f>
        <v>6.3540000000000001</v>
      </c>
      <c r="K282" s="209" t="s">
        <v>99</v>
      </c>
      <c r="L282" s="127">
        <f>ROUND(J282*$C282/100,0)</f>
        <v>7955776</v>
      </c>
      <c r="N282" s="245"/>
      <c r="O282" s="245"/>
      <c r="P282" s="109"/>
      <c r="Q282" s="109"/>
      <c r="R282" s="109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K282" s="128"/>
    </row>
    <row r="283" spans="1:37" hidden="1">
      <c r="A283" s="136" t="s">
        <v>139</v>
      </c>
      <c r="B283" s="205"/>
      <c r="C283" s="205">
        <v>275854333.43621069</v>
      </c>
      <c r="D283" s="135">
        <v>5.9020000000000001</v>
      </c>
      <c r="E283" s="209" t="s">
        <v>99</v>
      </c>
      <c r="F283" s="127">
        <f>ROUND(D283*$C283/100,0)</f>
        <v>16280923</v>
      </c>
      <c r="G283" s="135">
        <v>6.7460000000000004</v>
      </c>
      <c r="H283" s="209" t="s">
        <v>99</v>
      </c>
      <c r="I283" s="127">
        <f t="shared" ref="I283:I285" si="44">ROUND(G283*C283/100,0)</f>
        <v>18609133</v>
      </c>
      <c r="J283" s="135">
        <f>$J$176</f>
        <v>4.3890000000000002</v>
      </c>
      <c r="K283" s="209" t="s">
        <v>99</v>
      </c>
      <c r="L283" s="127">
        <f>ROUND(J283*$C283/100,0)</f>
        <v>12107247</v>
      </c>
      <c r="N283" s="245"/>
      <c r="O283" s="245"/>
      <c r="P283" s="109"/>
      <c r="Q283" s="109"/>
      <c r="R283" s="109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K283" s="128"/>
    </row>
    <row r="284" spans="1:37" hidden="1">
      <c r="A284" s="136" t="s">
        <v>140</v>
      </c>
      <c r="B284" s="205"/>
      <c r="C284" s="205">
        <v>116004075.26156482</v>
      </c>
      <c r="D284" s="135">
        <v>5.0839999999999996</v>
      </c>
      <c r="E284" s="209" t="s">
        <v>99</v>
      </c>
      <c r="F284" s="127">
        <f>ROUND(D284*$C284/100,0)</f>
        <v>5897647</v>
      </c>
      <c r="G284" s="135">
        <v>5.8120000000000003</v>
      </c>
      <c r="H284" s="209" t="s">
        <v>99</v>
      </c>
      <c r="I284" s="127">
        <f t="shared" si="44"/>
        <v>6742157</v>
      </c>
      <c r="J284" s="135">
        <f>$J$177</f>
        <v>3.782</v>
      </c>
      <c r="K284" s="209" t="s">
        <v>99</v>
      </c>
      <c r="L284" s="127">
        <f>ROUND(J284*$C284/100,0)</f>
        <v>4387274</v>
      </c>
      <c r="N284" s="245"/>
      <c r="O284" s="245"/>
      <c r="P284" s="109"/>
      <c r="Q284" s="109"/>
      <c r="R284" s="109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K284" s="128"/>
    </row>
    <row r="285" spans="1:37" hidden="1">
      <c r="A285" s="136" t="s">
        <v>141</v>
      </c>
      <c r="B285" s="168"/>
      <c r="C285" s="205">
        <v>95706.733333333119</v>
      </c>
      <c r="D285" s="215">
        <v>50</v>
      </c>
      <c r="E285" s="207" t="s">
        <v>99</v>
      </c>
      <c r="F285" s="127">
        <f>ROUND(D285*$C285/100,0)</f>
        <v>47853</v>
      </c>
      <c r="G285" s="215">
        <v>56</v>
      </c>
      <c r="H285" s="209" t="s">
        <v>99</v>
      </c>
      <c r="I285" s="127">
        <f t="shared" si="44"/>
        <v>53596</v>
      </c>
      <c r="J285" s="215">
        <f>$J$178</f>
        <v>62</v>
      </c>
      <c r="K285" s="209" t="s">
        <v>99</v>
      </c>
      <c r="L285" s="127">
        <f>ROUND(J285*$C285/100,0)</f>
        <v>59338</v>
      </c>
      <c r="N285" s="54"/>
      <c r="O285" s="54"/>
      <c r="P285" s="109"/>
      <c r="Q285" s="109"/>
      <c r="R285" s="109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K285" s="128"/>
    </row>
    <row r="286" spans="1:37" hidden="1">
      <c r="A286" s="134" t="s">
        <v>142</v>
      </c>
      <c r="C286" s="125">
        <f>C282</f>
        <v>125208946.110778</v>
      </c>
      <c r="D286" s="133"/>
      <c r="E286" s="54"/>
      <c r="F286" s="127"/>
      <c r="G286" s="133"/>
      <c r="H286" s="54"/>
      <c r="I286" s="127"/>
      <c r="J286" s="135">
        <f>J179</f>
        <v>4.42</v>
      </c>
      <c r="K286" s="209" t="s">
        <v>99</v>
      </c>
      <c r="L286" s="127">
        <f t="shared" ref="L286:L288" si="45">ROUND(J286*$C286/100,0)</f>
        <v>5534235</v>
      </c>
      <c r="N286" s="128"/>
      <c r="P286" s="93"/>
      <c r="Q286" s="108"/>
      <c r="R286" s="108"/>
      <c r="S286" s="129"/>
      <c r="T286" s="129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K286" s="128"/>
    </row>
    <row r="287" spans="1:37" hidden="1">
      <c r="A287" s="134" t="s">
        <v>143</v>
      </c>
      <c r="C287" s="125">
        <f>C283</f>
        <v>275854333.43621069</v>
      </c>
      <c r="D287" s="133"/>
      <c r="E287" s="54"/>
      <c r="F287" s="127"/>
      <c r="G287" s="133"/>
      <c r="H287" s="54"/>
      <c r="I287" s="127"/>
      <c r="J287" s="135">
        <f>J180</f>
        <v>3.0529999999999999</v>
      </c>
      <c r="K287" s="209" t="s">
        <v>99</v>
      </c>
      <c r="L287" s="127">
        <f t="shared" si="45"/>
        <v>8421833</v>
      </c>
      <c r="N287" s="128"/>
      <c r="P287" s="93"/>
      <c r="Q287" s="108"/>
      <c r="R287" s="108"/>
      <c r="S287" s="129"/>
      <c r="T287" s="129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K287" s="128"/>
    </row>
    <row r="288" spans="1:37" hidden="1">
      <c r="A288" s="134" t="s">
        <v>144</v>
      </c>
      <c r="C288" s="125">
        <f>C284</f>
        <v>116004075.26156482</v>
      </c>
      <c r="D288" s="133"/>
      <c r="E288" s="54"/>
      <c r="F288" s="127"/>
      <c r="G288" s="133"/>
      <c r="H288" s="54"/>
      <c r="I288" s="127"/>
      <c r="J288" s="135">
        <f>J181</f>
        <v>2.63</v>
      </c>
      <c r="K288" s="209" t="s">
        <v>99</v>
      </c>
      <c r="L288" s="127">
        <f t="shared" si="45"/>
        <v>3050907</v>
      </c>
      <c r="N288" s="128"/>
      <c r="P288" s="93"/>
      <c r="Q288" s="108"/>
      <c r="R288" s="108"/>
      <c r="S288" s="129"/>
      <c r="T288" s="129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K288" s="128"/>
    </row>
    <row r="289" spans="1:37" hidden="1">
      <c r="A289" s="219" t="s">
        <v>148</v>
      </c>
      <c r="B289" s="168"/>
      <c r="C289" s="205"/>
      <c r="D289" s="220">
        <v>-0.01</v>
      </c>
      <c r="E289" s="207"/>
      <c r="F289" s="127"/>
      <c r="G289" s="220">
        <v>-0.01</v>
      </c>
      <c r="H289" s="209"/>
      <c r="I289" s="127"/>
      <c r="J289" s="220">
        <v>-0.01</v>
      </c>
      <c r="K289" s="209"/>
      <c r="L289" s="127"/>
      <c r="N289" s="54"/>
      <c r="O289" s="54"/>
      <c r="P289" s="109"/>
      <c r="Q289" s="109"/>
      <c r="R289" s="109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K289" s="128"/>
    </row>
    <row r="290" spans="1:37" hidden="1">
      <c r="A290" s="136" t="s">
        <v>132</v>
      </c>
      <c r="B290" s="136"/>
      <c r="C290" s="205">
        <v>72.066666666666706</v>
      </c>
      <c r="D290" s="222">
        <v>7.64</v>
      </c>
      <c r="E290" s="207"/>
      <c r="F290" s="127">
        <f>-ROUND(D290*$C290/100,0)</f>
        <v>-6</v>
      </c>
      <c r="G290" s="222">
        <v>8.7100000000000009</v>
      </c>
      <c r="H290" s="207"/>
      <c r="I290" s="127">
        <f>-ROUND(G290*$C290/100,0)</f>
        <v>-6</v>
      </c>
      <c r="J290" s="222">
        <f>J277</f>
        <v>9.61</v>
      </c>
      <c r="K290" s="207"/>
      <c r="L290" s="127">
        <f>-ROUND(J290*$C290/100,0)</f>
        <v>-7</v>
      </c>
      <c r="N290" s="54"/>
      <c r="O290" s="54"/>
      <c r="P290" s="109"/>
      <c r="Q290" s="109"/>
      <c r="R290" s="109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K290" s="128"/>
    </row>
    <row r="291" spans="1:37" hidden="1">
      <c r="A291" s="136" t="s">
        <v>133</v>
      </c>
      <c r="B291" s="136"/>
      <c r="C291" s="205">
        <v>126.7000000000001</v>
      </c>
      <c r="D291" s="222">
        <v>11.36</v>
      </c>
      <c r="E291" s="207"/>
      <c r="F291" s="127">
        <f>-ROUND(D291*$C291/100,0)</f>
        <v>-14</v>
      </c>
      <c r="G291" s="222">
        <v>12.98</v>
      </c>
      <c r="H291" s="207"/>
      <c r="I291" s="127">
        <f t="shared" ref="I291:I293" si="46">-ROUND(G291*$C291/100,0)</f>
        <v>-16</v>
      </c>
      <c r="J291" s="222">
        <f>J278</f>
        <v>14.32</v>
      </c>
      <c r="K291" s="207"/>
      <c r="L291" s="127">
        <f>-ROUND(J291*$C291/100,0)</f>
        <v>-18</v>
      </c>
      <c r="N291" s="54"/>
      <c r="O291" s="54"/>
      <c r="P291" s="109"/>
      <c r="Q291" s="109"/>
      <c r="R291" s="109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K291" s="128"/>
    </row>
    <row r="292" spans="1:37" hidden="1">
      <c r="A292" s="136" t="s">
        <v>149</v>
      </c>
      <c r="B292" s="136"/>
      <c r="C292" s="205">
        <v>1862</v>
      </c>
      <c r="D292" s="222">
        <v>0.81</v>
      </c>
      <c r="E292" s="207"/>
      <c r="F292" s="127">
        <f>-ROUND(D292*$C292/100,0)</f>
        <v>-15</v>
      </c>
      <c r="G292" s="222">
        <v>0.92</v>
      </c>
      <c r="H292" s="207"/>
      <c r="I292" s="127">
        <f t="shared" si="46"/>
        <v>-17</v>
      </c>
      <c r="J292" s="222">
        <f>J279</f>
        <v>1.01</v>
      </c>
      <c r="K292" s="207"/>
      <c r="L292" s="127">
        <f>-ROUND(J292*$C292/100,0)</f>
        <v>-19</v>
      </c>
      <c r="N292" s="54"/>
      <c r="O292" s="54"/>
      <c r="P292" s="109"/>
      <c r="Q292" s="109"/>
      <c r="R292" s="109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K292" s="128"/>
    </row>
    <row r="293" spans="1:37" hidden="1">
      <c r="A293" s="136" t="s">
        <v>157</v>
      </c>
      <c r="B293" s="136"/>
      <c r="C293" s="205">
        <v>712.5</v>
      </c>
      <c r="D293" s="222">
        <v>2.98</v>
      </c>
      <c r="E293" s="209"/>
      <c r="F293" s="127">
        <f>-ROUND(D293*$C293/100,0)</f>
        <v>-21</v>
      </c>
      <c r="G293" s="222">
        <v>3.4</v>
      </c>
      <c r="H293" s="209"/>
      <c r="I293" s="127">
        <f t="shared" si="46"/>
        <v>-24</v>
      </c>
      <c r="J293" s="222">
        <f>J281</f>
        <v>3.75</v>
      </c>
      <c r="K293" s="209"/>
      <c r="L293" s="127">
        <f>-ROUND(J293*$C293/100,0)</f>
        <v>-27</v>
      </c>
      <c r="N293" s="54"/>
      <c r="O293" s="54"/>
      <c r="P293" s="109"/>
      <c r="Q293" s="109"/>
      <c r="R293" s="109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K293" s="128"/>
    </row>
    <row r="294" spans="1:37" hidden="1">
      <c r="A294" s="136" t="s">
        <v>151</v>
      </c>
      <c r="B294" s="136"/>
      <c r="C294" s="205">
        <v>148079.66666666669</v>
      </c>
      <c r="D294" s="223">
        <v>8.5489999999999995</v>
      </c>
      <c r="E294" s="209" t="s">
        <v>99</v>
      </c>
      <c r="F294" s="127">
        <f>ROUND(D294*$C294/100*D289,0)</f>
        <v>-127</v>
      </c>
      <c r="G294" s="223">
        <v>9.766</v>
      </c>
      <c r="H294" s="209" t="s">
        <v>99</v>
      </c>
      <c r="I294" s="127">
        <f>ROUND(G294*$C294/100*G289,0)</f>
        <v>-145</v>
      </c>
      <c r="J294" s="223">
        <f>J282</f>
        <v>6.3540000000000001</v>
      </c>
      <c r="K294" s="209" t="s">
        <v>99</v>
      </c>
      <c r="L294" s="127">
        <f>ROUND(J294*$C294/100*J289,0)</f>
        <v>-94</v>
      </c>
      <c r="N294" s="54"/>
      <c r="O294" s="54"/>
      <c r="P294" s="109"/>
      <c r="Q294" s="109"/>
      <c r="R294" s="109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K294" s="128"/>
    </row>
    <row r="295" spans="1:37" hidden="1">
      <c r="A295" s="136" t="s">
        <v>139</v>
      </c>
      <c r="B295" s="136"/>
      <c r="C295" s="205">
        <v>550098.33333333279</v>
      </c>
      <c r="D295" s="223">
        <v>5.9020000000000001</v>
      </c>
      <c r="E295" s="209" t="s">
        <v>99</v>
      </c>
      <c r="F295" s="127">
        <f>ROUND(D295*$C295/100*D289,0)</f>
        <v>-325</v>
      </c>
      <c r="G295" s="223">
        <v>6.7460000000000004</v>
      </c>
      <c r="H295" s="209" t="s">
        <v>99</v>
      </c>
      <c r="I295" s="127">
        <f>ROUND(G295*$C295/100*G289,0)</f>
        <v>-371</v>
      </c>
      <c r="J295" s="223">
        <f>J283</f>
        <v>4.3890000000000002</v>
      </c>
      <c r="K295" s="209" t="s">
        <v>99</v>
      </c>
      <c r="L295" s="127">
        <f>ROUND(J295*$C295/100*J289,0)</f>
        <v>-241</v>
      </c>
      <c r="N295" s="54"/>
      <c r="O295" s="54"/>
      <c r="P295" s="109"/>
      <c r="Q295" s="109"/>
      <c r="R295" s="109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K295" s="128"/>
    </row>
    <row r="296" spans="1:37" hidden="1">
      <c r="A296" s="136" t="s">
        <v>140</v>
      </c>
      <c r="B296" s="136"/>
      <c r="C296" s="205">
        <v>84378.000000000466</v>
      </c>
      <c r="D296" s="223">
        <v>5.0839999999999996</v>
      </c>
      <c r="E296" s="209" t="s">
        <v>99</v>
      </c>
      <c r="F296" s="127">
        <f>ROUND(D296*$C296/100*D289,0)</f>
        <v>-43</v>
      </c>
      <c r="G296" s="223">
        <v>5.8120000000000003</v>
      </c>
      <c r="H296" s="209" t="s">
        <v>99</v>
      </c>
      <c r="I296" s="127">
        <f>ROUND(G296*$C296/100*G289,0)</f>
        <v>-49</v>
      </c>
      <c r="J296" s="223">
        <f>J284</f>
        <v>3.782</v>
      </c>
      <c r="K296" s="209" t="s">
        <v>99</v>
      </c>
      <c r="L296" s="127">
        <f>ROUND(J296*$C296/100*J289,0)</f>
        <v>-32</v>
      </c>
      <c r="N296" s="54"/>
      <c r="O296" s="54"/>
      <c r="P296" s="109"/>
      <c r="Q296" s="109"/>
      <c r="R296" s="109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K296" s="128"/>
    </row>
    <row r="297" spans="1:37" hidden="1">
      <c r="A297" s="136" t="s">
        <v>141</v>
      </c>
      <c r="B297" s="136"/>
      <c r="C297" s="205">
        <v>2643.7</v>
      </c>
      <c r="D297" s="224">
        <v>50</v>
      </c>
      <c r="E297" s="209" t="s">
        <v>99</v>
      </c>
      <c r="F297" s="127">
        <f>ROUND(D297*$C297/100*D289,0)</f>
        <v>-13</v>
      </c>
      <c r="G297" s="224">
        <v>56</v>
      </c>
      <c r="H297" s="209" t="s">
        <v>99</v>
      </c>
      <c r="I297" s="127">
        <f>ROUND(G297*$C297/100*G289,0)</f>
        <v>-15</v>
      </c>
      <c r="J297" s="224">
        <f>J285</f>
        <v>62</v>
      </c>
      <c r="K297" s="209" t="s">
        <v>99</v>
      </c>
      <c r="L297" s="127">
        <f>ROUND(J297*$C297/100*J289,0)</f>
        <v>-16</v>
      </c>
      <c r="N297" s="54"/>
      <c r="O297" s="54"/>
      <c r="P297" s="109"/>
      <c r="Q297" s="109"/>
      <c r="R297" s="109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K297" s="128"/>
    </row>
    <row r="298" spans="1:37" hidden="1">
      <c r="A298" s="136" t="s">
        <v>152</v>
      </c>
      <c r="B298" s="136"/>
      <c r="C298" s="205">
        <v>132.13333333333341</v>
      </c>
      <c r="D298" s="225">
        <v>60</v>
      </c>
      <c r="E298" s="207"/>
      <c r="F298" s="127">
        <f>ROUND(D298*$C298,0)</f>
        <v>7928</v>
      </c>
      <c r="G298" s="225">
        <v>60</v>
      </c>
      <c r="H298" s="209"/>
      <c r="I298" s="127">
        <f>ROUND(G298*C298,0)</f>
        <v>7928</v>
      </c>
      <c r="J298" s="225">
        <f>$J$194</f>
        <v>60</v>
      </c>
      <c r="K298" s="209"/>
      <c r="L298" s="127">
        <f>ROUND(J298*$C298,0)</f>
        <v>7928</v>
      </c>
      <c r="N298" s="54"/>
      <c r="O298" s="54"/>
      <c r="P298" s="109"/>
      <c r="Q298" s="109"/>
      <c r="R298" s="109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K298" s="128"/>
    </row>
    <row r="299" spans="1:37" hidden="1">
      <c r="A299" s="136" t="s">
        <v>153</v>
      </c>
      <c r="B299" s="136"/>
      <c r="C299" s="205">
        <f>C292</f>
        <v>1862</v>
      </c>
      <c r="D299" s="226">
        <v>-30</v>
      </c>
      <c r="E299" s="207" t="s">
        <v>99</v>
      </c>
      <c r="F299" s="127">
        <f>ROUND(D299*$C299/100,0)</f>
        <v>-559</v>
      </c>
      <c r="G299" s="226">
        <v>-30</v>
      </c>
      <c r="H299" s="209" t="s">
        <v>99</v>
      </c>
      <c r="I299" s="127">
        <f>ROUND(G299*C299/100,0)</f>
        <v>-559</v>
      </c>
      <c r="J299" s="226">
        <f>$J$195</f>
        <v>-30</v>
      </c>
      <c r="K299" s="209" t="s">
        <v>99</v>
      </c>
      <c r="L299" s="127">
        <f>ROUND(J299*$C299/100,0)</f>
        <v>-559</v>
      </c>
      <c r="N299" s="54"/>
      <c r="O299" s="54"/>
      <c r="P299" s="109"/>
      <c r="Q299" s="109"/>
      <c r="R299" s="109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K299" s="128"/>
    </row>
    <row r="300" spans="1:37" hidden="1">
      <c r="A300" s="134" t="s">
        <v>142</v>
      </c>
      <c r="C300" s="125">
        <f>C294</f>
        <v>148079.66666666669</v>
      </c>
      <c r="D300" s="133"/>
      <c r="E300" s="54"/>
      <c r="F300" s="127"/>
      <c r="G300" s="133"/>
      <c r="H300" s="54"/>
      <c r="I300" s="127"/>
      <c r="J300" s="135">
        <f>J179</f>
        <v>4.42</v>
      </c>
      <c r="K300" s="209" t="s">
        <v>99</v>
      </c>
      <c r="L300" s="127">
        <f>ROUND(J300*$C300*J289/100,0)</f>
        <v>-65</v>
      </c>
      <c r="N300" s="128"/>
      <c r="P300" s="93"/>
      <c r="Q300" s="108"/>
      <c r="R300" s="108"/>
      <c r="S300" s="129"/>
      <c r="T300" s="129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K300" s="128"/>
    </row>
    <row r="301" spans="1:37" hidden="1">
      <c r="A301" s="134" t="s">
        <v>143</v>
      </c>
      <c r="C301" s="125">
        <f>C295</f>
        <v>550098.33333333279</v>
      </c>
      <c r="D301" s="133"/>
      <c r="E301" s="54"/>
      <c r="F301" s="127"/>
      <c r="G301" s="133"/>
      <c r="H301" s="54"/>
      <c r="I301" s="127"/>
      <c r="J301" s="135">
        <f>J180</f>
        <v>3.0529999999999999</v>
      </c>
      <c r="K301" s="209" t="s">
        <v>99</v>
      </c>
      <c r="L301" s="127">
        <f>ROUND(J301*$C301*J289/100,0)</f>
        <v>-168</v>
      </c>
      <c r="N301" s="128"/>
      <c r="P301" s="93"/>
      <c r="Q301" s="108"/>
      <c r="R301" s="108"/>
      <c r="S301" s="129"/>
      <c r="T301" s="129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K301" s="128"/>
    </row>
    <row r="302" spans="1:37" hidden="1">
      <c r="A302" s="134" t="s">
        <v>144</v>
      </c>
      <c r="C302" s="125">
        <f>C296</f>
        <v>84378.000000000466</v>
      </c>
      <c r="D302" s="133"/>
      <c r="E302" s="54"/>
      <c r="F302" s="127"/>
      <c r="G302" s="133"/>
      <c r="H302" s="54"/>
      <c r="I302" s="127"/>
      <c r="J302" s="135">
        <f>J181</f>
        <v>2.63</v>
      </c>
      <c r="K302" s="209" t="s">
        <v>99</v>
      </c>
      <c r="L302" s="127">
        <f>ROUND(J302*$C302*J289/100,0)</f>
        <v>-22</v>
      </c>
      <c r="N302" s="128"/>
      <c r="P302" s="93"/>
      <c r="Q302" s="108"/>
      <c r="R302" s="108"/>
      <c r="S302" s="129"/>
      <c r="T302" s="129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K302" s="128"/>
    </row>
    <row r="303" spans="1:37" hidden="1">
      <c r="A303" s="136" t="s">
        <v>122</v>
      </c>
      <c r="B303" s="190"/>
      <c r="C303" s="205">
        <f>SUM(C282:C284)</f>
        <v>517067354.80855358</v>
      </c>
      <c r="D303" s="215"/>
      <c r="E303" s="127"/>
      <c r="F303" s="127">
        <f>SUM(F277:F299)</f>
        <v>37912062</v>
      </c>
      <c r="G303" s="215"/>
      <c r="H303" s="209"/>
      <c r="I303" s="127">
        <f>SUM(I277:I299)</f>
        <v>43310655</v>
      </c>
      <c r="J303" s="215"/>
      <c r="K303" s="209"/>
      <c r="L303" s="127">
        <f>SUM(L277:L302)</f>
        <v>47773491</v>
      </c>
      <c r="N303" s="243"/>
      <c r="O303" s="243"/>
      <c r="P303" s="109"/>
      <c r="Q303" s="109"/>
      <c r="R303" s="109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K303" s="128"/>
    </row>
    <row r="304" spans="1:37" hidden="1">
      <c r="A304" s="136" t="s">
        <v>102</v>
      </c>
      <c r="B304" s="136"/>
      <c r="C304" s="246">
        <v>-1344873.1991789686</v>
      </c>
      <c r="D304" s="149"/>
      <c r="E304" s="149"/>
      <c r="F304" s="229" t="e">
        <f>#REF!</f>
        <v>#REF!</v>
      </c>
      <c r="G304" s="149"/>
      <c r="H304" s="149"/>
      <c r="I304" s="229">
        <v>-127697.18695907027</v>
      </c>
      <c r="J304" s="149"/>
      <c r="K304" s="149"/>
      <c r="L304" s="229">
        <f>I304</f>
        <v>-127697.18695907027</v>
      </c>
      <c r="N304" s="164"/>
      <c r="O304" s="164"/>
      <c r="P304" s="162"/>
      <c r="Q304" s="109"/>
      <c r="R304" s="109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K304" s="128"/>
    </row>
    <row r="305" spans="1:37" ht="16.5" hidden="1" thickBot="1">
      <c r="A305" s="136" t="s">
        <v>123</v>
      </c>
      <c r="B305" s="136"/>
      <c r="C305" s="193">
        <f>SUM(C303:C304)</f>
        <v>515722481.60937458</v>
      </c>
      <c r="D305" s="231"/>
      <c r="E305" s="232"/>
      <c r="F305" s="233" t="e">
        <f>F303+F304</f>
        <v>#REF!</v>
      </c>
      <c r="G305" s="231"/>
      <c r="H305" s="235"/>
      <c r="I305" s="233">
        <f>I303+I304</f>
        <v>43182957.813040927</v>
      </c>
      <c r="J305" s="231"/>
      <c r="K305" s="235"/>
      <c r="L305" s="233">
        <f>L303+L304</f>
        <v>47645793.813040927</v>
      </c>
      <c r="N305" s="165"/>
      <c r="O305" s="165"/>
      <c r="P305" s="166"/>
      <c r="Q305" s="109"/>
      <c r="R305" s="109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K305" s="128"/>
    </row>
    <row r="306" spans="1:37" hidden="1">
      <c r="A306" s="136"/>
      <c r="B306" s="136"/>
      <c r="C306" s="168"/>
      <c r="D306" s="225"/>
      <c r="E306" s="127"/>
      <c r="F306" s="127"/>
      <c r="G306" s="225"/>
      <c r="H306" s="136"/>
      <c r="I306" s="127"/>
      <c r="J306" s="225"/>
      <c r="K306" s="136"/>
      <c r="L306" s="127" t="s">
        <v>0</v>
      </c>
      <c r="N306" s="54"/>
      <c r="O306" s="54"/>
      <c r="P306" s="109"/>
      <c r="Q306" s="109"/>
      <c r="R306" s="109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K306" s="128"/>
    </row>
    <row r="307" spans="1:37" hidden="1">
      <c r="A307" s="167" t="s">
        <v>129</v>
      </c>
      <c r="B307" s="136"/>
      <c r="C307" s="136"/>
      <c r="D307" s="127"/>
      <c r="E307" s="127"/>
      <c r="F307" s="136" t="s">
        <v>0</v>
      </c>
      <c r="G307" s="127"/>
      <c r="H307" s="136"/>
      <c r="I307" s="136"/>
      <c r="J307" s="127"/>
      <c r="K307" s="136"/>
      <c r="L307" s="136"/>
      <c r="N307" s="54"/>
      <c r="O307" s="54"/>
      <c r="P307" s="109"/>
      <c r="Q307" s="109"/>
      <c r="R307" s="109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K307" s="128"/>
    </row>
    <row r="308" spans="1:37" hidden="1">
      <c r="A308" s="136" t="s">
        <v>160</v>
      </c>
      <c r="B308" s="136"/>
      <c r="C308" s="168"/>
      <c r="D308" s="127"/>
      <c r="E308" s="127"/>
      <c r="F308" s="136"/>
      <c r="G308" s="127"/>
      <c r="H308" s="136"/>
      <c r="I308" s="136"/>
      <c r="J308" s="127"/>
      <c r="K308" s="136"/>
      <c r="L308" s="136"/>
      <c r="N308" s="54"/>
      <c r="O308" s="54"/>
      <c r="P308" s="109"/>
      <c r="Q308" s="109"/>
      <c r="R308" s="109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K308" s="128"/>
    </row>
    <row r="309" spans="1:37" hidden="1">
      <c r="A309" s="136"/>
      <c r="B309" s="136"/>
      <c r="C309" s="136"/>
      <c r="D309" s="127"/>
      <c r="E309" s="127"/>
      <c r="F309" s="136"/>
      <c r="G309" s="127"/>
      <c r="H309" s="136"/>
      <c r="I309" s="136"/>
      <c r="J309" s="127"/>
      <c r="K309" s="136"/>
      <c r="L309" s="136"/>
      <c r="N309" s="54"/>
      <c r="O309" s="54"/>
      <c r="P309" s="109"/>
      <c r="Q309" s="109"/>
      <c r="R309" s="109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K309" s="128"/>
    </row>
    <row r="310" spans="1:37" hidden="1">
      <c r="A310" s="136" t="s">
        <v>135</v>
      </c>
      <c r="B310" s="136"/>
      <c r="C310" s="205"/>
      <c r="D310" s="127"/>
      <c r="E310" s="127"/>
      <c r="F310" s="136"/>
      <c r="G310" s="127"/>
      <c r="H310" s="136"/>
      <c r="I310" s="136"/>
      <c r="J310" s="127"/>
      <c r="K310" s="136"/>
      <c r="L310" s="136"/>
      <c r="N310" s="54"/>
      <c r="O310" s="54"/>
      <c r="P310" s="109"/>
      <c r="Q310" s="109"/>
      <c r="R310" s="109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K310" s="128"/>
    </row>
    <row r="311" spans="1:37" hidden="1">
      <c r="A311" s="136" t="s">
        <v>132</v>
      </c>
      <c r="B311" s="136"/>
      <c r="C311" s="205">
        <v>2168.1333333333332</v>
      </c>
      <c r="D311" s="172">
        <v>7.64</v>
      </c>
      <c r="E311" s="207"/>
      <c r="F311" s="127">
        <f>ROUND(D311*$C311,0)</f>
        <v>16565</v>
      </c>
      <c r="G311" s="172">
        <v>8.7100000000000009</v>
      </c>
      <c r="H311" s="209"/>
      <c r="I311" s="127">
        <f>ROUND(G311*$C311,0)</f>
        <v>18884</v>
      </c>
      <c r="J311" s="172">
        <f>$J$169</f>
        <v>9.61</v>
      </c>
      <c r="K311" s="209"/>
      <c r="L311" s="127">
        <f>ROUND(J311*$C311,0)</f>
        <v>20836</v>
      </c>
      <c r="N311" s="54"/>
      <c r="O311" s="54"/>
      <c r="P311" s="109"/>
      <c r="Q311" s="109"/>
      <c r="R311" s="109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K311" s="128"/>
    </row>
    <row r="312" spans="1:37" hidden="1">
      <c r="A312" s="136" t="s">
        <v>133</v>
      </c>
      <c r="B312" s="136"/>
      <c r="C312" s="205">
        <v>3271.3</v>
      </c>
      <c r="D312" s="172">
        <v>11.36</v>
      </c>
      <c r="E312" s="210"/>
      <c r="F312" s="127">
        <f>ROUND(D312*$C312,0)</f>
        <v>37162</v>
      </c>
      <c r="G312" s="172">
        <v>12.98</v>
      </c>
      <c r="H312" s="211"/>
      <c r="I312" s="127">
        <f t="shared" ref="I312:I313" si="47">ROUND(G312*$C312,0)</f>
        <v>42461</v>
      </c>
      <c r="J312" s="172">
        <f>$J$170</f>
        <v>14.32</v>
      </c>
      <c r="K312" s="211"/>
      <c r="L312" s="127">
        <f>ROUND(J312*$C312,0)</f>
        <v>46845</v>
      </c>
      <c r="N312" s="54"/>
      <c r="O312" s="54"/>
      <c r="P312" s="109"/>
      <c r="Q312" s="109"/>
      <c r="R312" s="109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K312" s="128"/>
    </row>
    <row r="313" spans="1:37" hidden="1">
      <c r="A313" s="136" t="s">
        <v>134</v>
      </c>
      <c r="B313" s="136"/>
      <c r="C313" s="205">
        <v>62765</v>
      </c>
      <c r="D313" s="172">
        <v>0.81</v>
      </c>
      <c r="E313" s="210"/>
      <c r="F313" s="127">
        <f>ROUND(D313*$C313,0)</f>
        <v>50840</v>
      </c>
      <c r="G313" s="172">
        <v>0.92</v>
      </c>
      <c r="H313" s="211"/>
      <c r="I313" s="127">
        <f t="shared" si="47"/>
        <v>57744</v>
      </c>
      <c r="J313" s="172">
        <f>$J$171</f>
        <v>1.01</v>
      </c>
      <c r="K313" s="211"/>
      <c r="L313" s="127">
        <f>ROUND(J313*$C313,0)</f>
        <v>63393</v>
      </c>
      <c r="N313" s="54"/>
      <c r="O313" s="54"/>
      <c r="P313" s="109"/>
      <c r="Q313" s="109"/>
      <c r="R313" s="109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K313" s="128"/>
    </row>
    <row r="314" spans="1:37" hidden="1">
      <c r="A314" s="136" t="s">
        <v>136</v>
      </c>
      <c r="B314" s="136"/>
      <c r="C314" s="205">
        <f>SUM(C311:C312)</f>
        <v>5439.4333333333334</v>
      </c>
      <c r="D314" s="172"/>
      <c r="E314" s="207"/>
      <c r="F314" s="127"/>
      <c r="G314" s="172"/>
      <c r="H314" s="209"/>
      <c r="I314" s="127"/>
      <c r="J314" s="172"/>
      <c r="K314" s="209"/>
      <c r="L314" s="127"/>
      <c r="N314" s="54"/>
      <c r="O314" s="54"/>
      <c r="P314" s="109"/>
      <c r="Q314" s="109"/>
      <c r="R314" s="109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K314" s="128"/>
    </row>
    <row r="315" spans="1:37" hidden="1">
      <c r="A315" s="136" t="s">
        <v>137</v>
      </c>
      <c r="B315" s="136"/>
      <c r="C315" s="205">
        <v>37219.5</v>
      </c>
      <c r="D315" s="225">
        <v>2.98</v>
      </c>
      <c r="E315" s="209"/>
      <c r="F315" s="127">
        <f>ROUND(D315*$C315,0)</f>
        <v>110914</v>
      </c>
      <c r="G315" s="225">
        <v>3.4</v>
      </c>
      <c r="H315" s="209"/>
      <c r="I315" s="127">
        <f>ROUND(G315*C315,0)</f>
        <v>126546</v>
      </c>
      <c r="J315" s="225">
        <f>$J$174</f>
        <v>3.75</v>
      </c>
      <c r="K315" s="209"/>
      <c r="L315" s="127">
        <f>ROUND(J315*$C315,0)</f>
        <v>139573</v>
      </c>
      <c r="N315" s="54"/>
      <c r="O315" s="54"/>
      <c r="P315" s="109"/>
      <c r="Q315" s="109"/>
      <c r="R315" s="109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K315" s="128"/>
    </row>
    <row r="316" spans="1:37" hidden="1">
      <c r="A316" s="136" t="s">
        <v>138</v>
      </c>
      <c r="B316" s="136"/>
      <c r="C316" s="205">
        <v>3527991.6666666633</v>
      </c>
      <c r="D316" s="135">
        <v>8.5489999999999995</v>
      </c>
      <c r="E316" s="209" t="s">
        <v>99</v>
      </c>
      <c r="F316" s="127">
        <f>ROUND(D316*$C316/100,0)</f>
        <v>301608</v>
      </c>
      <c r="G316" s="135">
        <v>9.766</v>
      </c>
      <c r="H316" s="209" t="s">
        <v>99</v>
      </c>
      <c r="I316" s="127">
        <f>ROUND(G316*C316/100,0)</f>
        <v>344544</v>
      </c>
      <c r="J316" s="135">
        <f>$J$175</f>
        <v>6.3540000000000001</v>
      </c>
      <c r="K316" s="209" t="s">
        <v>99</v>
      </c>
      <c r="L316" s="127">
        <f>ROUND(J316*$C316/100,0)</f>
        <v>224169</v>
      </c>
      <c r="N316" s="54"/>
      <c r="O316" s="54"/>
      <c r="P316" s="109"/>
      <c r="Q316" s="109"/>
      <c r="R316" s="109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K316" s="128"/>
    </row>
    <row r="317" spans="1:37" hidden="1">
      <c r="A317" s="136" t="s">
        <v>139</v>
      </c>
      <c r="B317" s="136"/>
      <c r="C317" s="205">
        <v>9702345.3333333246</v>
      </c>
      <c r="D317" s="135">
        <v>5.9020000000000001</v>
      </c>
      <c r="E317" s="209" t="s">
        <v>99</v>
      </c>
      <c r="F317" s="127">
        <f>ROUND(D317*$C317/100,0)</f>
        <v>572632</v>
      </c>
      <c r="G317" s="135">
        <v>6.7460000000000004</v>
      </c>
      <c r="H317" s="209" t="s">
        <v>99</v>
      </c>
      <c r="I317" s="127">
        <f t="shared" ref="I317:I319" si="48">ROUND(G317*C317/100,0)</f>
        <v>654520</v>
      </c>
      <c r="J317" s="135">
        <f>$J$176</f>
        <v>4.3890000000000002</v>
      </c>
      <c r="K317" s="209" t="s">
        <v>99</v>
      </c>
      <c r="L317" s="127">
        <f>ROUND(J317*$C317/100,0)</f>
        <v>425836</v>
      </c>
      <c r="N317" s="54"/>
      <c r="O317" s="54"/>
      <c r="P317" s="109"/>
      <c r="Q317" s="109"/>
      <c r="R317" s="109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K317" s="128"/>
    </row>
    <row r="318" spans="1:37" hidden="1">
      <c r="A318" s="136" t="s">
        <v>140</v>
      </c>
      <c r="B318" s="136"/>
      <c r="C318" s="205">
        <v>4189763.0000000121</v>
      </c>
      <c r="D318" s="135">
        <v>5.0839999999999996</v>
      </c>
      <c r="E318" s="209" t="s">
        <v>99</v>
      </c>
      <c r="F318" s="127">
        <f>ROUND(D318*$C318/100,0)</f>
        <v>213008</v>
      </c>
      <c r="G318" s="135">
        <v>5.8120000000000003</v>
      </c>
      <c r="H318" s="209" t="s">
        <v>99</v>
      </c>
      <c r="I318" s="127">
        <f t="shared" si="48"/>
        <v>243509</v>
      </c>
      <c r="J318" s="135">
        <f>$J$177</f>
        <v>3.782</v>
      </c>
      <c r="K318" s="209" t="s">
        <v>99</v>
      </c>
      <c r="L318" s="127">
        <f>ROUND(J318*$C318/100,0)</f>
        <v>158457</v>
      </c>
      <c r="N318" s="54"/>
      <c r="O318" s="54"/>
      <c r="P318" s="109"/>
      <c r="Q318" s="109"/>
      <c r="R318" s="109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K318" s="128"/>
    </row>
    <row r="319" spans="1:37" hidden="1">
      <c r="A319" s="136" t="s">
        <v>141</v>
      </c>
      <c r="B319" s="136"/>
      <c r="C319" s="205">
        <v>14734.36666666667</v>
      </c>
      <c r="D319" s="215">
        <v>50</v>
      </c>
      <c r="E319" s="207" t="s">
        <v>99</v>
      </c>
      <c r="F319" s="127">
        <f>ROUND(D319*$C319/100,0)</f>
        <v>7367</v>
      </c>
      <c r="G319" s="215">
        <v>56</v>
      </c>
      <c r="H319" s="209" t="s">
        <v>99</v>
      </c>
      <c r="I319" s="127">
        <f t="shared" si="48"/>
        <v>8251</v>
      </c>
      <c r="J319" s="215">
        <f>$J$178</f>
        <v>62</v>
      </c>
      <c r="K319" s="209" t="s">
        <v>99</v>
      </c>
      <c r="L319" s="127">
        <f>ROUND(J319*$C319/100,0)</f>
        <v>9135</v>
      </c>
      <c r="N319" s="54"/>
      <c r="O319" s="54"/>
      <c r="P319" s="109"/>
      <c r="Q319" s="109"/>
      <c r="R319" s="109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K319" s="128"/>
    </row>
    <row r="320" spans="1:37" hidden="1">
      <c r="A320" s="134" t="s">
        <v>142</v>
      </c>
      <c r="C320" s="125">
        <f>C316</f>
        <v>3527991.6666666633</v>
      </c>
      <c r="D320" s="133"/>
      <c r="E320" s="54"/>
      <c r="F320" s="127"/>
      <c r="G320" s="133"/>
      <c r="H320" s="54"/>
      <c r="I320" s="127"/>
      <c r="J320" s="135">
        <f>J179</f>
        <v>4.42</v>
      </c>
      <c r="K320" s="209" t="s">
        <v>99</v>
      </c>
      <c r="L320" s="127">
        <f t="shared" ref="L320:L322" si="49">ROUND(J320*$C320/100,0)</f>
        <v>155937</v>
      </c>
      <c r="N320" s="128"/>
      <c r="P320" s="93"/>
      <c r="Q320" s="108"/>
      <c r="R320" s="108"/>
      <c r="S320" s="129"/>
      <c r="T320" s="129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K320" s="128"/>
    </row>
    <row r="321" spans="1:37" hidden="1">
      <c r="A321" s="134" t="s">
        <v>143</v>
      </c>
      <c r="C321" s="125">
        <f>C317</f>
        <v>9702345.3333333246</v>
      </c>
      <c r="D321" s="133"/>
      <c r="E321" s="54"/>
      <c r="F321" s="127"/>
      <c r="G321" s="133"/>
      <c r="H321" s="54"/>
      <c r="I321" s="127"/>
      <c r="J321" s="135">
        <f>J180</f>
        <v>3.0529999999999999</v>
      </c>
      <c r="K321" s="209" t="s">
        <v>99</v>
      </c>
      <c r="L321" s="127">
        <f t="shared" si="49"/>
        <v>296213</v>
      </c>
      <c r="N321" s="128"/>
      <c r="P321" s="93"/>
      <c r="Q321" s="108"/>
      <c r="R321" s="108"/>
      <c r="S321" s="129"/>
      <c r="T321" s="129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K321" s="128"/>
    </row>
    <row r="322" spans="1:37" hidden="1">
      <c r="A322" s="134" t="s">
        <v>144</v>
      </c>
      <c r="C322" s="125">
        <f>C318</f>
        <v>4189763.0000000121</v>
      </c>
      <c r="D322" s="133"/>
      <c r="E322" s="54"/>
      <c r="F322" s="127"/>
      <c r="G322" s="133"/>
      <c r="H322" s="54"/>
      <c r="I322" s="127"/>
      <c r="J322" s="135">
        <f>J181</f>
        <v>2.63</v>
      </c>
      <c r="K322" s="209" t="s">
        <v>99</v>
      </c>
      <c r="L322" s="127">
        <f t="shared" si="49"/>
        <v>110191</v>
      </c>
      <c r="N322" s="128"/>
      <c r="P322" s="93"/>
      <c r="Q322" s="108"/>
      <c r="R322" s="108"/>
      <c r="S322" s="129"/>
      <c r="T322" s="129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K322" s="128"/>
    </row>
    <row r="323" spans="1:37" hidden="1">
      <c r="A323" s="219" t="s">
        <v>148</v>
      </c>
      <c r="B323" s="136"/>
      <c r="C323" s="205"/>
      <c r="D323" s="220">
        <v>-0.01</v>
      </c>
      <c r="E323" s="207"/>
      <c r="F323" s="127"/>
      <c r="G323" s="220">
        <v>-0.01</v>
      </c>
      <c r="H323" s="209"/>
      <c r="I323" s="127"/>
      <c r="J323" s="220">
        <v>-0.01</v>
      </c>
      <c r="K323" s="209"/>
      <c r="L323" s="127"/>
      <c r="N323" s="54"/>
      <c r="O323" s="54"/>
      <c r="P323" s="109"/>
      <c r="Q323" s="109"/>
      <c r="R323" s="109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K323" s="128"/>
    </row>
    <row r="324" spans="1:37" hidden="1">
      <c r="A324" s="136" t="s">
        <v>132</v>
      </c>
      <c r="B324" s="136"/>
      <c r="C324" s="205">
        <v>0</v>
      </c>
      <c r="D324" s="222">
        <v>7.64</v>
      </c>
      <c r="E324" s="207"/>
      <c r="F324" s="127">
        <f>-ROUND(D324*$C324/100,0)</f>
        <v>0</v>
      </c>
      <c r="G324" s="222">
        <v>8.7100000000000009</v>
      </c>
      <c r="H324" s="207"/>
      <c r="I324" s="127">
        <f>-ROUND(G324*$C324/100,0)</f>
        <v>0</v>
      </c>
      <c r="J324" s="222">
        <f>J311</f>
        <v>9.61</v>
      </c>
      <c r="K324" s="207"/>
      <c r="L324" s="127">
        <f>-ROUND(J324*$C324/100,0)</f>
        <v>0</v>
      </c>
      <c r="N324" s="54"/>
      <c r="O324" s="54"/>
      <c r="P324" s="109"/>
      <c r="Q324" s="109"/>
      <c r="R324" s="109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K324" s="128"/>
    </row>
    <row r="325" spans="1:37" hidden="1">
      <c r="A325" s="136" t="s">
        <v>133</v>
      </c>
      <c r="B325" s="136"/>
      <c r="C325" s="205">
        <v>3</v>
      </c>
      <c r="D325" s="222">
        <v>11.36</v>
      </c>
      <c r="E325" s="207"/>
      <c r="F325" s="127">
        <f>-ROUND(D325*$C325/100,0)</f>
        <v>0</v>
      </c>
      <c r="G325" s="222">
        <v>12.98</v>
      </c>
      <c r="H325" s="207"/>
      <c r="I325" s="127">
        <f t="shared" ref="I325:I327" si="50">-ROUND(G325*$C325/100,0)</f>
        <v>0</v>
      </c>
      <c r="J325" s="222">
        <f>J312</f>
        <v>14.32</v>
      </c>
      <c r="K325" s="207"/>
      <c r="L325" s="127">
        <f>-ROUND(J325*$C325/100,0)</f>
        <v>0</v>
      </c>
      <c r="N325" s="54"/>
      <c r="O325" s="54"/>
      <c r="P325" s="109"/>
      <c r="Q325" s="109"/>
      <c r="R325" s="109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K325" s="128"/>
    </row>
    <row r="326" spans="1:37" hidden="1">
      <c r="A326" s="136" t="s">
        <v>149</v>
      </c>
      <c r="B326" s="136"/>
      <c r="C326" s="205">
        <v>264</v>
      </c>
      <c r="D326" s="222">
        <v>0.81</v>
      </c>
      <c r="E326" s="207"/>
      <c r="F326" s="127">
        <f>-ROUND(D326*$C326/100,0)</f>
        <v>-2</v>
      </c>
      <c r="G326" s="222">
        <v>0.92</v>
      </c>
      <c r="H326" s="207"/>
      <c r="I326" s="127">
        <f t="shared" si="50"/>
        <v>-2</v>
      </c>
      <c r="J326" s="222">
        <f>J313</f>
        <v>1.01</v>
      </c>
      <c r="K326" s="207"/>
      <c r="L326" s="127">
        <f>-ROUND(J326*$C326/100,0)</f>
        <v>-3</v>
      </c>
      <c r="N326" s="54"/>
      <c r="O326" s="54"/>
      <c r="P326" s="109"/>
      <c r="Q326" s="109"/>
      <c r="R326" s="109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K326" s="128"/>
    </row>
    <row r="327" spans="1:37" hidden="1">
      <c r="A327" s="136" t="s">
        <v>150</v>
      </c>
      <c r="B327" s="136"/>
      <c r="C327" s="205">
        <v>132</v>
      </c>
      <c r="D327" s="222">
        <v>2.98</v>
      </c>
      <c r="E327" s="209"/>
      <c r="F327" s="127">
        <f>-ROUND(D327*$C327/100,0)</f>
        <v>-4</v>
      </c>
      <c r="G327" s="222">
        <v>3.4</v>
      </c>
      <c r="H327" s="209"/>
      <c r="I327" s="127">
        <f t="shared" si="50"/>
        <v>-4</v>
      </c>
      <c r="J327" s="222">
        <f>J315</f>
        <v>3.75</v>
      </c>
      <c r="K327" s="209"/>
      <c r="L327" s="127">
        <f>-ROUND(J327*$C327/100,0)</f>
        <v>-5</v>
      </c>
      <c r="N327" s="54"/>
      <c r="O327" s="54"/>
      <c r="P327" s="109"/>
      <c r="Q327" s="109"/>
      <c r="R327" s="109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K327" s="128"/>
    </row>
    <row r="328" spans="1:37" hidden="1">
      <c r="A328" s="136" t="s">
        <v>151</v>
      </c>
      <c r="B328" s="136"/>
      <c r="C328" s="205">
        <v>3000</v>
      </c>
      <c r="D328" s="223">
        <v>8.5489999999999995</v>
      </c>
      <c r="E328" s="209" t="s">
        <v>99</v>
      </c>
      <c r="F328" s="127">
        <f>ROUND(D328*$C328/100*D323,0)</f>
        <v>-3</v>
      </c>
      <c r="G328" s="223">
        <v>9.766</v>
      </c>
      <c r="H328" s="209" t="s">
        <v>99</v>
      </c>
      <c r="I328" s="127">
        <f>ROUND(G328*$C328/100*G323,0)</f>
        <v>-3</v>
      </c>
      <c r="J328" s="223">
        <f>J316</f>
        <v>6.3540000000000001</v>
      </c>
      <c r="K328" s="209" t="s">
        <v>99</v>
      </c>
      <c r="L328" s="127">
        <f>ROUND(J328*$C328/100*J323,0)</f>
        <v>-2</v>
      </c>
      <c r="N328" s="54"/>
      <c r="O328" s="54"/>
      <c r="P328" s="109"/>
      <c r="Q328" s="109"/>
      <c r="R328" s="109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K328" s="128"/>
    </row>
    <row r="329" spans="1:37" hidden="1">
      <c r="A329" s="136" t="s">
        <v>139</v>
      </c>
      <c r="B329" s="136"/>
      <c r="C329" s="205">
        <v>24000</v>
      </c>
      <c r="D329" s="223">
        <v>5.9020000000000001</v>
      </c>
      <c r="E329" s="209" t="s">
        <v>99</v>
      </c>
      <c r="F329" s="127">
        <f>ROUND(D329*$C329/100*D323,0)</f>
        <v>-14</v>
      </c>
      <c r="G329" s="223">
        <v>6.7460000000000004</v>
      </c>
      <c r="H329" s="209" t="s">
        <v>99</v>
      </c>
      <c r="I329" s="127">
        <f>ROUND(G329*$C329/100*G323,0)</f>
        <v>-16</v>
      </c>
      <c r="J329" s="223">
        <f>J317</f>
        <v>4.3890000000000002</v>
      </c>
      <c r="K329" s="209" t="s">
        <v>99</v>
      </c>
      <c r="L329" s="127">
        <f>ROUND(J329*$C329/100*J323,0)</f>
        <v>-11</v>
      </c>
      <c r="N329" s="54"/>
      <c r="O329" s="54"/>
      <c r="P329" s="109"/>
      <c r="Q329" s="109"/>
      <c r="R329" s="109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K329" s="128"/>
    </row>
    <row r="330" spans="1:37" hidden="1">
      <c r="A330" s="136" t="s">
        <v>140</v>
      </c>
      <c r="B330" s="136"/>
      <c r="C330" s="205">
        <v>40200</v>
      </c>
      <c r="D330" s="223">
        <v>5.0839999999999996</v>
      </c>
      <c r="E330" s="209" t="s">
        <v>99</v>
      </c>
      <c r="F330" s="127">
        <f>ROUND(D330*$C330/100*D323,0)</f>
        <v>-20</v>
      </c>
      <c r="G330" s="223">
        <v>5.8120000000000003</v>
      </c>
      <c r="H330" s="209" t="s">
        <v>99</v>
      </c>
      <c r="I330" s="127">
        <f>ROUND(G330*$C330/100*G323,0)</f>
        <v>-23</v>
      </c>
      <c r="J330" s="223">
        <f>J318</f>
        <v>3.782</v>
      </c>
      <c r="K330" s="209" t="s">
        <v>99</v>
      </c>
      <c r="L330" s="127">
        <f>ROUND(J330*$C330/100*J323,0)</f>
        <v>-15</v>
      </c>
      <c r="N330" s="54"/>
      <c r="O330" s="54"/>
      <c r="P330" s="109"/>
      <c r="Q330" s="109"/>
      <c r="R330" s="109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K330" s="128"/>
    </row>
    <row r="331" spans="1:37" hidden="1">
      <c r="A331" s="136" t="s">
        <v>141</v>
      </c>
      <c r="B331" s="136"/>
      <c r="C331" s="205">
        <v>0</v>
      </c>
      <c r="D331" s="224">
        <v>50</v>
      </c>
      <c r="E331" s="209" t="s">
        <v>99</v>
      </c>
      <c r="F331" s="127">
        <f>ROUND(D331*$C331/100*D323,0)</f>
        <v>0</v>
      </c>
      <c r="G331" s="224">
        <v>56</v>
      </c>
      <c r="H331" s="209" t="s">
        <v>99</v>
      </c>
      <c r="I331" s="127">
        <f>ROUND(G331*$C331/100*G323,0)</f>
        <v>0</v>
      </c>
      <c r="J331" s="224">
        <f>J319</f>
        <v>62</v>
      </c>
      <c r="K331" s="209" t="s">
        <v>99</v>
      </c>
      <c r="L331" s="127">
        <f>ROUND(J331*$C331/100*J323,0)</f>
        <v>0</v>
      </c>
      <c r="N331" s="54"/>
      <c r="O331" s="54"/>
      <c r="P331" s="109"/>
      <c r="Q331" s="109"/>
      <c r="R331" s="109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K331" s="128"/>
    </row>
    <row r="332" spans="1:37" hidden="1">
      <c r="A332" s="136" t="s">
        <v>152</v>
      </c>
      <c r="B332" s="136"/>
      <c r="C332" s="205">
        <f>3</f>
        <v>3</v>
      </c>
      <c r="D332" s="225">
        <v>60</v>
      </c>
      <c r="E332" s="207"/>
      <c r="F332" s="127">
        <f>ROUND(D332*$C332,0)</f>
        <v>180</v>
      </c>
      <c r="G332" s="225">
        <v>60</v>
      </c>
      <c r="H332" s="209"/>
      <c r="I332" s="127">
        <f>ROUND(G332*C332,0)</f>
        <v>180</v>
      </c>
      <c r="J332" s="225">
        <f>$J$194</f>
        <v>60</v>
      </c>
      <c r="K332" s="209"/>
      <c r="L332" s="127">
        <f>ROUND(J332*$C332,0)</f>
        <v>180</v>
      </c>
      <c r="N332" s="54"/>
      <c r="O332" s="54"/>
      <c r="P332" s="109"/>
      <c r="Q332" s="109"/>
      <c r="R332" s="109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K332" s="128"/>
    </row>
    <row r="333" spans="1:37" hidden="1">
      <c r="A333" s="136" t="s">
        <v>153</v>
      </c>
      <c r="B333" s="136"/>
      <c r="C333" s="205">
        <f>C326</f>
        <v>264</v>
      </c>
      <c r="D333" s="226">
        <v>-30</v>
      </c>
      <c r="E333" s="207" t="s">
        <v>99</v>
      </c>
      <c r="F333" s="127">
        <f>ROUND(D333*$C333/100,0)</f>
        <v>-79</v>
      </c>
      <c r="G333" s="226">
        <v>-30</v>
      </c>
      <c r="H333" s="209" t="s">
        <v>99</v>
      </c>
      <c r="I333" s="127">
        <f>ROUND(G333*C333/100,0)</f>
        <v>-79</v>
      </c>
      <c r="J333" s="226">
        <f>$J$195</f>
        <v>-30</v>
      </c>
      <c r="K333" s="209" t="s">
        <v>99</v>
      </c>
      <c r="L333" s="127">
        <f>ROUND(J333*$C333/100,0)</f>
        <v>-79</v>
      </c>
      <c r="N333" s="54"/>
      <c r="O333" s="54"/>
      <c r="P333" s="109"/>
      <c r="Q333" s="109"/>
      <c r="R333" s="109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K333" s="128"/>
    </row>
    <row r="334" spans="1:37" hidden="1">
      <c r="A334" s="134" t="s">
        <v>142</v>
      </c>
      <c r="C334" s="125">
        <f>C328</f>
        <v>3000</v>
      </c>
      <c r="D334" s="133"/>
      <c r="E334" s="54"/>
      <c r="F334" s="127"/>
      <c r="G334" s="133"/>
      <c r="H334" s="54"/>
      <c r="I334" s="127"/>
      <c r="J334" s="135">
        <f>J179</f>
        <v>4.42</v>
      </c>
      <c r="K334" s="209" t="s">
        <v>99</v>
      </c>
      <c r="L334" s="127">
        <f>ROUND(J334*$C334*J323/100,0)</f>
        <v>-1</v>
      </c>
      <c r="N334" s="128"/>
      <c r="P334" s="93"/>
      <c r="Q334" s="108"/>
      <c r="R334" s="108"/>
      <c r="S334" s="129"/>
      <c r="T334" s="129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K334" s="128"/>
    </row>
    <row r="335" spans="1:37" hidden="1">
      <c r="A335" s="134" t="s">
        <v>143</v>
      </c>
      <c r="C335" s="125">
        <f>C329</f>
        <v>24000</v>
      </c>
      <c r="D335" s="133"/>
      <c r="E335" s="54"/>
      <c r="F335" s="127"/>
      <c r="G335" s="133"/>
      <c r="H335" s="54"/>
      <c r="I335" s="127"/>
      <c r="J335" s="135">
        <f>J180</f>
        <v>3.0529999999999999</v>
      </c>
      <c r="K335" s="209" t="s">
        <v>99</v>
      </c>
      <c r="L335" s="127">
        <f>ROUND(J335*$C335*J323/100,0)</f>
        <v>-7</v>
      </c>
      <c r="N335" s="128"/>
      <c r="P335" s="93"/>
      <c r="Q335" s="108"/>
      <c r="R335" s="108"/>
      <c r="S335" s="129"/>
      <c r="T335" s="129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K335" s="128"/>
    </row>
    <row r="336" spans="1:37" hidden="1">
      <c r="A336" s="134" t="s">
        <v>144</v>
      </c>
      <c r="C336" s="125">
        <f>C330</f>
        <v>40200</v>
      </c>
      <c r="D336" s="133"/>
      <c r="E336" s="54"/>
      <c r="F336" s="127"/>
      <c r="G336" s="133"/>
      <c r="H336" s="54"/>
      <c r="I336" s="127"/>
      <c r="J336" s="135">
        <f>J181</f>
        <v>2.63</v>
      </c>
      <c r="K336" s="209" t="s">
        <v>99</v>
      </c>
      <c r="L336" s="127">
        <f>ROUND(J336*$C336*J323/100,0)</f>
        <v>-11</v>
      </c>
      <c r="N336" s="128"/>
      <c r="P336" s="93"/>
      <c r="Q336" s="108"/>
      <c r="R336" s="108"/>
      <c r="S336" s="129"/>
      <c r="T336" s="129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K336" s="128"/>
    </row>
    <row r="337" spans="1:37" hidden="1">
      <c r="A337" s="136" t="s">
        <v>122</v>
      </c>
      <c r="B337" s="136"/>
      <c r="C337" s="205">
        <f>SUM(C316:C318)</f>
        <v>17420100</v>
      </c>
      <c r="D337" s="215"/>
      <c r="E337" s="127"/>
      <c r="F337" s="127">
        <f>SUM(F311:F333)</f>
        <v>1310154</v>
      </c>
      <c r="G337" s="215"/>
      <c r="H337" s="209"/>
      <c r="I337" s="127">
        <f>SUM(I311:I333)</f>
        <v>1496512</v>
      </c>
      <c r="J337" s="215"/>
      <c r="K337" s="209"/>
      <c r="L337" s="127">
        <f>SUM(L311:L336)</f>
        <v>1650631</v>
      </c>
      <c r="N337" s="54"/>
      <c r="O337" s="54"/>
      <c r="P337" s="109"/>
      <c r="Q337" s="109"/>
      <c r="R337" s="109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K337" s="128"/>
    </row>
    <row r="338" spans="1:37" hidden="1">
      <c r="A338" s="136" t="s">
        <v>102</v>
      </c>
      <c r="B338" s="136"/>
      <c r="C338" s="246">
        <v>238998.12647392348</v>
      </c>
      <c r="D338" s="149"/>
      <c r="E338" s="149"/>
      <c r="F338" s="229" t="e">
        <f>#REF!</f>
        <v>#REF!</v>
      </c>
      <c r="G338" s="149"/>
      <c r="H338" s="149"/>
      <c r="I338" s="229">
        <v>24162.483012530323</v>
      </c>
      <c r="J338" s="149"/>
      <c r="K338" s="149"/>
      <c r="L338" s="229">
        <f>I338</f>
        <v>24162.483012530323</v>
      </c>
      <c r="N338" s="164"/>
      <c r="O338" s="164"/>
      <c r="P338" s="162"/>
      <c r="Q338" s="109"/>
      <c r="R338" s="109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K338" s="128"/>
    </row>
    <row r="339" spans="1:37" ht="16.5" hidden="1" thickBot="1">
      <c r="A339" s="136" t="s">
        <v>123</v>
      </c>
      <c r="B339" s="136"/>
      <c r="C339" s="193">
        <f>SUM(C337:C338)</f>
        <v>17659098.126473922</v>
      </c>
      <c r="D339" s="231"/>
      <c r="E339" s="232"/>
      <c r="F339" s="233" t="e">
        <f>F337+F338</f>
        <v>#REF!</v>
      </c>
      <c r="G339" s="231"/>
      <c r="H339" s="235"/>
      <c r="I339" s="233">
        <f>I337+I338</f>
        <v>1520674.4830125303</v>
      </c>
      <c r="J339" s="231"/>
      <c r="K339" s="235"/>
      <c r="L339" s="233">
        <f>L337+L338</f>
        <v>1674793.4830125303</v>
      </c>
      <c r="N339" s="165"/>
      <c r="O339" s="165"/>
      <c r="P339" s="166"/>
      <c r="Q339" s="109"/>
      <c r="R339" s="109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K339" s="128"/>
    </row>
    <row r="340" spans="1:37" hidden="1">
      <c r="A340" s="136"/>
      <c r="B340" s="136"/>
      <c r="C340" s="247"/>
      <c r="D340" s="248"/>
      <c r="E340" s="249"/>
      <c r="F340" s="208"/>
      <c r="G340" s="248"/>
      <c r="H340" s="250"/>
      <c r="I340" s="208"/>
      <c r="J340" s="248"/>
      <c r="K340" s="250"/>
      <c r="L340" s="208"/>
      <c r="N340" s="54"/>
      <c r="O340" s="54"/>
      <c r="P340" s="109"/>
      <c r="Q340" s="109"/>
      <c r="R340" s="109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K340" s="128"/>
    </row>
    <row r="341" spans="1:37" hidden="1">
      <c r="A341" s="167" t="s">
        <v>161</v>
      </c>
      <c r="B341" s="136"/>
      <c r="C341" s="136"/>
      <c r="D341" s="127"/>
      <c r="E341" s="127"/>
      <c r="F341" s="136" t="s">
        <v>0</v>
      </c>
      <c r="G341" s="127"/>
      <c r="H341" s="136"/>
      <c r="I341" s="136"/>
      <c r="J341" s="127"/>
      <c r="K341" s="136"/>
      <c r="L341" s="136"/>
      <c r="N341" s="54"/>
      <c r="O341" s="54"/>
      <c r="P341" s="109"/>
      <c r="Q341" s="109"/>
      <c r="R341" s="109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K341" s="128"/>
    </row>
    <row r="342" spans="1:37" hidden="1">
      <c r="A342" s="136" t="s">
        <v>155</v>
      </c>
      <c r="B342" s="136"/>
      <c r="C342" s="136"/>
      <c r="D342" s="127"/>
      <c r="E342" s="127"/>
      <c r="F342" s="136"/>
      <c r="G342" s="127"/>
      <c r="H342" s="136"/>
      <c r="I342" s="136"/>
      <c r="J342" s="127"/>
      <c r="K342" s="136"/>
      <c r="L342" s="136"/>
      <c r="N342" s="54"/>
      <c r="O342" s="54"/>
      <c r="P342" s="109"/>
      <c r="Q342" s="109"/>
      <c r="R342" s="109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K342" s="128"/>
    </row>
    <row r="343" spans="1:37" hidden="1">
      <c r="A343" s="136"/>
      <c r="B343" s="136"/>
      <c r="C343" s="136"/>
      <c r="D343" s="127"/>
      <c r="E343" s="127"/>
      <c r="F343" s="136"/>
      <c r="G343" s="127"/>
      <c r="H343" s="136"/>
      <c r="I343" s="136"/>
      <c r="J343" s="127"/>
      <c r="K343" s="136"/>
      <c r="L343" s="136"/>
      <c r="N343" s="54"/>
      <c r="O343" s="54"/>
      <c r="P343" s="109"/>
      <c r="Q343" s="109"/>
      <c r="R343" s="109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K343" s="128"/>
    </row>
    <row r="344" spans="1:37" hidden="1">
      <c r="A344" s="136" t="s">
        <v>135</v>
      </c>
      <c r="B344" s="136"/>
      <c r="C344" s="205"/>
      <c r="D344" s="127"/>
      <c r="E344" s="127"/>
      <c r="F344" s="136"/>
      <c r="G344" s="127"/>
      <c r="H344" s="136"/>
      <c r="I344" s="136"/>
      <c r="J344" s="127"/>
      <c r="K344" s="136"/>
      <c r="L344" s="136"/>
      <c r="N344" s="54"/>
      <c r="O344" s="54"/>
      <c r="P344" s="109"/>
      <c r="Q344" s="109"/>
      <c r="R344" s="109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K344" s="128"/>
    </row>
    <row r="345" spans="1:37" hidden="1">
      <c r="A345" s="136" t="s">
        <v>162</v>
      </c>
      <c r="B345" s="136"/>
      <c r="C345" s="205">
        <f>C380+C415</f>
        <v>4518</v>
      </c>
      <c r="D345" s="172">
        <v>7.64</v>
      </c>
      <c r="E345" s="207"/>
      <c r="F345" s="127">
        <f>F380+F415</f>
        <v>34517</v>
      </c>
      <c r="G345" s="172">
        <v>8.7100000000000009</v>
      </c>
      <c r="H345" s="209"/>
      <c r="I345" s="127">
        <f>ROUND(G345*$C345,0)</f>
        <v>39352</v>
      </c>
      <c r="J345" s="172">
        <f>$J$169</f>
        <v>9.61</v>
      </c>
      <c r="K345" s="209"/>
      <c r="L345" s="127">
        <f>L380+L415</f>
        <v>43418</v>
      </c>
      <c r="N345" s="54"/>
      <c r="O345" s="54"/>
      <c r="P345" s="109"/>
      <c r="Q345" s="109"/>
      <c r="R345" s="109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K345" s="128"/>
    </row>
    <row r="346" spans="1:37" hidden="1">
      <c r="A346" s="136" t="s">
        <v>133</v>
      </c>
      <c r="B346" s="136"/>
      <c r="C346" s="205">
        <f>C381+C416</f>
        <v>0</v>
      </c>
      <c r="D346" s="172">
        <v>11.36</v>
      </c>
      <c r="E346" s="210"/>
      <c r="F346" s="127">
        <f>F381+F416</f>
        <v>0</v>
      </c>
      <c r="G346" s="172">
        <v>12.98</v>
      </c>
      <c r="H346" s="211"/>
      <c r="I346" s="127">
        <f t="shared" ref="I346:I347" si="51">ROUND(G346*$C346,0)</f>
        <v>0</v>
      </c>
      <c r="J346" s="172">
        <f>$J$170</f>
        <v>14.32</v>
      </c>
      <c r="K346" s="211"/>
      <c r="L346" s="127">
        <f>L381+L416</f>
        <v>0</v>
      </c>
      <c r="N346" s="54"/>
      <c r="O346" s="54"/>
      <c r="P346" s="109"/>
      <c r="Q346" s="109"/>
      <c r="R346" s="109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K346" s="128"/>
    </row>
    <row r="347" spans="1:37" hidden="1">
      <c r="A347" s="136" t="s">
        <v>134</v>
      </c>
      <c r="B347" s="136"/>
      <c r="C347" s="205">
        <f>C382+C417</f>
        <v>0</v>
      </c>
      <c r="D347" s="172">
        <v>0.81</v>
      </c>
      <c r="E347" s="210"/>
      <c r="F347" s="127">
        <f>F382+F417</f>
        <v>0</v>
      </c>
      <c r="G347" s="172">
        <v>0.92</v>
      </c>
      <c r="H347" s="211"/>
      <c r="I347" s="127">
        <f t="shared" si="51"/>
        <v>0</v>
      </c>
      <c r="J347" s="172">
        <f>$J$171</f>
        <v>1.01</v>
      </c>
      <c r="K347" s="211"/>
      <c r="L347" s="127">
        <f>L382+L417</f>
        <v>0</v>
      </c>
      <c r="N347" s="54"/>
      <c r="O347" s="54"/>
      <c r="P347" s="109"/>
      <c r="Q347" s="109"/>
      <c r="R347" s="109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K347" s="128"/>
    </row>
    <row r="348" spans="1:37" hidden="1">
      <c r="A348" s="136" t="s">
        <v>136</v>
      </c>
      <c r="B348" s="136"/>
      <c r="C348" s="205">
        <f>SUM(C345:C346)</f>
        <v>4518</v>
      </c>
      <c r="D348" s="172"/>
      <c r="E348" s="207"/>
      <c r="F348" s="127"/>
      <c r="G348" s="172"/>
      <c r="H348" s="209"/>
      <c r="I348" s="127"/>
      <c r="J348" s="172"/>
      <c r="K348" s="209"/>
      <c r="L348" s="127"/>
      <c r="N348" s="54"/>
      <c r="O348" s="54"/>
      <c r="P348" s="109"/>
      <c r="Q348" s="109"/>
      <c r="R348" s="109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K348" s="128"/>
    </row>
    <row r="349" spans="1:37" hidden="1">
      <c r="A349" s="136" t="s">
        <v>100</v>
      </c>
      <c r="B349" s="136"/>
      <c r="C349" s="205">
        <f t="shared" ref="C349:C357" si="52">C384+C419</f>
        <v>1459</v>
      </c>
      <c r="D349" s="172"/>
      <c r="E349" s="207"/>
      <c r="F349" s="127"/>
      <c r="G349" s="172"/>
      <c r="H349" s="209"/>
      <c r="I349" s="127"/>
      <c r="J349" s="172"/>
      <c r="K349" s="209"/>
      <c r="L349" s="127"/>
      <c r="N349" s="54"/>
      <c r="O349" s="54"/>
      <c r="P349" s="109"/>
      <c r="Q349" s="109"/>
      <c r="R349" s="109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K349" s="128"/>
    </row>
    <row r="350" spans="1:37" hidden="1">
      <c r="A350" s="136" t="s">
        <v>137</v>
      </c>
      <c r="B350" s="136"/>
      <c r="C350" s="205">
        <f t="shared" si="52"/>
        <v>0</v>
      </c>
      <c r="D350" s="225">
        <v>2.98</v>
      </c>
      <c r="E350" s="209"/>
      <c r="F350" s="127">
        <f>F385+F420</f>
        <v>0</v>
      </c>
      <c r="G350" s="225">
        <v>3.4</v>
      </c>
      <c r="H350" s="209"/>
      <c r="I350" s="127">
        <f>ROUND(G350*C350,0)</f>
        <v>0</v>
      </c>
      <c r="J350" s="225">
        <f>$J$174</f>
        <v>3.75</v>
      </c>
      <c r="K350" s="209"/>
      <c r="L350" s="127">
        <f>L385+L420</f>
        <v>0</v>
      </c>
      <c r="N350" s="54"/>
      <c r="O350" s="54"/>
      <c r="P350" s="109"/>
      <c r="Q350" s="109"/>
      <c r="R350" s="109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K350" s="128"/>
    </row>
    <row r="351" spans="1:37" hidden="1">
      <c r="A351" s="136" t="s">
        <v>138</v>
      </c>
      <c r="B351" s="136"/>
      <c r="C351" s="205">
        <f t="shared" si="52"/>
        <v>1237847</v>
      </c>
      <c r="D351" s="135">
        <v>8.5489999999999995</v>
      </c>
      <c r="E351" s="209" t="s">
        <v>99</v>
      </c>
      <c r="F351" s="127">
        <f>F386+F421</f>
        <v>105824</v>
      </c>
      <c r="G351" s="135">
        <v>9.766</v>
      </c>
      <c r="H351" s="209" t="s">
        <v>99</v>
      </c>
      <c r="I351" s="127">
        <f>ROUND(G351*C351/100,0)</f>
        <v>120888</v>
      </c>
      <c r="J351" s="135">
        <f>$J$175</f>
        <v>6.3540000000000001</v>
      </c>
      <c r="K351" s="209" t="s">
        <v>99</v>
      </c>
      <c r="L351" s="127">
        <f>L386+L421</f>
        <v>78653</v>
      </c>
      <c r="N351" s="54"/>
      <c r="O351" s="54"/>
      <c r="P351" s="109"/>
      <c r="Q351" s="109"/>
      <c r="R351" s="109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K351" s="128"/>
    </row>
    <row r="352" spans="1:37" hidden="1">
      <c r="A352" s="136" t="s">
        <v>139</v>
      </c>
      <c r="B352" s="136"/>
      <c r="C352" s="205">
        <f t="shared" si="52"/>
        <v>64813</v>
      </c>
      <c r="D352" s="135">
        <v>5.9020000000000001</v>
      </c>
      <c r="E352" s="209" t="s">
        <v>99</v>
      </c>
      <c r="F352" s="127">
        <f>F387+F422</f>
        <v>3825</v>
      </c>
      <c r="G352" s="135">
        <v>6.7460000000000004</v>
      </c>
      <c r="H352" s="209" t="s">
        <v>99</v>
      </c>
      <c r="I352" s="127">
        <f t="shared" ref="I352:I354" si="53">ROUND(G352*C352/100,0)</f>
        <v>4372</v>
      </c>
      <c r="J352" s="135">
        <f>$J$176</f>
        <v>4.3890000000000002</v>
      </c>
      <c r="K352" s="209" t="s">
        <v>99</v>
      </c>
      <c r="L352" s="127">
        <f>L387+L422</f>
        <v>2845</v>
      </c>
      <c r="N352" s="54"/>
      <c r="O352" s="54"/>
      <c r="P352" s="109"/>
      <c r="Q352" s="109"/>
      <c r="R352" s="109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K352" s="128"/>
    </row>
    <row r="353" spans="1:37" hidden="1">
      <c r="A353" s="136" t="s">
        <v>140</v>
      </c>
      <c r="B353" s="136"/>
      <c r="C353" s="205">
        <f t="shared" si="52"/>
        <v>0</v>
      </c>
      <c r="D353" s="135">
        <v>5.0839999999999996</v>
      </c>
      <c r="E353" s="209" t="s">
        <v>99</v>
      </c>
      <c r="F353" s="127">
        <f>F388+F423</f>
        <v>0</v>
      </c>
      <c r="G353" s="135">
        <v>5.8120000000000003</v>
      </c>
      <c r="H353" s="209" t="s">
        <v>99</v>
      </c>
      <c r="I353" s="127">
        <f t="shared" si="53"/>
        <v>0</v>
      </c>
      <c r="J353" s="135">
        <f>$J$177</f>
        <v>3.782</v>
      </c>
      <c r="K353" s="209" t="s">
        <v>99</v>
      </c>
      <c r="L353" s="127">
        <f>L388+L423</f>
        <v>0</v>
      </c>
      <c r="N353" s="54"/>
      <c r="O353" s="54"/>
      <c r="P353" s="109"/>
      <c r="Q353" s="109"/>
      <c r="R353" s="109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K353" s="128"/>
    </row>
    <row r="354" spans="1:37" hidden="1">
      <c r="A354" s="136" t="s">
        <v>141</v>
      </c>
      <c r="B354" s="136"/>
      <c r="C354" s="205">
        <f t="shared" si="52"/>
        <v>0</v>
      </c>
      <c r="D354" s="215">
        <v>50</v>
      </c>
      <c r="E354" s="207" t="s">
        <v>99</v>
      </c>
      <c r="F354" s="127">
        <f>F389+F424</f>
        <v>0</v>
      </c>
      <c r="G354" s="215">
        <v>56</v>
      </c>
      <c r="H354" s="209" t="s">
        <v>99</v>
      </c>
      <c r="I354" s="127">
        <f t="shared" si="53"/>
        <v>0</v>
      </c>
      <c r="J354" s="215">
        <f>$J$178</f>
        <v>62</v>
      </c>
      <c r="K354" s="209" t="s">
        <v>99</v>
      </c>
      <c r="L354" s="127">
        <f>L389+L424</f>
        <v>0</v>
      </c>
      <c r="N354" s="54"/>
      <c r="O354" s="54"/>
      <c r="P354" s="109"/>
      <c r="Q354" s="109"/>
      <c r="R354" s="109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K354" s="128"/>
    </row>
    <row r="355" spans="1:37" hidden="1">
      <c r="A355" s="134" t="s">
        <v>142</v>
      </c>
      <c r="C355" s="205">
        <f t="shared" si="52"/>
        <v>1237847</v>
      </c>
      <c r="D355" s="133"/>
      <c r="E355" s="54"/>
      <c r="F355" s="127"/>
      <c r="G355" s="133"/>
      <c r="H355" s="54"/>
      <c r="I355" s="127"/>
      <c r="J355" s="135">
        <f>J179</f>
        <v>4.42</v>
      </c>
      <c r="K355" s="209" t="s">
        <v>99</v>
      </c>
      <c r="L355" s="127">
        <f t="shared" ref="L355:L357" si="54">L390+L425</f>
        <v>54712</v>
      </c>
      <c r="N355" s="128"/>
      <c r="P355" s="93"/>
      <c r="Q355" s="108"/>
      <c r="R355" s="108"/>
      <c r="S355" s="129"/>
      <c r="T355" s="129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K355" s="128"/>
    </row>
    <row r="356" spans="1:37" hidden="1">
      <c r="A356" s="134" t="s">
        <v>143</v>
      </c>
      <c r="C356" s="205">
        <f t="shared" si="52"/>
        <v>64813</v>
      </c>
      <c r="D356" s="133"/>
      <c r="E356" s="54"/>
      <c r="F356" s="127"/>
      <c r="G356" s="133"/>
      <c r="H356" s="54"/>
      <c r="I356" s="127"/>
      <c r="J356" s="135">
        <f>J180</f>
        <v>3.0529999999999999</v>
      </c>
      <c r="K356" s="209" t="s">
        <v>99</v>
      </c>
      <c r="L356" s="127">
        <f t="shared" si="54"/>
        <v>1979</v>
      </c>
      <c r="N356" s="128"/>
      <c r="P356" s="93"/>
      <c r="Q356" s="108"/>
      <c r="R356" s="108"/>
      <c r="S356" s="129"/>
      <c r="T356" s="129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K356" s="128"/>
    </row>
    <row r="357" spans="1:37" hidden="1">
      <c r="A357" s="134" t="s">
        <v>144</v>
      </c>
      <c r="C357" s="205">
        <f t="shared" si="52"/>
        <v>0</v>
      </c>
      <c r="D357" s="133"/>
      <c r="E357" s="54"/>
      <c r="F357" s="127"/>
      <c r="G357" s="133"/>
      <c r="H357" s="54"/>
      <c r="I357" s="127"/>
      <c r="J357" s="135">
        <f>J181</f>
        <v>2.63</v>
      </c>
      <c r="K357" s="209" t="s">
        <v>99</v>
      </c>
      <c r="L357" s="127">
        <f t="shared" si="54"/>
        <v>0</v>
      </c>
      <c r="N357" s="128"/>
      <c r="P357" s="93"/>
      <c r="Q357" s="108"/>
      <c r="R357" s="108"/>
      <c r="S357" s="129"/>
      <c r="T357" s="129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K357" s="128"/>
    </row>
    <row r="358" spans="1:37" hidden="1">
      <c r="A358" s="219" t="s">
        <v>148</v>
      </c>
      <c r="B358" s="136"/>
      <c r="C358" s="205"/>
      <c r="D358" s="220">
        <v>-0.01</v>
      </c>
      <c r="E358" s="207"/>
      <c r="F358" s="127"/>
      <c r="G358" s="220">
        <v>-0.01</v>
      </c>
      <c r="H358" s="209"/>
      <c r="I358" s="127"/>
      <c r="J358" s="220">
        <v>-0.01</v>
      </c>
      <c r="K358" s="209"/>
      <c r="L358" s="127"/>
      <c r="N358" s="54"/>
      <c r="O358" s="54"/>
      <c r="P358" s="109"/>
      <c r="Q358" s="109"/>
      <c r="R358" s="109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K358" s="128"/>
    </row>
    <row r="359" spans="1:37" hidden="1">
      <c r="A359" s="136" t="s">
        <v>132</v>
      </c>
      <c r="B359" s="136"/>
      <c r="C359" s="205">
        <v>0</v>
      </c>
      <c r="D359" s="222">
        <v>7.64</v>
      </c>
      <c r="E359" s="207"/>
      <c r="F359" s="127">
        <f t="shared" ref="F359:F368" si="55">F394+F429</f>
        <v>0</v>
      </c>
      <c r="G359" s="222">
        <v>8.7100000000000009</v>
      </c>
      <c r="H359" s="207"/>
      <c r="I359" s="127">
        <f>-ROUND(G359*$C359/100,0)</f>
        <v>0</v>
      </c>
      <c r="J359" s="222">
        <f>J345</f>
        <v>9.61</v>
      </c>
      <c r="K359" s="207"/>
      <c r="L359" s="127">
        <f t="shared" ref="L359:L372" si="56">L394+L429</f>
        <v>0</v>
      </c>
      <c r="N359" s="54"/>
      <c r="O359" s="54"/>
      <c r="P359" s="109"/>
      <c r="Q359" s="109"/>
      <c r="R359" s="109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K359" s="128"/>
    </row>
    <row r="360" spans="1:37" hidden="1">
      <c r="A360" s="136" t="s">
        <v>133</v>
      </c>
      <c r="B360" s="136"/>
      <c r="C360" s="205">
        <v>0</v>
      </c>
      <c r="D360" s="222">
        <v>11.36</v>
      </c>
      <c r="E360" s="207"/>
      <c r="F360" s="127">
        <f t="shared" si="55"/>
        <v>0</v>
      </c>
      <c r="G360" s="222">
        <v>12.98</v>
      </c>
      <c r="H360" s="207"/>
      <c r="I360" s="127">
        <f t="shared" ref="I360:I362" si="57">-ROUND(G360*$C360/100,0)</f>
        <v>0</v>
      </c>
      <c r="J360" s="222">
        <f>J346</f>
        <v>14.32</v>
      </c>
      <c r="K360" s="207"/>
      <c r="L360" s="127">
        <f t="shared" si="56"/>
        <v>0</v>
      </c>
      <c r="N360" s="54"/>
      <c r="O360" s="54"/>
      <c r="P360" s="109"/>
      <c r="Q360" s="109"/>
      <c r="R360" s="109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K360" s="128"/>
    </row>
    <row r="361" spans="1:37" hidden="1">
      <c r="A361" s="136" t="s">
        <v>149</v>
      </c>
      <c r="B361" s="136"/>
      <c r="C361" s="205">
        <v>0</v>
      </c>
      <c r="D361" s="222">
        <v>0.81</v>
      </c>
      <c r="E361" s="207"/>
      <c r="F361" s="127">
        <f t="shared" si="55"/>
        <v>0</v>
      </c>
      <c r="G361" s="222">
        <v>0.92</v>
      </c>
      <c r="H361" s="207"/>
      <c r="I361" s="127">
        <f t="shared" si="57"/>
        <v>0</v>
      </c>
      <c r="J361" s="222">
        <f>J347</f>
        <v>1.01</v>
      </c>
      <c r="K361" s="207"/>
      <c r="L361" s="127">
        <f t="shared" si="56"/>
        <v>0</v>
      </c>
      <c r="N361" s="54"/>
      <c r="O361" s="54"/>
      <c r="P361" s="109"/>
      <c r="Q361" s="109"/>
      <c r="R361" s="109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K361" s="128"/>
    </row>
    <row r="362" spans="1:37" hidden="1">
      <c r="A362" s="136" t="s">
        <v>150</v>
      </c>
      <c r="B362" s="136"/>
      <c r="C362" s="205">
        <v>0</v>
      </c>
      <c r="D362" s="222">
        <v>2.98</v>
      </c>
      <c r="E362" s="209"/>
      <c r="F362" s="127">
        <f t="shared" si="55"/>
        <v>0</v>
      </c>
      <c r="G362" s="222">
        <v>3.4</v>
      </c>
      <c r="H362" s="209"/>
      <c r="I362" s="127">
        <f t="shared" si="57"/>
        <v>0</v>
      </c>
      <c r="J362" s="222">
        <f>J350</f>
        <v>3.75</v>
      </c>
      <c r="K362" s="209"/>
      <c r="L362" s="127">
        <f t="shared" si="56"/>
        <v>0</v>
      </c>
      <c r="N362" s="54"/>
      <c r="O362" s="54"/>
      <c r="P362" s="109"/>
      <c r="Q362" s="109"/>
      <c r="R362" s="109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K362" s="128"/>
    </row>
    <row r="363" spans="1:37" hidden="1">
      <c r="A363" s="136" t="s">
        <v>151</v>
      </c>
      <c r="B363" s="136"/>
      <c r="C363" s="205">
        <v>0</v>
      </c>
      <c r="D363" s="223">
        <v>8.5489999999999995</v>
      </c>
      <c r="E363" s="209" t="s">
        <v>99</v>
      </c>
      <c r="F363" s="127">
        <f t="shared" si="55"/>
        <v>0</v>
      </c>
      <c r="G363" s="223">
        <v>9.766</v>
      </c>
      <c r="H363" s="209" t="s">
        <v>99</v>
      </c>
      <c r="I363" s="127">
        <f>ROUND(G363*$C363/100*G358,0)</f>
        <v>0</v>
      </c>
      <c r="J363" s="223">
        <f>J351</f>
        <v>6.3540000000000001</v>
      </c>
      <c r="K363" s="209" t="s">
        <v>99</v>
      </c>
      <c r="L363" s="127">
        <f t="shared" si="56"/>
        <v>0</v>
      </c>
      <c r="N363" s="54"/>
      <c r="O363" s="54"/>
      <c r="P363" s="109"/>
      <c r="Q363" s="109"/>
      <c r="R363" s="109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K363" s="128"/>
    </row>
    <row r="364" spans="1:37" hidden="1">
      <c r="A364" s="136" t="s">
        <v>139</v>
      </c>
      <c r="B364" s="136"/>
      <c r="C364" s="205">
        <v>0</v>
      </c>
      <c r="D364" s="223">
        <v>5.9020000000000001</v>
      </c>
      <c r="E364" s="209" t="s">
        <v>99</v>
      </c>
      <c r="F364" s="127">
        <f t="shared" si="55"/>
        <v>0</v>
      </c>
      <c r="G364" s="223">
        <v>6.7460000000000004</v>
      </c>
      <c r="H364" s="209" t="s">
        <v>99</v>
      </c>
      <c r="I364" s="127">
        <f>ROUND(G364*$C364/100*G358,0)</f>
        <v>0</v>
      </c>
      <c r="J364" s="223">
        <f>J352</f>
        <v>4.3890000000000002</v>
      </c>
      <c r="K364" s="209" t="s">
        <v>99</v>
      </c>
      <c r="L364" s="127">
        <f t="shared" si="56"/>
        <v>0</v>
      </c>
      <c r="N364" s="54"/>
      <c r="O364" s="54"/>
      <c r="P364" s="109"/>
      <c r="Q364" s="109"/>
      <c r="R364" s="109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K364" s="128"/>
    </row>
    <row r="365" spans="1:37" hidden="1">
      <c r="A365" s="136" t="s">
        <v>140</v>
      </c>
      <c r="B365" s="136"/>
      <c r="C365" s="205">
        <v>0</v>
      </c>
      <c r="D365" s="223">
        <v>5.0839999999999996</v>
      </c>
      <c r="E365" s="209" t="s">
        <v>99</v>
      </c>
      <c r="F365" s="127">
        <f t="shared" si="55"/>
        <v>0</v>
      </c>
      <c r="G365" s="223">
        <v>5.8120000000000003</v>
      </c>
      <c r="H365" s="209" t="s">
        <v>99</v>
      </c>
      <c r="I365" s="127">
        <f>ROUND(G365*$C365/100*G358,0)</f>
        <v>0</v>
      </c>
      <c r="J365" s="223">
        <f>J353</f>
        <v>3.782</v>
      </c>
      <c r="K365" s="209" t="s">
        <v>99</v>
      </c>
      <c r="L365" s="127">
        <f t="shared" si="56"/>
        <v>0</v>
      </c>
      <c r="N365" s="54"/>
      <c r="O365" s="54"/>
      <c r="P365" s="109"/>
      <c r="Q365" s="109"/>
      <c r="R365" s="109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K365" s="128"/>
    </row>
    <row r="366" spans="1:37" hidden="1">
      <c r="A366" s="136" t="s">
        <v>141</v>
      </c>
      <c r="B366" s="136"/>
      <c r="C366" s="205">
        <v>0</v>
      </c>
      <c r="D366" s="224">
        <v>50</v>
      </c>
      <c r="E366" s="209" t="s">
        <v>99</v>
      </c>
      <c r="F366" s="127">
        <f t="shared" si="55"/>
        <v>0</v>
      </c>
      <c r="G366" s="224">
        <v>56</v>
      </c>
      <c r="H366" s="209" t="s">
        <v>99</v>
      </c>
      <c r="I366" s="127">
        <f>ROUND(G366*$C366/100*G358,0)</f>
        <v>0</v>
      </c>
      <c r="J366" s="224">
        <f>J354</f>
        <v>62</v>
      </c>
      <c r="K366" s="209" t="s">
        <v>99</v>
      </c>
      <c r="L366" s="127">
        <f t="shared" si="56"/>
        <v>0</v>
      </c>
      <c r="N366" s="54"/>
      <c r="O366" s="54"/>
      <c r="P366" s="109"/>
      <c r="Q366" s="109"/>
      <c r="R366" s="109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K366" s="128"/>
    </row>
    <row r="367" spans="1:37" hidden="1">
      <c r="A367" s="136" t="s">
        <v>152</v>
      </c>
      <c r="B367" s="136"/>
      <c r="C367" s="205">
        <v>0</v>
      </c>
      <c r="D367" s="225">
        <v>60</v>
      </c>
      <c r="E367" s="207"/>
      <c r="F367" s="127">
        <f t="shared" si="55"/>
        <v>0</v>
      </c>
      <c r="G367" s="225">
        <v>60</v>
      </c>
      <c r="H367" s="209"/>
      <c r="I367" s="127">
        <f>ROUND(G367*C367,0)</f>
        <v>0</v>
      </c>
      <c r="J367" s="225">
        <f>$J$194</f>
        <v>60</v>
      </c>
      <c r="K367" s="209"/>
      <c r="L367" s="127">
        <f t="shared" si="56"/>
        <v>0</v>
      </c>
      <c r="N367" s="54"/>
      <c r="O367" s="54"/>
      <c r="P367" s="109"/>
      <c r="Q367" s="109"/>
      <c r="R367" s="109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K367" s="128"/>
    </row>
    <row r="368" spans="1:37" hidden="1">
      <c r="A368" s="136" t="s">
        <v>153</v>
      </c>
      <c r="B368" s="136"/>
      <c r="C368" s="205">
        <v>0</v>
      </c>
      <c r="D368" s="226">
        <v>-30</v>
      </c>
      <c r="E368" s="207" t="s">
        <v>99</v>
      </c>
      <c r="F368" s="127">
        <f t="shared" si="55"/>
        <v>0</v>
      </c>
      <c r="G368" s="226">
        <v>-30</v>
      </c>
      <c r="H368" s="209" t="s">
        <v>99</v>
      </c>
      <c r="I368" s="127">
        <f>ROUND(G368*C368/100,0)</f>
        <v>0</v>
      </c>
      <c r="J368" s="226">
        <f>$J$195</f>
        <v>-30</v>
      </c>
      <c r="K368" s="209" t="s">
        <v>99</v>
      </c>
      <c r="L368" s="127">
        <f t="shared" si="56"/>
        <v>0</v>
      </c>
      <c r="N368" s="54"/>
      <c r="O368" s="54"/>
      <c r="P368" s="109"/>
      <c r="Q368" s="109"/>
      <c r="R368" s="109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K368" s="128"/>
    </row>
    <row r="369" spans="1:37" hidden="1">
      <c r="A369" s="134" t="s">
        <v>142</v>
      </c>
      <c r="C369" s="205">
        <v>0</v>
      </c>
      <c r="D369" s="133"/>
      <c r="E369" s="54"/>
      <c r="F369" s="127"/>
      <c r="G369" s="133"/>
      <c r="H369" s="54"/>
      <c r="I369" s="127"/>
      <c r="J369" s="135">
        <f>J179</f>
        <v>4.42</v>
      </c>
      <c r="K369" s="209" t="s">
        <v>99</v>
      </c>
      <c r="L369" s="127">
        <f t="shared" si="56"/>
        <v>0</v>
      </c>
      <c r="N369" s="128"/>
      <c r="P369" s="93"/>
      <c r="Q369" s="108"/>
      <c r="R369" s="108"/>
      <c r="S369" s="129"/>
      <c r="T369" s="129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K369" s="128"/>
    </row>
    <row r="370" spans="1:37" hidden="1">
      <c r="A370" s="134" t="s">
        <v>143</v>
      </c>
      <c r="C370" s="205">
        <v>0</v>
      </c>
      <c r="D370" s="133"/>
      <c r="E370" s="54"/>
      <c r="F370" s="127"/>
      <c r="G370" s="133"/>
      <c r="H370" s="54"/>
      <c r="I370" s="127"/>
      <c r="J370" s="135">
        <f>J180</f>
        <v>3.0529999999999999</v>
      </c>
      <c r="K370" s="209" t="s">
        <v>99</v>
      </c>
      <c r="L370" s="127">
        <f t="shared" si="56"/>
        <v>0</v>
      </c>
      <c r="N370" s="128"/>
      <c r="P370" s="93"/>
      <c r="Q370" s="108"/>
      <c r="R370" s="108"/>
      <c r="S370" s="129"/>
      <c r="T370" s="129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K370" s="128"/>
    </row>
    <row r="371" spans="1:37" hidden="1">
      <c r="A371" s="134" t="s">
        <v>144</v>
      </c>
      <c r="C371" s="205">
        <v>0</v>
      </c>
      <c r="D371" s="133"/>
      <c r="E371" s="54"/>
      <c r="F371" s="127"/>
      <c r="G371" s="133"/>
      <c r="H371" s="54"/>
      <c r="I371" s="127"/>
      <c r="J371" s="135">
        <f>J181</f>
        <v>2.63</v>
      </c>
      <c r="K371" s="209" t="s">
        <v>99</v>
      </c>
      <c r="L371" s="127">
        <f t="shared" si="56"/>
        <v>0</v>
      </c>
      <c r="N371" s="128"/>
      <c r="P371" s="93"/>
      <c r="Q371" s="108"/>
      <c r="R371" s="108"/>
      <c r="S371" s="129"/>
      <c r="T371" s="129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K371" s="128"/>
    </row>
    <row r="372" spans="1:37" hidden="1">
      <c r="A372" s="136" t="s">
        <v>122</v>
      </c>
      <c r="B372" s="136"/>
      <c r="C372" s="205">
        <f>C407+C442</f>
        <v>1302660</v>
      </c>
      <c r="D372" s="215"/>
      <c r="E372" s="127"/>
      <c r="F372" s="127">
        <f>F407+F442</f>
        <v>144166</v>
      </c>
      <c r="G372" s="215"/>
      <c r="H372" s="209"/>
      <c r="I372" s="127">
        <f>I407+I442</f>
        <v>164611</v>
      </c>
      <c r="J372" s="215"/>
      <c r="K372" s="209"/>
      <c r="L372" s="127">
        <f t="shared" si="56"/>
        <v>181607</v>
      </c>
      <c r="N372" s="54"/>
      <c r="O372" s="54"/>
      <c r="P372" s="109"/>
      <c r="Q372" s="109"/>
      <c r="R372" s="109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K372" s="128"/>
    </row>
    <row r="373" spans="1:37" hidden="1">
      <c r="A373" s="136" t="s">
        <v>102</v>
      </c>
      <c r="B373" s="136"/>
      <c r="C373" s="228">
        <f>C408+C443</f>
        <v>-2815.5547367919953</v>
      </c>
      <c r="D373" s="149"/>
      <c r="E373" s="149"/>
      <c r="F373" s="229" t="e">
        <f>F408+F443</f>
        <v>#REF!</v>
      </c>
      <c r="G373" s="149"/>
      <c r="H373" s="149"/>
      <c r="I373" s="229">
        <f>I408+I443</f>
        <v>-332.36765943366282</v>
      </c>
      <c r="J373" s="149"/>
      <c r="K373" s="149"/>
      <c r="L373" s="229">
        <f>I373</f>
        <v>-332.36765943366282</v>
      </c>
      <c r="N373" s="164"/>
      <c r="O373" s="164"/>
      <c r="P373" s="162"/>
      <c r="Q373" s="109"/>
      <c r="R373" s="109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K373" s="128"/>
    </row>
    <row r="374" spans="1:37" ht="16.5" hidden="1" thickBot="1">
      <c r="A374" s="136" t="s">
        <v>123</v>
      </c>
      <c r="B374" s="136"/>
      <c r="C374" s="193">
        <f>SUM(C372:C373)</f>
        <v>1299844.4452632079</v>
      </c>
      <c r="D374" s="231"/>
      <c r="E374" s="232"/>
      <c r="F374" s="233" t="e">
        <f>F372+F373</f>
        <v>#REF!</v>
      </c>
      <c r="G374" s="231"/>
      <c r="H374" s="235"/>
      <c r="I374" s="233">
        <f>I372+I373</f>
        <v>164278.63234056634</v>
      </c>
      <c r="J374" s="231"/>
      <c r="K374" s="235"/>
      <c r="L374" s="233">
        <f>L372+L373</f>
        <v>181274.63234056634</v>
      </c>
      <c r="N374" s="165"/>
      <c r="O374" s="165"/>
      <c r="P374" s="166"/>
      <c r="Q374" s="109"/>
      <c r="R374" s="109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K374" s="128"/>
    </row>
    <row r="375" spans="1:37" hidden="1">
      <c r="A375" s="136"/>
      <c r="B375" s="136"/>
      <c r="C375" s="168"/>
      <c r="D375" s="225"/>
      <c r="E375" s="127"/>
      <c r="F375" s="127"/>
      <c r="G375" s="225"/>
      <c r="H375" s="136"/>
      <c r="I375" s="127"/>
      <c r="J375" s="225"/>
      <c r="K375" s="136"/>
      <c r="L375" s="127" t="s">
        <v>0</v>
      </c>
      <c r="N375" s="54"/>
      <c r="O375" s="54"/>
      <c r="P375" s="109"/>
      <c r="Q375" s="109"/>
      <c r="R375" s="109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K375" s="128"/>
    </row>
    <row r="376" spans="1:37" hidden="1">
      <c r="A376" s="167" t="s">
        <v>161</v>
      </c>
      <c r="B376" s="136"/>
      <c r="C376" s="136"/>
      <c r="D376" s="127"/>
      <c r="E376" s="127"/>
      <c r="F376" s="136" t="s">
        <v>0</v>
      </c>
      <c r="G376" s="127"/>
      <c r="H376" s="136"/>
      <c r="I376" s="136"/>
      <c r="J376" s="127"/>
      <c r="K376" s="136"/>
      <c r="L376" s="136"/>
      <c r="N376" s="54"/>
      <c r="O376" s="54"/>
      <c r="P376" s="109"/>
      <c r="Q376" s="109"/>
      <c r="R376" s="109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K376" s="128"/>
    </row>
    <row r="377" spans="1:37" hidden="1">
      <c r="A377" s="136" t="s">
        <v>158</v>
      </c>
      <c r="B377" s="136"/>
      <c r="C377" s="136"/>
      <c r="D377" s="127"/>
      <c r="E377" s="127"/>
      <c r="F377" s="136"/>
      <c r="G377" s="127"/>
      <c r="H377" s="136"/>
      <c r="I377" s="136"/>
      <c r="J377" s="127"/>
      <c r="K377" s="136"/>
      <c r="L377" s="136"/>
      <c r="N377" s="54"/>
      <c r="O377" s="54"/>
      <c r="P377" s="109"/>
      <c r="Q377" s="109"/>
      <c r="R377" s="109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K377" s="128"/>
    </row>
    <row r="378" spans="1:37" hidden="1">
      <c r="A378" s="136"/>
      <c r="B378" s="136"/>
      <c r="C378" s="136"/>
      <c r="D378" s="127"/>
      <c r="E378" s="127"/>
      <c r="F378" s="136"/>
      <c r="G378" s="127"/>
      <c r="H378" s="136"/>
      <c r="I378" s="136"/>
      <c r="J378" s="127"/>
      <c r="K378" s="136"/>
      <c r="L378" s="136"/>
      <c r="N378" s="54"/>
      <c r="O378" s="54"/>
      <c r="P378" s="109"/>
      <c r="Q378" s="109"/>
      <c r="R378" s="109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K378" s="128"/>
    </row>
    <row r="379" spans="1:37" hidden="1">
      <c r="A379" s="136" t="s">
        <v>135</v>
      </c>
      <c r="B379" s="136"/>
      <c r="C379" s="205"/>
      <c r="D379" s="127"/>
      <c r="E379" s="127"/>
      <c r="F379" s="136"/>
      <c r="G379" s="127"/>
      <c r="H379" s="136"/>
      <c r="I379" s="136"/>
      <c r="J379" s="127"/>
      <c r="K379" s="136"/>
      <c r="L379" s="136"/>
      <c r="N379" s="54"/>
      <c r="O379" s="54"/>
      <c r="P379" s="109"/>
      <c r="Q379" s="109"/>
      <c r="R379" s="109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K379" s="128"/>
    </row>
    <row r="380" spans="1:37" hidden="1">
      <c r="A380" s="136" t="s">
        <v>162</v>
      </c>
      <c r="B380" s="136"/>
      <c r="C380" s="205">
        <f>324+3678</f>
        <v>4002</v>
      </c>
      <c r="D380" s="172">
        <v>7.64</v>
      </c>
      <c r="E380" s="207"/>
      <c r="F380" s="127">
        <f>ROUND(D380*$C380,0)</f>
        <v>30575</v>
      </c>
      <c r="G380" s="172">
        <v>8.7100000000000009</v>
      </c>
      <c r="H380" s="209"/>
      <c r="I380" s="127">
        <f>ROUND(G380*$C380,0)</f>
        <v>34857</v>
      </c>
      <c r="J380" s="172">
        <f>$J$169</f>
        <v>9.61</v>
      </c>
      <c r="K380" s="209"/>
      <c r="L380" s="127">
        <f>ROUND(J380*$C380,0)</f>
        <v>38459</v>
      </c>
      <c r="N380" s="54"/>
      <c r="O380" s="54"/>
      <c r="P380" s="109"/>
      <c r="Q380" s="109"/>
      <c r="R380" s="109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K380" s="128"/>
    </row>
    <row r="381" spans="1:37" hidden="1">
      <c r="A381" s="136" t="s">
        <v>133</v>
      </c>
      <c r="B381" s="136"/>
      <c r="C381" s="205">
        <v>0</v>
      </c>
      <c r="D381" s="172">
        <v>11.36</v>
      </c>
      <c r="E381" s="210"/>
      <c r="F381" s="127">
        <f>ROUND(D381*$C381,0)</f>
        <v>0</v>
      </c>
      <c r="G381" s="172">
        <v>12.98</v>
      </c>
      <c r="H381" s="211"/>
      <c r="I381" s="127">
        <f t="shared" ref="I381:I382" si="58">ROUND(G381*$C381,0)</f>
        <v>0</v>
      </c>
      <c r="J381" s="172">
        <f>$J$170</f>
        <v>14.32</v>
      </c>
      <c r="K381" s="211"/>
      <c r="L381" s="127">
        <f>ROUND(J381*$C381,0)</f>
        <v>0</v>
      </c>
      <c r="N381" s="54"/>
      <c r="O381" s="54"/>
      <c r="P381" s="109"/>
      <c r="Q381" s="109"/>
      <c r="R381" s="109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K381" s="128"/>
    </row>
    <row r="382" spans="1:37" hidden="1">
      <c r="A382" s="136" t="s">
        <v>134</v>
      </c>
      <c r="B382" s="136"/>
      <c r="C382" s="205">
        <v>0</v>
      </c>
      <c r="D382" s="172">
        <v>0.81</v>
      </c>
      <c r="E382" s="210"/>
      <c r="F382" s="127">
        <f>ROUND(D382*$C382,0)</f>
        <v>0</v>
      </c>
      <c r="G382" s="172">
        <v>0.92</v>
      </c>
      <c r="H382" s="211"/>
      <c r="I382" s="127">
        <f t="shared" si="58"/>
        <v>0</v>
      </c>
      <c r="J382" s="172">
        <f>$J$171</f>
        <v>1.01</v>
      </c>
      <c r="K382" s="211"/>
      <c r="L382" s="127">
        <f>ROUND(J382*$C382,0)</f>
        <v>0</v>
      </c>
      <c r="N382" s="54"/>
      <c r="O382" s="54"/>
      <c r="P382" s="109"/>
      <c r="Q382" s="109"/>
      <c r="R382" s="109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K382" s="128"/>
    </row>
    <row r="383" spans="1:37" hidden="1">
      <c r="A383" s="136" t="s">
        <v>136</v>
      </c>
      <c r="B383" s="136"/>
      <c r="C383" s="205">
        <f>SUM(C380:C381)</f>
        <v>4002</v>
      </c>
      <c r="D383" s="172"/>
      <c r="E383" s="207"/>
      <c r="F383" s="127"/>
      <c r="G383" s="172"/>
      <c r="H383" s="209"/>
      <c r="I383" s="127"/>
      <c r="J383" s="172"/>
      <c r="K383" s="209"/>
      <c r="L383" s="127"/>
      <c r="N383" s="54"/>
      <c r="O383" s="54"/>
      <c r="P383" s="109"/>
      <c r="Q383" s="109"/>
      <c r="R383" s="109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K383" s="128"/>
    </row>
    <row r="384" spans="1:37" hidden="1">
      <c r="A384" s="136" t="s">
        <v>100</v>
      </c>
      <c r="B384" s="136"/>
      <c r="C384" s="205">
        <f>72+1339</f>
        <v>1411</v>
      </c>
      <c r="D384" s="172"/>
      <c r="E384" s="207"/>
      <c r="F384" s="127"/>
      <c r="G384" s="172"/>
      <c r="H384" s="209"/>
      <c r="I384" s="127"/>
      <c r="J384" s="172"/>
      <c r="K384" s="209"/>
      <c r="L384" s="127"/>
      <c r="N384" s="54"/>
      <c r="O384" s="54"/>
      <c r="P384" s="109"/>
      <c r="Q384" s="109"/>
      <c r="R384" s="109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K384" s="128"/>
    </row>
    <row r="385" spans="1:37" hidden="1">
      <c r="A385" s="136" t="s">
        <v>137</v>
      </c>
      <c r="B385" s="136"/>
      <c r="C385" s="205">
        <v>0</v>
      </c>
      <c r="D385" s="225">
        <v>2.98</v>
      </c>
      <c r="E385" s="209"/>
      <c r="F385" s="127">
        <f>ROUND(D385*$C385,0)</f>
        <v>0</v>
      </c>
      <c r="G385" s="225">
        <v>3.4</v>
      </c>
      <c r="H385" s="209"/>
      <c r="I385" s="127">
        <f>ROUND(G385*C385,0)</f>
        <v>0</v>
      </c>
      <c r="J385" s="225">
        <f>$J$174</f>
        <v>3.75</v>
      </c>
      <c r="K385" s="209"/>
      <c r="L385" s="127">
        <f>ROUND(J385*$C385,0)</f>
        <v>0</v>
      </c>
      <c r="N385" s="54"/>
      <c r="O385" s="54"/>
      <c r="P385" s="109"/>
      <c r="Q385" s="109"/>
      <c r="R385" s="109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K385" s="128"/>
    </row>
    <row r="386" spans="1:37" hidden="1">
      <c r="A386" s="136" t="s">
        <v>138</v>
      </c>
      <c r="B386" s="136"/>
      <c r="C386" s="205">
        <f>864+153420+1050250</f>
        <v>1204534</v>
      </c>
      <c r="D386" s="135">
        <v>8.5489999999999995</v>
      </c>
      <c r="E386" s="209" t="s">
        <v>99</v>
      </c>
      <c r="F386" s="127">
        <f>ROUND(D386*$C386/100,0)</f>
        <v>102976</v>
      </c>
      <c r="G386" s="135">
        <v>9.766</v>
      </c>
      <c r="H386" s="209" t="s">
        <v>99</v>
      </c>
      <c r="I386" s="127">
        <f>ROUND(G386*C386/100,0)</f>
        <v>117635</v>
      </c>
      <c r="J386" s="135">
        <f>$J$175</f>
        <v>6.3540000000000001</v>
      </c>
      <c r="K386" s="209" t="s">
        <v>99</v>
      </c>
      <c r="L386" s="127">
        <f>ROUND(J386*$C386/100,0)</f>
        <v>76536</v>
      </c>
      <c r="N386" s="54"/>
      <c r="O386" s="54"/>
      <c r="P386" s="109"/>
      <c r="Q386" s="109"/>
      <c r="R386" s="109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K386" s="128"/>
    </row>
    <row r="387" spans="1:37" hidden="1">
      <c r="A387" s="136" t="s">
        <v>139</v>
      </c>
      <c r="B387" s="168"/>
      <c r="C387" s="205">
        <f>64813</f>
        <v>64813</v>
      </c>
      <c r="D387" s="135">
        <v>5.9020000000000001</v>
      </c>
      <c r="E387" s="209" t="s">
        <v>99</v>
      </c>
      <c r="F387" s="127">
        <f>ROUND(D387*$C387/100,0)</f>
        <v>3825</v>
      </c>
      <c r="G387" s="135">
        <v>6.7460000000000004</v>
      </c>
      <c r="H387" s="209" t="s">
        <v>99</v>
      </c>
      <c r="I387" s="127">
        <f t="shared" ref="I387:I389" si="59">ROUND(G387*C387/100,0)</f>
        <v>4372</v>
      </c>
      <c r="J387" s="135">
        <f>$J$176</f>
        <v>4.3890000000000002</v>
      </c>
      <c r="K387" s="209" t="s">
        <v>99</v>
      </c>
      <c r="L387" s="127">
        <f>ROUND(J387*$C387/100,0)</f>
        <v>2845</v>
      </c>
      <c r="N387" s="54"/>
      <c r="O387" s="54"/>
      <c r="P387" s="109"/>
      <c r="Q387" s="109"/>
      <c r="R387" s="109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K387" s="128"/>
    </row>
    <row r="388" spans="1:37" hidden="1">
      <c r="A388" s="136" t="s">
        <v>140</v>
      </c>
      <c r="B388" s="136"/>
      <c r="C388" s="205">
        <f>0</f>
        <v>0</v>
      </c>
      <c r="D388" s="135">
        <v>5.0839999999999996</v>
      </c>
      <c r="E388" s="209" t="s">
        <v>99</v>
      </c>
      <c r="F388" s="127">
        <f>ROUND(D388*$C388/100,0)</f>
        <v>0</v>
      </c>
      <c r="G388" s="135">
        <v>5.8120000000000003</v>
      </c>
      <c r="H388" s="209" t="s">
        <v>99</v>
      </c>
      <c r="I388" s="127">
        <f t="shared" si="59"/>
        <v>0</v>
      </c>
      <c r="J388" s="135">
        <f>$J$177</f>
        <v>3.782</v>
      </c>
      <c r="K388" s="209" t="s">
        <v>99</v>
      </c>
      <c r="L388" s="127">
        <f>ROUND(J388*$C388/100,0)</f>
        <v>0</v>
      </c>
      <c r="N388" s="54"/>
      <c r="O388" s="54"/>
      <c r="P388" s="109"/>
      <c r="Q388" s="109"/>
      <c r="R388" s="109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K388" s="128"/>
    </row>
    <row r="389" spans="1:37" hidden="1">
      <c r="A389" s="136" t="s">
        <v>141</v>
      </c>
      <c r="B389" s="136"/>
      <c r="C389" s="205">
        <v>0</v>
      </c>
      <c r="D389" s="215">
        <v>50</v>
      </c>
      <c r="E389" s="207" t="s">
        <v>99</v>
      </c>
      <c r="F389" s="127">
        <f>ROUND(D389*$C389/100,0)</f>
        <v>0</v>
      </c>
      <c r="G389" s="215">
        <v>56</v>
      </c>
      <c r="H389" s="209" t="s">
        <v>99</v>
      </c>
      <c r="I389" s="127">
        <f t="shared" si="59"/>
        <v>0</v>
      </c>
      <c r="J389" s="215">
        <f>$J$178</f>
        <v>62</v>
      </c>
      <c r="K389" s="209" t="s">
        <v>99</v>
      </c>
      <c r="L389" s="127">
        <f>ROUND(J389*$C389/100,0)</f>
        <v>0</v>
      </c>
      <c r="N389" s="54"/>
      <c r="O389" s="54"/>
      <c r="P389" s="109"/>
      <c r="Q389" s="109"/>
      <c r="R389" s="109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K389" s="128"/>
    </row>
    <row r="390" spans="1:37" hidden="1">
      <c r="A390" s="134" t="s">
        <v>142</v>
      </c>
      <c r="C390" s="125">
        <f>C386</f>
        <v>1204534</v>
      </c>
      <c r="D390" s="133"/>
      <c r="E390" s="54"/>
      <c r="F390" s="127"/>
      <c r="G390" s="133"/>
      <c r="H390" s="54"/>
      <c r="I390" s="127"/>
      <c r="J390" s="135">
        <f>J179</f>
        <v>4.42</v>
      </c>
      <c r="K390" s="209" t="s">
        <v>99</v>
      </c>
      <c r="L390" s="127">
        <f t="shared" ref="L390:L392" si="60">ROUND(J390*$C390/100,0)</f>
        <v>53240</v>
      </c>
      <c r="N390" s="128"/>
      <c r="P390" s="93"/>
      <c r="Q390" s="108"/>
      <c r="R390" s="108"/>
      <c r="S390" s="129"/>
      <c r="T390" s="129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K390" s="128"/>
    </row>
    <row r="391" spans="1:37" hidden="1">
      <c r="A391" s="134" t="s">
        <v>143</v>
      </c>
      <c r="C391" s="125">
        <f>C387</f>
        <v>64813</v>
      </c>
      <c r="D391" s="133"/>
      <c r="E391" s="54"/>
      <c r="F391" s="127"/>
      <c r="G391" s="133"/>
      <c r="H391" s="54"/>
      <c r="I391" s="127"/>
      <c r="J391" s="135">
        <f>J180</f>
        <v>3.0529999999999999</v>
      </c>
      <c r="K391" s="209" t="s">
        <v>99</v>
      </c>
      <c r="L391" s="127">
        <f t="shared" si="60"/>
        <v>1979</v>
      </c>
      <c r="N391" s="128"/>
      <c r="P391" s="93"/>
      <c r="Q391" s="108"/>
      <c r="R391" s="108"/>
      <c r="S391" s="129"/>
      <c r="T391" s="129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K391" s="128"/>
    </row>
    <row r="392" spans="1:37" hidden="1">
      <c r="A392" s="134" t="s">
        <v>144</v>
      </c>
      <c r="C392" s="125">
        <f>C388</f>
        <v>0</v>
      </c>
      <c r="D392" s="133"/>
      <c r="E392" s="54"/>
      <c r="F392" s="127"/>
      <c r="G392" s="133"/>
      <c r="H392" s="54"/>
      <c r="I392" s="127"/>
      <c r="J392" s="135">
        <f>J181</f>
        <v>2.63</v>
      </c>
      <c r="K392" s="209" t="s">
        <v>99</v>
      </c>
      <c r="L392" s="127">
        <f t="shared" si="60"/>
        <v>0</v>
      </c>
      <c r="N392" s="128"/>
      <c r="P392" s="93"/>
      <c r="Q392" s="108"/>
      <c r="R392" s="108"/>
      <c r="S392" s="129"/>
      <c r="T392" s="129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K392" s="128"/>
    </row>
    <row r="393" spans="1:37" hidden="1">
      <c r="A393" s="219" t="s">
        <v>148</v>
      </c>
      <c r="B393" s="136"/>
      <c r="C393" s="205"/>
      <c r="D393" s="220">
        <v>-0.01</v>
      </c>
      <c r="E393" s="207"/>
      <c r="F393" s="127"/>
      <c r="G393" s="220">
        <v>-0.01</v>
      </c>
      <c r="H393" s="209"/>
      <c r="I393" s="127"/>
      <c r="J393" s="220">
        <v>-0.01</v>
      </c>
      <c r="K393" s="209"/>
      <c r="L393" s="127"/>
      <c r="N393" s="54"/>
      <c r="O393" s="54"/>
      <c r="P393" s="109"/>
      <c r="Q393" s="109"/>
      <c r="R393" s="109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K393" s="128"/>
    </row>
    <row r="394" spans="1:37" hidden="1">
      <c r="A394" s="136" t="s">
        <v>132</v>
      </c>
      <c r="B394" s="136"/>
      <c r="C394" s="205">
        <v>0</v>
      </c>
      <c r="D394" s="222">
        <v>7.64</v>
      </c>
      <c r="E394" s="207"/>
      <c r="F394" s="127">
        <f>-ROUND(D394*$C394/100,0)</f>
        <v>0</v>
      </c>
      <c r="G394" s="222">
        <v>8.7100000000000009</v>
      </c>
      <c r="H394" s="207"/>
      <c r="I394" s="127">
        <f>-ROUND(G394*$C394/100,0)</f>
        <v>0</v>
      </c>
      <c r="J394" s="222">
        <f>J380</f>
        <v>9.61</v>
      </c>
      <c r="K394" s="207"/>
      <c r="L394" s="127">
        <f>-ROUND(J394*$C394/100,0)</f>
        <v>0</v>
      </c>
      <c r="N394" s="54"/>
      <c r="O394" s="54"/>
      <c r="P394" s="109"/>
      <c r="Q394" s="109"/>
      <c r="R394" s="109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K394" s="128"/>
    </row>
    <row r="395" spans="1:37" hidden="1">
      <c r="A395" s="136" t="s">
        <v>133</v>
      </c>
      <c r="B395" s="136"/>
      <c r="C395" s="205">
        <v>0</v>
      </c>
      <c r="D395" s="222">
        <v>11.36</v>
      </c>
      <c r="E395" s="207"/>
      <c r="F395" s="127">
        <f>-ROUND(D395*$C395/100,0)</f>
        <v>0</v>
      </c>
      <c r="G395" s="222">
        <v>12.98</v>
      </c>
      <c r="H395" s="207"/>
      <c r="I395" s="127">
        <f t="shared" ref="I395:I397" si="61">-ROUND(G395*$C395/100,0)</f>
        <v>0</v>
      </c>
      <c r="J395" s="222">
        <f>J381</f>
        <v>14.32</v>
      </c>
      <c r="K395" s="207"/>
      <c r="L395" s="127">
        <f>-ROUND(J395*$C395/100,0)</f>
        <v>0</v>
      </c>
      <c r="N395" s="54"/>
      <c r="O395" s="54"/>
      <c r="P395" s="109"/>
      <c r="Q395" s="109"/>
      <c r="R395" s="109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K395" s="128"/>
    </row>
    <row r="396" spans="1:37" hidden="1">
      <c r="A396" s="136" t="s">
        <v>149</v>
      </c>
      <c r="B396" s="136"/>
      <c r="C396" s="205">
        <v>0</v>
      </c>
      <c r="D396" s="222">
        <v>0.81</v>
      </c>
      <c r="E396" s="207"/>
      <c r="F396" s="127">
        <f>-ROUND(D396*$C396/100,0)</f>
        <v>0</v>
      </c>
      <c r="G396" s="222">
        <v>0.92</v>
      </c>
      <c r="H396" s="207"/>
      <c r="I396" s="127">
        <f t="shared" si="61"/>
        <v>0</v>
      </c>
      <c r="J396" s="222">
        <f>J382</f>
        <v>1.01</v>
      </c>
      <c r="K396" s="207"/>
      <c r="L396" s="127">
        <f>-ROUND(J396*$C396/100,0)</f>
        <v>0</v>
      </c>
      <c r="N396" s="54"/>
      <c r="O396" s="54"/>
      <c r="P396" s="109"/>
      <c r="Q396" s="109"/>
      <c r="R396" s="109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K396" s="128"/>
    </row>
    <row r="397" spans="1:37" hidden="1">
      <c r="A397" s="136" t="s">
        <v>150</v>
      </c>
      <c r="B397" s="136"/>
      <c r="C397" s="205">
        <v>0</v>
      </c>
      <c r="D397" s="222">
        <v>2.98</v>
      </c>
      <c r="E397" s="209"/>
      <c r="F397" s="127">
        <f>-ROUND(D397*$C397/100,0)</f>
        <v>0</v>
      </c>
      <c r="G397" s="222">
        <v>3.4</v>
      </c>
      <c r="H397" s="209"/>
      <c r="I397" s="127">
        <f t="shared" si="61"/>
        <v>0</v>
      </c>
      <c r="J397" s="222">
        <f>J385</f>
        <v>3.75</v>
      </c>
      <c r="K397" s="209"/>
      <c r="L397" s="127">
        <f>-ROUND(J397*$C397/100,0)</f>
        <v>0</v>
      </c>
      <c r="N397" s="54"/>
      <c r="O397" s="54"/>
      <c r="P397" s="109"/>
      <c r="Q397" s="109"/>
      <c r="R397" s="109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K397" s="128"/>
    </row>
    <row r="398" spans="1:37" hidden="1">
      <c r="A398" s="136" t="s">
        <v>151</v>
      </c>
      <c r="B398" s="136"/>
      <c r="C398" s="205">
        <v>0</v>
      </c>
      <c r="D398" s="223">
        <v>8.5489999999999995</v>
      </c>
      <c r="E398" s="209" t="s">
        <v>99</v>
      </c>
      <c r="F398" s="127">
        <f>ROUND(D398*$C398/100*D393,0)</f>
        <v>0</v>
      </c>
      <c r="G398" s="223">
        <v>9.766</v>
      </c>
      <c r="H398" s="209" t="s">
        <v>99</v>
      </c>
      <c r="I398" s="127">
        <f>ROUND(G398*$C398/100*G393,0)</f>
        <v>0</v>
      </c>
      <c r="J398" s="223">
        <f>J386</f>
        <v>6.3540000000000001</v>
      </c>
      <c r="K398" s="209" t="s">
        <v>99</v>
      </c>
      <c r="L398" s="127">
        <f>ROUND(J398*$C398/100*J393,0)</f>
        <v>0</v>
      </c>
      <c r="N398" s="54"/>
      <c r="O398" s="54"/>
      <c r="P398" s="109"/>
      <c r="Q398" s="109"/>
      <c r="R398" s="109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K398" s="128"/>
    </row>
    <row r="399" spans="1:37" hidden="1">
      <c r="A399" s="136" t="s">
        <v>139</v>
      </c>
      <c r="B399" s="136"/>
      <c r="C399" s="205">
        <v>0</v>
      </c>
      <c r="D399" s="223">
        <v>5.9020000000000001</v>
      </c>
      <c r="E399" s="209" t="s">
        <v>99</v>
      </c>
      <c r="F399" s="127">
        <f>ROUND(D399*$C399/100*D393,0)</f>
        <v>0</v>
      </c>
      <c r="G399" s="223">
        <v>6.7460000000000004</v>
      </c>
      <c r="H399" s="209" t="s">
        <v>99</v>
      </c>
      <c r="I399" s="127">
        <f>ROUND(G399*$C399/100*G393,0)</f>
        <v>0</v>
      </c>
      <c r="J399" s="223">
        <f>J387</f>
        <v>4.3890000000000002</v>
      </c>
      <c r="K399" s="209" t="s">
        <v>99</v>
      </c>
      <c r="L399" s="127">
        <f>ROUND(J399*$C399/100*J393,0)</f>
        <v>0</v>
      </c>
      <c r="N399" s="54"/>
      <c r="O399" s="54"/>
      <c r="P399" s="109"/>
      <c r="Q399" s="109"/>
      <c r="R399" s="109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K399" s="128"/>
    </row>
    <row r="400" spans="1:37" hidden="1">
      <c r="A400" s="136" t="s">
        <v>140</v>
      </c>
      <c r="B400" s="136"/>
      <c r="C400" s="205">
        <v>0</v>
      </c>
      <c r="D400" s="223">
        <v>5.0839999999999996</v>
      </c>
      <c r="E400" s="209" t="s">
        <v>99</v>
      </c>
      <c r="F400" s="127">
        <f>ROUND(D400*$C400/100*D393,0)</f>
        <v>0</v>
      </c>
      <c r="G400" s="223">
        <v>5.8120000000000003</v>
      </c>
      <c r="H400" s="209" t="s">
        <v>99</v>
      </c>
      <c r="I400" s="127">
        <f>ROUND(G400*$C400/100*G393,0)</f>
        <v>0</v>
      </c>
      <c r="J400" s="223">
        <f>J388</f>
        <v>3.782</v>
      </c>
      <c r="K400" s="209" t="s">
        <v>99</v>
      </c>
      <c r="L400" s="127">
        <f>ROUND(J400*$C400/100*J393,0)</f>
        <v>0</v>
      </c>
      <c r="N400" s="54"/>
      <c r="O400" s="54"/>
      <c r="P400" s="109"/>
      <c r="Q400" s="109"/>
      <c r="R400" s="109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K400" s="128"/>
    </row>
    <row r="401" spans="1:37" hidden="1">
      <c r="A401" s="136" t="s">
        <v>141</v>
      </c>
      <c r="B401" s="136"/>
      <c r="C401" s="205">
        <v>0</v>
      </c>
      <c r="D401" s="224">
        <v>50</v>
      </c>
      <c r="E401" s="209" t="s">
        <v>99</v>
      </c>
      <c r="F401" s="127">
        <f>ROUND(D401*$C401/100*D393,0)</f>
        <v>0</v>
      </c>
      <c r="G401" s="224">
        <v>56</v>
      </c>
      <c r="H401" s="209" t="s">
        <v>99</v>
      </c>
      <c r="I401" s="127">
        <f>ROUND(G401*$C401/100*G393,0)</f>
        <v>0</v>
      </c>
      <c r="J401" s="224">
        <f>J389</f>
        <v>62</v>
      </c>
      <c r="K401" s="209" t="s">
        <v>99</v>
      </c>
      <c r="L401" s="127">
        <f>ROUND(J401*$C401/100*J393,0)</f>
        <v>0</v>
      </c>
      <c r="N401" s="54"/>
      <c r="O401" s="54"/>
      <c r="P401" s="109"/>
      <c r="Q401" s="109"/>
      <c r="R401" s="109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K401" s="128"/>
    </row>
    <row r="402" spans="1:37" hidden="1">
      <c r="A402" s="136" t="s">
        <v>152</v>
      </c>
      <c r="B402" s="136"/>
      <c r="C402" s="205">
        <v>0</v>
      </c>
      <c r="D402" s="225">
        <v>60</v>
      </c>
      <c r="E402" s="207"/>
      <c r="F402" s="127">
        <f>ROUND(D402*$C402,0)</f>
        <v>0</v>
      </c>
      <c r="G402" s="225">
        <v>60</v>
      </c>
      <c r="H402" s="209"/>
      <c r="I402" s="127">
        <f>ROUND(G402*C402,0)</f>
        <v>0</v>
      </c>
      <c r="J402" s="225">
        <f>$J$194</f>
        <v>60</v>
      </c>
      <c r="K402" s="209"/>
      <c r="L402" s="127">
        <f>ROUND(J402*$C402,0)</f>
        <v>0</v>
      </c>
      <c r="N402" s="54"/>
      <c r="O402" s="54"/>
      <c r="P402" s="109"/>
      <c r="Q402" s="109"/>
      <c r="R402" s="109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K402" s="128"/>
    </row>
    <row r="403" spans="1:37" hidden="1">
      <c r="A403" s="136" t="s">
        <v>153</v>
      </c>
      <c r="B403" s="136"/>
      <c r="C403" s="205">
        <v>0</v>
      </c>
      <c r="D403" s="226">
        <v>-30</v>
      </c>
      <c r="E403" s="207" t="s">
        <v>99</v>
      </c>
      <c r="F403" s="127">
        <f>ROUND(D403*$C403/100,0)</f>
        <v>0</v>
      </c>
      <c r="G403" s="226">
        <v>-30</v>
      </c>
      <c r="H403" s="209" t="s">
        <v>99</v>
      </c>
      <c r="I403" s="127">
        <f>ROUND(G403*C403/100,0)</f>
        <v>0</v>
      </c>
      <c r="J403" s="226">
        <f>$J$195</f>
        <v>-30</v>
      </c>
      <c r="K403" s="209" t="s">
        <v>99</v>
      </c>
      <c r="L403" s="127">
        <f>ROUND(J403*$C403/100,0)</f>
        <v>0</v>
      </c>
      <c r="N403" s="54"/>
      <c r="O403" s="54"/>
      <c r="P403" s="109"/>
      <c r="Q403" s="109"/>
      <c r="R403" s="109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K403" s="128"/>
    </row>
    <row r="404" spans="1:37" hidden="1">
      <c r="A404" s="134" t="s">
        <v>142</v>
      </c>
      <c r="C404" s="125">
        <f>C398</f>
        <v>0</v>
      </c>
      <c r="D404" s="133"/>
      <c r="E404" s="54"/>
      <c r="F404" s="127"/>
      <c r="G404" s="133"/>
      <c r="H404" s="54"/>
      <c r="I404" s="127"/>
      <c r="J404" s="135">
        <f>J179</f>
        <v>4.42</v>
      </c>
      <c r="K404" s="209" t="s">
        <v>99</v>
      </c>
      <c r="L404" s="127">
        <f t="shared" ref="L404:L406" si="62">ROUND(J404*$C404/100,0)</f>
        <v>0</v>
      </c>
      <c r="N404" s="128"/>
      <c r="P404" s="93"/>
      <c r="Q404" s="108"/>
      <c r="R404" s="108"/>
      <c r="S404" s="129"/>
      <c r="T404" s="129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K404" s="128"/>
    </row>
    <row r="405" spans="1:37" hidden="1">
      <c r="A405" s="134" t="s">
        <v>143</v>
      </c>
      <c r="C405" s="125">
        <f>C399</f>
        <v>0</v>
      </c>
      <c r="D405" s="133"/>
      <c r="E405" s="54"/>
      <c r="F405" s="127"/>
      <c r="G405" s="133"/>
      <c r="H405" s="54"/>
      <c r="I405" s="127"/>
      <c r="J405" s="135">
        <f>J180</f>
        <v>3.0529999999999999</v>
      </c>
      <c r="K405" s="209" t="s">
        <v>99</v>
      </c>
      <c r="L405" s="127">
        <f t="shared" si="62"/>
        <v>0</v>
      </c>
      <c r="N405" s="128"/>
      <c r="P405" s="93"/>
      <c r="Q405" s="108"/>
      <c r="R405" s="108"/>
      <c r="S405" s="129"/>
      <c r="T405" s="129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K405" s="128"/>
    </row>
    <row r="406" spans="1:37" hidden="1">
      <c r="A406" s="134" t="s">
        <v>144</v>
      </c>
      <c r="C406" s="125">
        <f>C400</f>
        <v>0</v>
      </c>
      <c r="D406" s="133"/>
      <c r="E406" s="54"/>
      <c r="F406" s="127"/>
      <c r="G406" s="133"/>
      <c r="H406" s="54"/>
      <c r="I406" s="127"/>
      <c r="J406" s="135">
        <f>J181</f>
        <v>2.63</v>
      </c>
      <c r="K406" s="209" t="s">
        <v>99</v>
      </c>
      <c r="L406" s="127">
        <f t="shared" si="62"/>
        <v>0</v>
      </c>
      <c r="N406" s="128"/>
      <c r="P406" s="93"/>
      <c r="Q406" s="108"/>
      <c r="R406" s="108"/>
      <c r="S406" s="129"/>
      <c r="T406" s="129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K406" s="128"/>
    </row>
    <row r="407" spans="1:37" hidden="1">
      <c r="A407" s="136" t="s">
        <v>122</v>
      </c>
      <c r="B407" s="136"/>
      <c r="C407" s="205">
        <f>SUM(C386:C388)</f>
        <v>1269347</v>
      </c>
      <c r="D407" s="215"/>
      <c r="E407" s="127"/>
      <c r="F407" s="127">
        <f>SUM(F380:F403)</f>
        <v>137376</v>
      </c>
      <c r="G407" s="215"/>
      <c r="H407" s="209"/>
      <c r="I407" s="127">
        <f>SUM(I380:I403)</f>
        <v>156864</v>
      </c>
      <c r="J407" s="215"/>
      <c r="K407" s="209"/>
      <c r="L407" s="127">
        <f>SUM(L380:L406)</f>
        <v>173059</v>
      </c>
      <c r="N407" s="54"/>
      <c r="O407" s="54"/>
      <c r="P407" s="109"/>
      <c r="Q407" s="109"/>
      <c r="R407" s="109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K407" s="128"/>
    </row>
    <row r="408" spans="1:37" hidden="1">
      <c r="A408" s="136" t="s">
        <v>102</v>
      </c>
      <c r="B408" s="136"/>
      <c r="C408" s="246">
        <v>-3272.5983006765778</v>
      </c>
      <c r="D408" s="149"/>
      <c r="E408" s="149"/>
      <c r="F408" s="229" t="e">
        <f>#REF!</f>
        <v>#REF!</v>
      </c>
      <c r="G408" s="149"/>
      <c r="H408" s="149"/>
      <c r="I408" s="229">
        <v>-457.64161025595331</v>
      </c>
      <c r="J408" s="149"/>
      <c r="K408" s="149"/>
      <c r="L408" s="229">
        <f>I408</f>
        <v>-457.64161025595331</v>
      </c>
      <c r="N408" s="164"/>
      <c r="O408" s="164"/>
      <c r="P408" s="162"/>
      <c r="Q408" s="109"/>
      <c r="R408" s="109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K408" s="128"/>
    </row>
    <row r="409" spans="1:37" ht="16.5" hidden="1" thickBot="1">
      <c r="A409" s="136" t="s">
        <v>123</v>
      </c>
      <c r="B409" s="136"/>
      <c r="C409" s="193">
        <f>SUM(C407:C408)</f>
        <v>1266074.4016993234</v>
      </c>
      <c r="D409" s="231"/>
      <c r="E409" s="232"/>
      <c r="F409" s="233" t="e">
        <f>F407+F408</f>
        <v>#REF!</v>
      </c>
      <c r="G409" s="231"/>
      <c r="H409" s="235"/>
      <c r="I409" s="233">
        <f>I407+I408</f>
        <v>156406.35838974404</v>
      </c>
      <c r="J409" s="231"/>
      <c r="K409" s="235"/>
      <c r="L409" s="233">
        <f>L407+L408</f>
        <v>172601.35838974404</v>
      </c>
      <c r="N409" s="165"/>
      <c r="O409" s="165"/>
      <c r="P409" s="166"/>
      <c r="Q409" s="109"/>
      <c r="R409" s="109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K409" s="128"/>
    </row>
    <row r="410" spans="1:37" hidden="1">
      <c r="A410" s="136"/>
      <c r="B410" s="136"/>
      <c r="C410" s="168"/>
      <c r="D410" s="225"/>
      <c r="E410" s="127"/>
      <c r="F410" s="127"/>
      <c r="G410" s="225"/>
      <c r="H410" s="136"/>
      <c r="I410" s="127"/>
      <c r="J410" s="225"/>
      <c r="K410" s="136"/>
      <c r="L410" s="127" t="s">
        <v>0</v>
      </c>
      <c r="N410" s="54"/>
      <c r="O410" s="54"/>
      <c r="P410" s="109"/>
      <c r="Q410" s="109"/>
      <c r="R410" s="109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K410" s="128"/>
    </row>
    <row r="411" spans="1:37" hidden="1">
      <c r="A411" s="167" t="s">
        <v>161</v>
      </c>
      <c r="B411" s="136"/>
      <c r="C411" s="136"/>
      <c r="D411" s="127"/>
      <c r="E411" s="127"/>
      <c r="F411" s="136" t="s">
        <v>0</v>
      </c>
      <c r="G411" s="127"/>
      <c r="H411" s="136"/>
      <c r="I411" s="136"/>
      <c r="J411" s="127"/>
      <c r="K411" s="136"/>
      <c r="L411" s="136"/>
      <c r="N411" s="54"/>
      <c r="O411" s="54"/>
      <c r="P411" s="109"/>
      <c r="Q411" s="109"/>
      <c r="R411" s="109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K411" s="128"/>
    </row>
    <row r="412" spans="1:37" hidden="1">
      <c r="A412" s="136" t="s">
        <v>160</v>
      </c>
      <c r="B412" s="136"/>
      <c r="C412" s="136"/>
      <c r="D412" s="127"/>
      <c r="E412" s="127"/>
      <c r="F412" s="136"/>
      <c r="G412" s="127"/>
      <c r="H412" s="136"/>
      <c r="I412" s="136"/>
      <c r="J412" s="127"/>
      <c r="K412" s="136"/>
      <c r="L412" s="136"/>
      <c r="N412" s="54"/>
      <c r="O412" s="54"/>
      <c r="P412" s="109"/>
      <c r="Q412" s="109"/>
      <c r="R412" s="109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K412" s="128"/>
    </row>
    <row r="413" spans="1:37" hidden="1">
      <c r="A413" s="136"/>
      <c r="B413" s="136"/>
      <c r="C413" s="136"/>
      <c r="D413" s="127"/>
      <c r="E413" s="127"/>
      <c r="F413" s="136"/>
      <c r="G413" s="127"/>
      <c r="H413" s="136"/>
      <c r="I413" s="136"/>
      <c r="J413" s="127"/>
      <c r="K413" s="136"/>
      <c r="L413" s="136"/>
      <c r="N413" s="54"/>
      <c r="O413" s="54"/>
      <c r="P413" s="109"/>
      <c r="Q413" s="109"/>
      <c r="R413" s="109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K413" s="128"/>
    </row>
    <row r="414" spans="1:37" hidden="1">
      <c r="A414" s="136" t="s">
        <v>135</v>
      </c>
      <c r="B414" s="136"/>
      <c r="C414" s="205"/>
      <c r="D414" s="127"/>
      <c r="E414" s="127"/>
      <c r="F414" s="136"/>
      <c r="G414" s="127"/>
      <c r="H414" s="136"/>
      <c r="I414" s="136"/>
      <c r="J414" s="127"/>
      <c r="K414" s="136"/>
      <c r="L414" s="136"/>
      <c r="N414" s="54"/>
      <c r="O414" s="54"/>
      <c r="P414" s="109"/>
      <c r="Q414" s="109"/>
      <c r="R414" s="109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K414" s="128"/>
    </row>
    <row r="415" spans="1:37" hidden="1">
      <c r="A415" s="136" t="s">
        <v>162</v>
      </c>
      <c r="B415" s="136"/>
      <c r="C415" s="205">
        <v>516</v>
      </c>
      <c r="D415" s="172">
        <v>7.64</v>
      </c>
      <c r="E415" s="207"/>
      <c r="F415" s="127">
        <f>ROUND(D415*$C415,0)</f>
        <v>3942</v>
      </c>
      <c r="G415" s="172">
        <v>8.7100000000000009</v>
      </c>
      <c r="H415" s="209"/>
      <c r="I415" s="127">
        <f>ROUND(G415*$C415,0)</f>
        <v>4494</v>
      </c>
      <c r="J415" s="172">
        <f>$J$169</f>
        <v>9.61</v>
      </c>
      <c r="K415" s="209"/>
      <c r="L415" s="127">
        <f>ROUND(J415*$C415,0)</f>
        <v>4959</v>
      </c>
      <c r="N415" s="54"/>
      <c r="O415" s="54"/>
      <c r="P415" s="109"/>
      <c r="Q415" s="109"/>
      <c r="R415" s="109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K415" s="128"/>
    </row>
    <row r="416" spans="1:37" hidden="1">
      <c r="A416" s="136" t="s">
        <v>133</v>
      </c>
      <c r="B416" s="136"/>
      <c r="C416" s="205">
        <v>0</v>
      </c>
      <c r="D416" s="172">
        <v>11.36</v>
      </c>
      <c r="E416" s="210"/>
      <c r="F416" s="127">
        <f>ROUND(D416*$C416,0)</f>
        <v>0</v>
      </c>
      <c r="G416" s="172">
        <v>12.98</v>
      </c>
      <c r="H416" s="211"/>
      <c r="I416" s="127">
        <f t="shared" ref="I416:I417" si="63">ROUND(G416*$C416,0)</f>
        <v>0</v>
      </c>
      <c r="J416" s="172">
        <f>$J$170</f>
        <v>14.32</v>
      </c>
      <c r="K416" s="211"/>
      <c r="L416" s="127">
        <f>ROUND(J416*$C416,0)</f>
        <v>0</v>
      </c>
      <c r="N416" s="54"/>
      <c r="O416" s="54"/>
      <c r="P416" s="109"/>
      <c r="Q416" s="109"/>
      <c r="R416" s="109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K416" s="128"/>
    </row>
    <row r="417" spans="1:37" hidden="1">
      <c r="A417" s="136" t="s">
        <v>134</v>
      </c>
      <c r="B417" s="136"/>
      <c r="C417" s="205">
        <v>0</v>
      </c>
      <c r="D417" s="172">
        <v>0.81</v>
      </c>
      <c r="E417" s="210"/>
      <c r="F417" s="127">
        <f>ROUND(D417*$C417,0)</f>
        <v>0</v>
      </c>
      <c r="G417" s="172">
        <v>0.92</v>
      </c>
      <c r="H417" s="211"/>
      <c r="I417" s="127">
        <f t="shared" si="63"/>
        <v>0</v>
      </c>
      <c r="J417" s="172">
        <f>$J$171</f>
        <v>1.01</v>
      </c>
      <c r="K417" s="211"/>
      <c r="L417" s="127">
        <f>ROUND(J417*$C417,0)</f>
        <v>0</v>
      </c>
      <c r="N417" s="54"/>
      <c r="O417" s="54"/>
      <c r="P417" s="109"/>
      <c r="Q417" s="109"/>
      <c r="R417" s="109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K417" s="128"/>
    </row>
    <row r="418" spans="1:37" hidden="1">
      <c r="A418" s="136" t="s">
        <v>136</v>
      </c>
      <c r="B418" s="136"/>
      <c r="C418" s="205">
        <f>SUM(C415:C416)</f>
        <v>516</v>
      </c>
      <c r="D418" s="172"/>
      <c r="E418" s="207"/>
      <c r="F418" s="127"/>
      <c r="G418" s="172"/>
      <c r="H418" s="209"/>
      <c r="I418" s="127"/>
      <c r="J418" s="172"/>
      <c r="K418" s="209"/>
      <c r="L418" s="127"/>
      <c r="N418" s="54"/>
      <c r="O418" s="54"/>
      <c r="P418" s="109"/>
      <c r="Q418" s="109"/>
      <c r="R418" s="109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K418" s="128"/>
    </row>
    <row r="419" spans="1:37" hidden="1">
      <c r="A419" s="136" t="s">
        <v>100</v>
      </c>
      <c r="B419" s="136"/>
      <c r="C419" s="205">
        <v>48</v>
      </c>
      <c r="D419" s="172"/>
      <c r="E419" s="207"/>
      <c r="F419" s="127"/>
      <c r="G419" s="172"/>
      <c r="H419" s="209"/>
      <c r="I419" s="127"/>
      <c r="J419" s="172"/>
      <c r="K419" s="209"/>
      <c r="L419" s="127"/>
      <c r="N419" s="54"/>
      <c r="O419" s="54"/>
      <c r="P419" s="109"/>
      <c r="Q419" s="109"/>
      <c r="R419" s="109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K419" s="128"/>
    </row>
    <row r="420" spans="1:37" hidden="1">
      <c r="A420" s="136" t="s">
        <v>137</v>
      </c>
      <c r="B420" s="136"/>
      <c r="C420" s="205">
        <v>0</v>
      </c>
      <c r="D420" s="225">
        <v>2.98</v>
      </c>
      <c r="E420" s="209"/>
      <c r="F420" s="127">
        <f>ROUND(D420*$C420,0)</f>
        <v>0</v>
      </c>
      <c r="G420" s="225">
        <v>3.4</v>
      </c>
      <c r="H420" s="209"/>
      <c r="I420" s="127">
        <f>ROUND(G420*C420,0)</f>
        <v>0</v>
      </c>
      <c r="J420" s="225">
        <f>$J$174</f>
        <v>3.75</v>
      </c>
      <c r="K420" s="209"/>
      <c r="L420" s="127">
        <f>ROUND(J420*$C420,0)</f>
        <v>0</v>
      </c>
      <c r="N420" s="54"/>
      <c r="O420" s="54"/>
      <c r="P420" s="109"/>
      <c r="Q420" s="109"/>
      <c r="R420" s="109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K420" s="128"/>
    </row>
    <row r="421" spans="1:37" hidden="1">
      <c r="A421" s="136" t="s">
        <v>138</v>
      </c>
      <c r="B421" s="136"/>
      <c r="C421" s="205">
        <f>33313</f>
        <v>33313</v>
      </c>
      <c r="D421" s="135">
        <v>8.5489999999999995</v>
      </c>
      <c r="E421" s="209" t="s">
        <v>99</v>
      </c>
      <c r="F421" s="127">
        <f>ROUND(D421*$C421/100,0)</f>
        <v>2848</v>
      </c>
      <c r="G421" s="135">
        <v>9.766</v>
      </c>
      <c r="H421" s="209" t="s">
        <v>99</v>
      </c>
      <c r="I421" s="127">
        <f>ROUND(G421*C421/100,0)</f>
        <v>3253</v>
      </c>
      <c r="J421" s="135">
        <f>$J$175</f>
        <v>6.3540000000000001</v>
      </c>
      <c r="K421" s="209" t="s">
        <v>99</v>
      </c>
      <c r="L421" s="127">
        <f>ROUND(J421*$C421/100,0)</f>
        <v>2117</v>
      </c>
      <c r="N421" s="54"/>
      <c r="O421" s="54"/>
      <c r="P421" s="109"/>
      <c r="Q421" s="109"/>
      <c r="R421" s="109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K421" s="128"/>
    </row>
    <row r="422" spans="1:37" hidden="1">
      <c r="A422" s="136" t="s">
        <v>139</v>
      </c>
      <c r="B422" s="136"/>
      <c r="C422" s="205">
        <v>0</v>
      </c>
      <c r="D422" s="135">
        <v>5.9020000000000001</v>
      </c>
      <c r="E422" s="209" t="s">
        <v>99</v>
      </c>
      <c r="F422" s="127">
        <f>ROUND(D422*$C422/100,0)</f>
        <v>0</v>
      </c>
      <c r="G422" s="135">
        <v>6.7460000000000004</v>
      </c>
      <c r="H422" s="209" t="s">
        <v>99</v>
      </c>
      <c r="I422" s="127">
        <f t="shared" ref="I422:I424" si="64">ROUND(G422*C422/100,0)</f>
        <v>0</v>
      </c>
      <c r="J422" s="135">
        <f>$J$176</f>
        <v>4.3890000000000002</v>
      </c>
      <c r="K422" s="209" t="s">
        <v>99</v>
      </c>
      <c r="L422" s="127">
        <f>ROUND(J422*$C422/100,0)</f>
        <v>0</v>
      </c>
      <c r="N422" s="54"/>
      <c r="O422" s="54"/>
      <c r="P422" s="109"/>
      <c r="Q422" s="109"/>
      <c r="R422" s="109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K422" s="128"/>
    </row>
    <row r="423" spans="1:37" hidden="1">
      <c r="A423" s="136" t="s">
        <v>140</v>
      </c>
      <c r="B423" s="136"/>
      <c r="C423" s="205">
        <v>0</v>
      </c>
      <c r="D423" s="135">
        <v>5.0839999999999996</v>
      </c>
      <c r="E423" s="209" t="s">
        <v>99</v>
      </c>
      <c r="F423" s="127">
        <f>ROUND(D423*$C423/100,0)</f>
        <v>0</v>
      </c>
      <c r="G423" s="135">
        <v>5.8120000000000003</v>
      </c>
      <c r="H423" s="209" t="s">
        <v>99</v>
      </c>
      <c r="I423" s="127">
        <f t="shared" si="64"/>
        <v>0</v>
      </c>
      <c r="J423" s="135">
        <f>$J$177</f>
        <v>3.782</v>
      </c>
      <c r="K423" s="209" t="s">
        <v>99</v>
      </c>
      <c r="L423" s="127">
        <f>ROUND(J423*$C423/100,0)</f>
        <v>0</v>
      </c>
      <c r="N423" s="54"/>
      <c r="O423" s="54"/>
      <c r="P423" s="109"/>
      <c r="Q423" s="109"/>
      <c r="R423" s="109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K423" s="128"/>
    </row>
    <row r="424" spans="1:37" hidden="1">
      <c r="A424" s="136" t="s">
        <v>141</v>
      </c>
      <c r="B424" s="136"/>
      <c r="C424" s="205">
        <v>0</v>
      </c>
      <c r="D424" s="215">
        <v>50</v>
      </c>
      <c r="E424" s="207" t="s">
        <v>99</v>
      </c>
      <c r="F424" s="127">
        <f>ROUND(D424*$C424/100,0)</f>
        <v>0</v>
      </c>
      <c r="G424" s="215">
        <v>56</v>
      </c>
      <c r="H424" s="209" t="s">
        <v>99</v>
      </c>
      <c r="I424" s="127">
        <f t="shared" si="64"/>
        <v>0</v>
      </c>
      <c r="J424" s="215">
        <f>$J$178</f>
        <v>62</v>
      </c>
      <c r="K424" s="209" t="s">
        <v>99</v>
      </c>
      <c r="L424" s="127">
        <f>ROUND(J424*$C424/100,0)</f>
        <v>0</v>
      </c>
      <c r="N424" s="54"/>
      <c r="O424" s="54"/>
      <c r="P424" s="109"/>
      <c r="Q424" s="109"/>
      <c r="R424" s="109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K424" s="128"/>
    </row>
    <row r="425" spans="1:37" hidden="1">
      <c r="A425" s="134" t="s">
        <v>142</v>
      </c>
      <c r="C425" s="125">
        <f>C421</f>
        <v>33313</v>
      </c>
      <c r="D425" s="133"/>
      <c r="E425" s="54"/>
      <c r="F425" s="127"/>
      <c r="G425" s="133"/>
      <c r="H425" s="54"/>
      <c r="I425" s="127"/>
      <c r="J425" s="135">
        <f>J179</f>
        <v>4.42</v>
      </c>
      <c r="K425" s="209" t="s">
        <v>99</v>
      </c>
      <c r="L425" s="127">
        <f t="shared" ref="L425:L427" si="65">ROUND(J425*$C425/100,0)</f>
        <v>1472</v>
      </c>
      <c r="N425" s="128"/>
      <c r="P425" s="93"/>
      <c r="Q425" s="108"/>
      <c r="R425" s="108"/>
      <c r="S425" s="129"/>
      <c r="T425" s="129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K425" s="128"/>
    </row>
    <row r="426" spans="1:37" hidden="1">
      <c r="A426" s="134" t="s">
        <v>143</v>
      </c>
      <c r="C426" s="125">
        <f>C422</f>
        <v>0</v>
      </c>
      <c r="D426" s="133"/>
      <c r="E426" s="54"/>
      <c r="F426" s="127"/>
      <c r="G426" s="133"/>
      <c r="H426" s="54"/>
      <c r="I426" s="127"/>
      <c r="J426" s="135">
        <f>J180</f>
        <v>3.0529999999999999</v>
      </c>
      <c r="K426" s="209" t="s">
        <v>99</v>
      </c>
      <c r="L426" s="127">
        <f t="shared" si="65"/>
        <v>0</v>
      </c>
      <c r="N426" s="128"/>
      <c r="P426" s="93"/>
      <c r="Q426" s="108"/>
      <c r="R426" s="108"/>
      <c r="S426" s="129"/>
      <c r="T426" s="129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K426" s="128"/>
    </row>
    <row r="427" spans="1:37" hidden="1">
      <c r="A427" s="134" t="s">
        <v>144</v>
      </c>
      <c r="C427" s="125">
        <f>C423</f>
        <v>0</v>
      </c>
      <c r="D427" s="133"/>
      <c r="E427" s="54"/>
      <c r="F427" s="127"/>
      <c r="G427" s="133"/>
      <c r="H427" s="54"/>
      <c r="I427" s="127"/>
      <c r="J427" s="135">
        <f>J181</f>
        <v>2.63</v>
      </c>
      <c r="K427" s="209" t="s">
        <v>99</v>
      </c>
      <c r="L427" s="127">
        <f t="shared" si="65"/>
        <v>0</v>
      </c>
      <c r="N427" s="128"/>
      <c r="P427" s="93"/>
      <c r="Q427" s="108"/>
      <c r="R427" s="108"/>
      <c r="S427" s="129"/>
      <c r="T427" s="129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K427" s="128"/>
    </row>
    <row r="428" spans="1:37" hidden="1">
      <c r="A428" s="219" t="s">
        <v>148</v>
      </c>
      <c r="B428" s="136"/>
      <c r="C428" s="205"/>
      <c r="D428" s="220">
        <v>-0.01</v>
      </c>
      <c r="E428" s="207"/>
      <c r="F428" s="127"/>
      <c r="G428" s="220">
        <v>-0.01</v>
      </c>
      <c r="H428" s="209"/>
      <c r="I428" s="127"/>
      <c r="J428" s="220">
        <v>-0.01</v>
      </c>
      <c r="K428" s="209"/>
      <c r="L428" s="127"/>
      <c r="N428" s="54"/>
      <c r="O428" s="54"/>
      <c r="P428" s="109"/>
      <c r="Q428" s="109"/>
      <c r="R428" s="109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K428" s="128"/>
    </row>
    <row r="429" spans="1:37" hidden="1">
      <c r="A429" s="136" t="s">
        <v>132</v>
      </c>
      <c r="B429" s="136"/>
      <c r="C429" s="205">
        <v>0</v>
      </c>
      <c r="D429" s="222">
        <v>7.64</v>
      </c>
      <c r="E429" s="207"/>
      <c r="F429" s="127">
        <f>-ROUND(D429*$C429/100,0)</f>
        <v>0</v>
      </c>
      <c r="G429" s="222">
        <v>8.7100000000000009</v>
      </c>
      <c r="H429" s="207"/>
      <c r="I429" s="127">
        <f>-ROUND(G429*$C429/100,0)</f>
        <v>0</v>
      </c>
      <c r="J429" s="222">
        <f>J415</f>
        <v>9.61</v>
      </c>
      <c r="K429" s="207"/>
      <c r="L429" s="127">
        <f>-ROUND(J429*$C429/100,0)</f>
        <v>0</v>
      </c>
      <c r="N429" s="54"/>
      <c r="O429" s="54"/>
      <c r="P429" s="109"/>
      <c r="Q429" s="109"/>
      <c r="R429" s="109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K429" s="128"/>
    </row>
    <row r="430" spans="1:37" hidden="1">
      <c r="A430" s="136" t="s">
        <v>133</v>
      </c>
      <c r="B430" s="136"/>
      <c r="C430" s="205">
        <v>0</v>
      </c>
      <c r="D430" s="222">
        <v>11.36</v>
      </c>
      <c r="E430" s="207"/>
      <c r="F430" s="127">
        <f>-ROUND(D430*$C430/100,0)</f>
        <v>0</v>
      </c>
      <c r="G430" s="222">
        <v>12.98</v>
      </c>
      <c r="H430" s="207"/>
      <c r="I430" s="127">
        <f t="shared" ref="I430:I432" si="66">-ROUND(G430*$C430/100,0)</f>
        <v>0</v>
      </c>
      <c r="J430" s="222">
        <f>J416</f>
        <v>14.32</v>
      </c>
      <c r="K430" s="207"/>
      <c r="L430" s="127">
        <f>-ROUND(J430*$C430/100,0)</f>
        <v>0</v>
      </c>
      <c r="N430" s="54"/>
      <c r="O430" s="54"/>
      <c r="P430" s="109"/>
      <c r="Q430" s="109"/>
      <c r="R430" s="109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K430" s="128"/>
    </row>
    <row r="431" spans="1:37" hidden="1">
      <c r="A431" s="136" t="s">
        <v>149</v>
      </c>
      <c r="B431" s="136"/>
      <c r="C431" s="205">
        <v>0</v>
      </c>
      <c r="D431" s="222">
        <v>0.81</v>
      </c>
      <c r="E431" s="207"/>
      <c r="F431" s="127">
        <f>-ROUND(D431*$C431/100,0)</f>
        <v>0</v>
      </c>
      <c r="G431" s="222">
        <v>0.92</v>
      </c>
      <c r="H431" s="207"/>
      <c r="I431" s="127">
        <f t="shared" si="66"/>
        <v>0</v>
      </c>
      <c r="J431" s="222">
        <f>J417</f>
        <v>1.01</v>
      </c>
      <c r="K431" s="207"/>
      <c r="L431" s="127">
        <f>-ROUND(J431*$C431/100,0)</f>
        <v>0</v>
      </c>
      <c r="N431" s="54"/>
      <c r="O431" s="54"/>
      <c r="P431" s="109"/>
      <c r="Q431" s="109"/>
      <c r="R431" s="109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K431" s="128"/>
    </row>
    <row r="432" spans="1:37" hidden="1">
      <c r="A432" s="136" t="s">
        <v>150</v>
      </c>
      <c r="B432" s="136"/>
      <c r="C432" s="205">
        <v>0</v>
      </c>
      <c r="D432" s="222">
        <v>2.98</v>
      </c>
      <c r="E432" s="209"/>
      <c r="F432" s="127">
        <f>-ROUND(D432*$C432/100,0)</f>
        <v>0</v>
      </c>
      <c r="G432" s="222">
        <v>3.4</v>
      </c>
      <c r="H432" s="209"/>
      <c r="I432" s="127">
        <f t="shared" si="66"/>
        <v>0</v>
      </c>
      <c r="J432" s="222">
        <f>J420</f>
        <v>3.75</v>
      </c>
      <c r="K432" s="209"/>
      <c r="L432" s="127">
        <f>-ROUND(J432*$C432/100,0)</f>
        <v>0</v>
      </c>
      <c r="N432" s="54"/>
      <c r="O432" s="54"/>
      <c r="P432" s="109"/>
      <c r="Q432" s="109"/>
      <c r="R432" s="109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K432" s="128"/>
    </row>
    <row r="433" spans="1:37" hidden="1">
      <c r="A433" s="136" t="s">
        <v>151</v>
      </c>
      <c r="B433" s="136"/>
      <c r="C433" s="205">
        <v>0</v>
      </c>
      <c r="D433" s="223">
        <v>8.5489999999999995</v>
      </c>
      <c r="E433" s="209" t="s">
        <v>99</v>
      </c>
      <c r="F433" s="127">
        <f>ROUND(D433*$C433/100*D428,0)</f>
        <v>0</v>
      </c>
      <c r="G433" s="223">
        <v>9.766</v>
      </c>
      <c r="H433" s="209" t="s">
        <v>99</v>
      </c>
      <c r="I433" s="127">
        <f>ROUND(G433*$C433/100*G428,0)</f>
        <v>0</v>
      </c>
      <c r="J433" s="223">
        <f>J421</f>
        <v>6.3540000000000001</v>
      </c>
      <c r="K433" s="209" t="s">
        <v>99</v>
      </c>
      <c r="L433" s="127">
        <f>ROUND(J433*$C433/100*J428,0)</f>
        <v>0</v>
      </c>
      <c r="N433" s="54"/>
      <c r="O433" s="54"/>
      <c r="P433" s="109"/>
      <c r="Q433" s="109"/>
      <c r="R433" s="109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K433" s="128"/>
    </row>
    <row r="434" spans="1:37" hidden="1">
      <c r="A434" s="136" t="s">
        <v>139</v>
      </c>
      <c r="B434" s="136"/>
      <c r="C434" s="205">
        <v>0</v>
      </c>
      <c r="D434" s="223">
        <v>5.9020000000000001</v>
      </c>
      <c r="E434" s="209" t="s">
        <v>99</v>
      </c>
      <c r="F434" s="127">
        <f>ROUND(D434*$C434/100*D428,0)</f>
        <v>0</v>
      </c>
      <c r="G434" s="223">
        <v>6.7460000000000004</v>
      </c>
      <c r="H434" s="209" t="s">
        <v>99</v>
      </c>
      <c r="I434" s="127">
        <f>ROUND(G434*$C434/100*G428,0)</f>
        <v>0</v>
      </c>
      <c r="J434" s="223">
        <f>J422</f>
        <v>4.3890000000000002</v>
      </c>
      <c r="K434" s="209" t="s">
        <v>99</v>
      </c>
      <c r="L434" s="127">
        <f>ROUND(J434*$C434/100*J428,0)</f>
        <v>0</v>
      </c>
      <c r="N434" s="54"/>
      <c r="O434" s="54"/>
      <c r="P434" s="109"/>
      <c r="Q434" s="109"/>
      <c r="R434" s="109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K434" s="128"/>
    </row>
    <row r="435" spans="1:37" hidden="1">
      <c r="A435" s="136" t="s">
        <v>140</v>
      </c>
      <c r="B435" s="136"/>
      <c r="C435" s="205">
        <v>0</v>
      </c>
      <c r="D435" s="223">
        <v>5.0839999999999996</v>
      </c>
      <c r="E435" s="209" t="s">
        <v>99</v>
      </c>
      <c r="F435" s="127">
        <f>ROUND(D435*$C435/100*D428,0)</f>
        <v>0</v>
      </c>
      <c r="G435" s="223">
        <v>5.8120000000000003</v>
      </c>
      <c r="H435" s="209" t="s">
        <v>99</v>
      </c>
      <c r="I435" s="127">
        <f>ROUND(G435*$C435/100*G428,0)</f>
        <v>0</v>
      </c>
      <c r="J435" s="223">
        <f>J423</f>
        <v>3.782</v>
      </c>
      <c r="K435" s="209" t="s">
        <v>99</v>
      </c>
      <c r="L435" s="127">
        <f>ROUND(J435*$C435/100*J428,0)</f>
        <v>0</v>
      </c>
      <c r="N435" s="54"/>
      <c r="O435" s="54"/>
      <c r="P435" s="109"/>
      <c r="Q435" s="109"/>
      <c r="R435" s="109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K435" s="128"/>
    </row>
    <row r="436" spans="1:37" hidden="1">
      <c r="A436" s="136" t="s">
        <v>141</v>
      </c>
      <c r="B436" s="136"/>
      <c r="C436" s="205">
        <v>0</v>
      </c>
      <c r="D436" s="224">
        <v>50</v>
      </c>
      <c r="E436" s="209" t="s">
        <v>99</v>
      </c>
      <c r="F436" s="127">
        <f>ROUND(D436*$C436/100*D428,0)</f>
        <v>0</v>
      </c>
      <c r="G436" s="224">
        <v>56</v>
      </c>
      <c r="H436" s="209" t="s">
        <v>99</v>
      </c>
      <c r="I436" s="127">
        <f>ROUND(G436*$C436/100*G428,0)</f>
        <v>0</v>
      </c>
      <c r="J436" s="224">
        <f>J424</f>
        <v>62</v>
      </c>
      <c r="K436" s="209" t="s">
        <v>99</v>
      </c>
      <c r="L436" s="127">
        <f>ROUND(J436*$C436/100*J428,0)</f>
        <v>0</v>
      </c>
      <c r="N436" s="54"/>
      <c r="O436" s="54"/>
      <c r="P436" s="109"/>
      <c r="Q436" s="109"/>
      <c r="R436" s="109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K436" s="128"/>
    </row>
    <row r="437" spans="1:37" hidden="1">
      <c r="A437" s="136" t="s">
        <v>152</v>
      </c>
      <c r="B437" s="136"/>
      <c r="C437" s="205">
        <v>0</v>
      </c>
      <c r="D437" s="225">
        <v>60</v>
      </c>
      <c r="E437" s="207"/>
      <c r="F437" s="127">
        <f>ROUND(D437*$C437,0)</f>
        <v>0</v>
      </c>
      <c r="G437" s="225">
        <v>60</v>
      </c>
      <c r="H437" s="209"/>
      <c r="I437" s="127">
        <f>ROUND(G437*C437,0)</f>
        <v>0</v>
      </c>
      <c r="J437" s="225">
        <f>$J$194</f>
        <v>60</v>
      </c>
      <c r="K437" s="209"/>
      <c r="L437" s="127">
        <f>ROUND(J437*$C437,0)</f>
        <v>0</v>
      </c>
      <c r="N437" s="54"/>
      <c r="O437" s="54"/>
      <c r="P437" s="109"/>
      <c r="Q437" s="109"/>
      <c r="R437" s="109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K437" s="128"/>
    </row>
    <row r="438" spans="1:37" hidden="1">
      <c r="A438" s="136" t="s">
        <v>153</v>
      </c>
      <c r="B438" s="136"/>
      <c r="C438" s="205">
        <v>0</v>
      </c>
      <c r="D438" s="226">
        <v>-30</v>
      </c>
      <c r="E438" s="207" t="s">
        <v>99</v>
      </c>
      <c r="F438" s="127">
        <f>ROUND(D438*$C438/100,0)</f>
        <v>0</v>
      </c>
      <c r="G438" s="226">
        <v>-30</v>
      </c>
      <c r="H438" s="209" t="s">
        <v>99</v>
      </c>
      <c r="I438" s="127">
        <f>ROUND(G438*C438/100,0)</f>
        <v>0</v>
      </c>
      <c r="J438" s="226">
        <f>$J$195</f>
        <v>-30</v>
      </c>
      <c r="K438" s="209" t="s">
        <v>99</v>
      </c>
      <c r="L438" s="127">
        <f>ROUND(J438*$C438/100,0)</f>
        <v>0</v>
      </c>
      <c r="N438" s="54"/>
      <c r="O438" s="54"/>
      <c r="P438" s="109"/>
      <c r="Q438" s="109"/>
      <c r="R438" s="109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K438" s="128"/>
    </row>
    <row r="439" spans="1:37" hidden="1">
      <c r="A439" s="134" t="s">
        <v>142</v>
      </c>
      <c r="C439" s="125">
        <f>C433</f>
        <v>0</v>
      </c>
      <c r="D439" s="133"/>
      <c r="E439" s="54"/>
      <c r="F439" s="127"/>
      <c r="G439" s="133"/>
      <c r="H439" s="54"/>
      <c r="I439" s="127"/>
      <c r="J439" s="135">
        <f>J179</f>
        <v>4.42</v>
      </c>
      <c r="K439" s="209" t="s">
        <v>99</v>
      </c>
      <c r="L439" s="127">
        <f t="shared" ref="L439:L441" si="67">ROUND(J439*$C439/100,0)</f>
        <v>0</v>
      </c>
      <c r="N439" s="128"/>
      <c r="P439" s="93"/>
      <c r="Q439" s="108"/>
      <c r="R439" s="108"/>
      <c r="S439" s="129"/>
      <c r="T439" s="129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K439" s="128"/>
    </row>
    <row r="440" spans="1:37" hidden="1">
      <c r="A440" s="134" t="s">
        <v>143</v>
      </c>
      <c r="C440" s="125">
        <f>C434</f>
        <v>0</v>
      </c>
      <c r="D440" s="133"/>
      <c r="E440" s="54"/>
      <c r="F440" s="127"/>
      <c r="G440" s="133"/>
      <c r="H440" s="54"/>
      <c r="I440" s="127"/>
      <c r="J440" s="135">
        <f>J180</f>
        <v>3.0529999999999999</v>
      </c>
      <c r="K440" s="209" t="s">
        <v>99</v>
      </c>
      <c r="L440" s="127">
        <f t="shared" si="67"/>
        <v>0</v>
      </c>
      <c r="N440" s="128"/>
      <c r="P440" s="93"/>
      <c r="Q440" s="108"/>
      <c r="R440" s="108"/>
      <c r="S440" s="129"/>
      <c r="T440" s="129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K440" s="128"/>
    </row>
    <row r="441" spans="1:37" hidden="1">
      <c r="A441" s="134" t="s">
        <v>144</v>
      </c>
      <c r="C441" s="125">
        <f>C435</f>
        <v>0</v>
      </c>
      <c r="D441" s="133"/>
      <c r="E441" s="54"/>
      <c r="F441" s="127"/>
      <c r="G441" s="133"/>
      <c r="H441" s="54"/>
      <c r="I441" s="127"/>
      <c r="J441" s="135">
        <f>J181</f>
        <v>2.63</v>
      </c>
      <c r="K441" s="209" t="s">
        <v>99</v>
      </c>
      <c r="L441" s="127">
        <f t="shared" si="67"/>
        <v>0</v>
      </c>
      <c r="N441" s="128"/>
      <c r="P441" s="93"/>
      <c r="Q441" s="108"/>
      <c r="R441" s="108"/>
      <c r="S441" s="129"/>
      <c r="T441" s="129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K441" s="128"/>
    </row>
    <row r="442" spans="1:37" hidden="1">
      <c r="A442" s="136" t="s">
        <v>122</v>
      </c>
      <c r="B442" s="136"/>
      <c r="C442" s="205">
        <f>SUM(C421:C423)</f>
        <v>33313</v>
      </c>
      <c r="D442" s="215"/>
      <c r="E442" s="127"/>
      <c r="F442" s="127">
        <f>SUM(F415:F438)</f>
        <v>6790</v>
      </c>
      <c r="G442" s="215"/>
      <c r="H442" s="209"/>
      <c r="I442" s="127">
        <f>SUM(I415:I438)</f>
        <v>7747</v>
      </c>
      <c r="J442" s="215"/>
      <c r="K442" s="209"/>
      <c r="L442" s="127">
        <f>SUM(L415:L441)</f>
        <v>8548</v>
      </c>
      <c r="N442" s="54"/>
      <c r="O442" s="54"/>
      <c r="P442" s="109"/>
      <c r="Q442" s="109"/>
      <c r="R442" s="109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K442" s="128"/>
    </row>
    <row r="443" spans="1:37" hidden="1">
      <c r="A443" s="136" t="s">
        <v>102</v>
      </c>
      <c r="B443" s="136"/>
      <c r="C443" s="246">
        <v>457.04356388458245</v>
      </c>
      <c r="D443" s="149"/>
      <c r="E443" s="149"/>
      <c r="F443" s="229" t="e">
        <f>#REF!</f>
        <v>#REF!</v>
      </c>
      <c r="G443" s="149"/>
      <c r="H443" s="149"/>
      <c r="I443" s="229">
        <v>125.2739508222905</v>
      </c>
      <c r="J443" s="149"/>
      <c r="K443" s="149"/>
      <c r="L443" s="229">
        <f>I443</f>
        <v>125.2739508222905</v>
      </c>
      <c r="N443" s="164"/>
      <c r="O443" s="164"/>
      <c r="P443" s="162"/>
      <c r="Q443" s="109"/>
      <c r="R443" s="109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K443" s="128"/>
    </row>
    <row r="444" spans="1:37" ht="16.5" hidden="1" thickBot="1">
      <c r="A444" s="136" t="s">
        <v>123</v>
      </c>
      <c r="B444" s="136"/>
      <c r="C444" s="193">
        <f>SUM(C442:C443)</f>
        <v>33770.043563884581</v>
      </c>
      <c r="D444" s="231"/>
      <c r="E444" s="232"/>
      <c r="F444" s="233" t="e">
        <f>F442+F443</f>
        <v>#REF!</v>
      </c>
      <c r="G444" s="231"/>
      <c r="H444" s="235"/>
      <c r="I444" s="233">
        <f>I442+I443</f>
        <v>7872.2739508222903</v>
      </c>
      <c r="J444" s="231"/>
      <c r="K444" s="235"/>
      <c r="L444" s="233">
        <f>L442+L443</f>
        <v>8673.2739508222912</v>
      </c>
      <c r="N444" s="165"/>
      <c r="O444" s="165"/>
      <c r="P444" s="166"/>
      <c r="Q444" s="109"/>
      <c r="R444" s="109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K444" s="128"/>
    </row>
    <row r="445" spans="1:37" hidden="1">
      <c r="A445" s="136"/>
      <c r="B445" s="136"/>
      <c r="C445" s="168"/>
      <c r="D445" s="225"/>
      <c r="E445" s="127"/>
      <c r="F445" s="127"/>
      <c r="G445" s="225" t="s">
        <v>0</v>
      </c>
      <c r="H445" s="136"/>
      <c r="I445" s="127"/>
      <c r="J445" s="251" t="s">
        <v>0</v>
      </c>
      <c r="K445" s="136"/>
      <c r="L445" s="127" t="s">
        <v>0</v>
      </c>
      <c r="N445" s="54"/>
      <c r="O445" s="54"/>
      <c r="P445" s="109"/>
      <c r="Q445" s="109"/>
      <c r="R445" s="109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K445" s="128"/>
    </row>
    <row r="446" spans="1:37" hidden="1">
      <c r="A446" s="136"/>
      <c r="B446" s="136"/>
      <c r="C446" s="168"/>
      <c r="D446" s="225"/>
      <c r="E446" s="127"/>
      <c r="F446" s="127"/>
      <c r="G446" s="225" t="s">
        <v>0</v>
      </c>
      <c r="H446" s="136"/>
      <c r="I446" s="127"/>
      <c r="J446" s="251" t="s">
        <v>0</v>
      </c>
      <c r="K446" s="136"/>
      <c r="L446" s="127" t="s">
        <v>0</v>
      </c>
      <c r="N446" s="54"/>
      <c r="O446" s="54"/>
      <c r="P446" s="109"/>
      <c r="Q446" s="109"/>
      <c r="R446" s="109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K446" s="128"/>
    </row>
    <row r="447" spans="1:37" hidden="1">
      <c r="A447" s="167" t="s">
        <v>163</v>
      </c>
      <c r="B447" s="136"/>
      <c r="C447" s="136"/>
      <c r="D447" s="127"/>
      <c r="E447" s="127"/>
      <c r="F447" s="136" t="s">
        <v>0</v>
      </c>
      <c r="G447" s="127"/>
      <c r="H447" s="136"/>
      <c r="I447" s="136"/>
      <c r="J447" s="127"/>
      <c r="K447" s="136"/>
      <c r="L447" s="136"/>
      <c r="N447" s="54"/>
      <c r="O447" s="54"/>
      <c r="P447" s="109"/>
      <c r="Q447" s="109"/>
      <c r="R447" s="109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K447" s="128"/>
    </row>
    <row r="448" spans="1:37" hidden="1">
      <c r="A448" s="136" t="s">
        <v>155</v>
      </c>
      <c r="B448" s="136"/>
      <c r="C448" s="136"/>
      <c r="D448" s="127"/>
      <c r="E448" s="127"/>
      <c r="F448" s="136"/>
      <c r="G448" s="127"/>
      <c r="H448" s="136"/>
      <c r="I448" s="136"/>
      <c r="J448" s="127"/>
      <c r="K448" s="136"/>
      <c r="L448" s="136"/>
      <c r="N448" s="54"/>
      <c r="O448" s="54"/>
      <c r="P448" s="109"/>
      <c r="Q448" s="109"/>
      <c r="R448" s="109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</row>
    <row r="449" spans="1:37" hidden="1">
      <c r="A449" s="136" t="s">
        <v>164</v>
      </c>
      <c r="B449" s="136"/>
      <c r="C449" s="136"/>
      <c r="D449" s="127"/>
      <c r="E449" s="127"/>
      <c r="F449" s="136"/>
      <c r="G449" s="127"/>
      <c r="H449" s="136"/>
      <c r="I449" s="136"/>
      <c r="J449" s="127"/>
      <c r="K449" s="136"/>
      <c r="L449" s="136"/>
      <c r="N449" s="54"/>
      <c r="O449" s="54"/>
      <c r="P449" s="109"/>
      <c r="Q449" s="109"/>
      <c r="R449" s="109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</row>
    <row r="450" spans="1:37" hidden="1">
      <c r="A450" s="136" t="s">
        <v>135</v>
      </c>
      <c r="B450" s="136"/>
      <c r="C450" s="205"/>
      <c r="D450" s="127"/>
      <c r="E450" s="127"/>
      <c r="F450" s="136"/>
      <c r="G450" s="127"/>
      <c r="H450" s="136"/>
      <c r="I450" s="136"/>
      <c r="J450" s="127"/>
      <c r="K450" s="136"/>
      <c r="L450" s="136"/>
      <c r="N450" s="54"/>
      <c r="O450" s="54"/>
      <c r="P450" s="109"/>
      <c r="Q450" s="109"/>
      <c r="R450" s="109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</row>
    <row r="451" spans="1:37" hidden="1">
      <c r="A451" s="136" t="s">
        <v>132</v>
      </c>
      <c r="B451" s="136"/>
      <c r="C451" s="205">
        <f t="shared" ref="C451:C463" si="68">C486+C521</f>
        <v>1</v>
      </c>
      <c r="D451" s="172">
        <v>91.679999999999993</v>
      </c>
      <c r="E451" s="207"/>
      <c r="F451" s="127">
        <f>F486+F521</f>
        <v>92</v>
      </c>
      <c r="G451" s="172">
        <v>104.52000000000001</v>
      </c>
      <c r="H451" s="209"/>
      <c r="I451" s="127">
        <f>I486+I521</f>
        <v>105</v>
      </c>
      <c r="J451" s="172">
        <f>$J$165</f>
        <v>115.32</v>
      </c>
      <c r="K451" s="209"/>
      <c r="L451" s="127">
        <f>L486+L521</f>
        <v>115</v>
      </c>
      <c r="N451" s="54"/>
      <c r="O451" s="54"/>
      <c r="P451" s="109"/>
      <c r="Q451" s="109"/>
      <c r="R451" s="109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</row>
    <row r="452" spans="1:37" hidden="1">
      <c r="A452" s="136" t="s">
        <v>133</v>
      </c>
      <c r="B452" s="136"/>
      <c r="C452" s="205">
        <f t="shared" si="68"/>
        <v>88.747945205479496</v>
      </c>
      <c r="D452" s="172">
        <v>136.32</v>
      </c>
      <c r="E452" s="210"/>
      <c r="F452" s="127">
        <f>F487+F522</f>
        <v>12098</v>
      </c>
      <c r="G452" s="172">
        <v>155.76</v>
      </c>
      <c r="H452" s="211"/>
      <c r="I452" s="127">
        <f>I487+I522</f>
        <v>13824</v>
      </c>
      <c r="J452" s="172">
        <f>$J$166</f>
        <v>171.84</v>
      </c>
      <c r="K452" s="211"/>
      <c r="L452" s="127">
        <f>L487+L522</f>
        <v>15251</v>
      </c>
      <c r="N452" s="54"/>
      <c r="O452" s="54"/>
      <c r="P452" s="109"/>
      <c r="Q452" s="109"/>
      <c r="R452" s="109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</row>
    <row r="453" spans="1:37" hidden="1">
      <c r="A453" s="136" t="s">
        <v>134</v>
      </c>
      <c r="B453" s="136"/>
      <c r="C453" s="205">
        <f t="shared" si="68"/>
        <v>3368.9150684931501</v>
      </c>
      <c r="D453" s="172">
        <v>9.66</v>
      </c>
      <c r="E453" s="210"/>
      <c r="F453" s="127">
        <f>F488+F523</f>
        <v>32544</v>
      </c>
      <c r="G453" s="172">
        <v>11.040000000000001</v>
      </c>
      <c r="H453" s="211"/>
      <c r="I453" s="127">
        <f>I488+I523</f>
        <v>37193</v>
      </c>
      <c r="J453" s="172">
        <f>$J$167</f>
        <v>12.120000000000001</v>
      </c>
      <c r="K453" s="211"/>
      <c r="L453" s="127">
        <f>L488+L523</f>
        <v>40831</v>
      </c>
      <c r="N453" s="54"/>
      <c r="O453" s="54"/>
      <c r="P453" s="109"/>
      <c r="Q453" s="109"/>
      <c r="R453" s="109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</row>
    <row r="454" spans="1:37" hidden="1">
      <c r="A454" s="136" t="s">
        <v>136</v>
      </c>
      <c r="B454" s="136"/>
      <c r="C454" s="205">
        <f t="shared" si="68"/>
        <v>89.747945205479496</v>
      </c>
      <c r="D454" s="172"/>
      <c r="E454" s="207"/>
      <c r="F454" s="127"/>
      <c r="G454" s="172"/>
      <c r="H454" s="209"/>
      <c r="I454" s="127"/>
      <c r="J454" s="172"/>
      <c r="K454" s="209"/>
      <c r="L454" s="127"/>
      <c r="N454" s="54"/>
      <c r="O454" s="54"/>
      <c r="P454" s="109"/>
      <c r="Q454" s="109"/>
      <c r="R454" s="109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</row>
    <row r="455" spans="1:37" hidden="1">
      <c r="A455" s="136" t="s">
        <v>165</v>
      </c>
      <c r="B455" s="136"/>
      <c r="C455" s="205">
        <f t="shared" si="68"/>
        <v>1055</v>
      </c>
      <c r="D455" s="172"/>
      <c r="E455" s="207"/>
      <c r="F455" s="127"/>
      <c r="G455" s="172"/>
      <c r="H455" s="209"/>
      <c r="I455" s="127"/>
      <c r="J455" s="172"/>
      <c r="K455" s="209"/>
      <c r="L455" s="127"/>
      <c r="N455" s="54"/>
      <c r="O455" s="54"/>
      <c r="P455" s="109"/>
      <c r="Q455" s="109"/>
      <c r="R455" s="109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</row>
    <row r="456" spans="1:37" hidden="1">
      <c r="A456" s="136" t="s">
        <v>137</v>
      </c>
      <c r="B456" s="136"/>
      <c r="C456" s="205">
        <f t="shared" si="68"/>
        <v>12896</v>
      </c>
      <c r="D456" s="225">
        <v>2.98</v>
      </c>
      <c r="E456" s="209"/>
      <c r="F456" s="127">
        <f>F491+F526</f>
        <v>38430</v>
      </c>
      <c r="G456" s="225">
        <v>3.4</v>
      </c>
      <c r="H456" s="209"/>
      <c r="I456" s="127">
        <f>I491+I526</f>
        <v>43846</v>
      </c>
      <c r="J456" s="225">
        <f>$J$174</f>
        <v>3.75</v>
      </c>
      <c r="K456" s="209"/>
      <c r="L456" s="127">
        <f>L491+L526</f>
        <v>48361</v>
      </c>
      <c r="N456" s="54"/>
      <c r="O456" s="54"/>
      <c r="P456" s="109"/>
      <c r="Q456" s="109"/>
      <c r="R456" s="109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</row>
    <row r="457" spans="1:37" hidden="1">
      <c r="A457" s="136" t="s">
        <v>138</v>
      </c>
      <c r="B457" s="136"/>
      <c r="C457" s="205">
        <f t="shared" si="68"/>
        <v>111429</v>
      </c>
      <c r="D457" s="135">
        <v>8.5489999999999995</v>
      </c>
      <c r="E457" s="209" t="s">
        <v>99</v>
      </c>
      <c r="F457" s="127">
        <f>F492+F527</f>
        <v>9526</v>
      </c>
      <c r="G457" s="135">
        <v>9.766</v>
      </c>
      <c r="H457" s="209" t="s">
        <v>99</v>
      </c>
      <c r="I457" s="127">
        <f>I492+I527</f>
        <v>10883</v>
      </c>
      <c r="J457" s="135">
        <f>$J$175</f>
        <v>6.3540000000000001</v>
      </c>
      <c r="K457" s="209" t="s">
        <v>99</v>
      </c>
      <c r="L457" s="127">
        <f>L492+L527</f>
        <v>7080</v>
      </c>
      <c r="N457" s="54"/>
      <c r="O457" s="54"/>
      <c r="P457" s="109"/>
      <c r="Q457" s="109"/>
      <c r="R457" s="109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</row>
    <row r="458" spans="1:37" hidden="1">
      <c r="A458" s="136" t="s">
        <v>139</v>
      </c>
      <c r="B458" s="136"/>
      <c r="C458" s="205">
        <f t="shared" si="68"/>
        <v>111236</v>
      </c>
      <c r="D458" s="135">
        <v>5.9020000000000001</v>
      </c>
      <c r="E458" s="209" t="s">
        <v>99</v>
      </c>
      <c r="F458" s="127">
        <f>F493+F528</f>
        <v>6565</v>
      </c>
      <c r="G458" s="135">
        <v>6.7460000000000004</v>
      </c>
      <c r="H458" s="209" t="s">
        <v>99</v>
      </c>
      <c r="I458" s="127">
        <f>I493+I528</f>
        <v>7504</v>
      </c>
      <c r="J458" s="135">
        <f>$J$176</f>
        <v>4.3890000000000002</v>
      </c>
      <c r="K458" s="209" t="s">
        <v>99</v>
      </c>
      <c r="L458" s="127">
        <f>L493+L528</f>
        <v>4882</v>
      </c>
      <c r="N458" s="54"/>
      <c r="O458" s="54"/>
      <c r="P458" s="109"/>
      <c r="Q458" s="109"/>
      <c r="R458" s="109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</row>
    <row r="459" spans="1:37" hidden="1">
      <c r="A459" s="136" t="s">
        <v>140</v>
      </c>
      <c r="B459" s="136"/>
      <c r="C459" s="205">
        <f t="shared" si="68"/>
        <v>134813</v>
      </c>
      <c r="D459" s="135">
        <v>5.0839999999999996</v>
      </c>
      <c r="E459" s="209" t="s">
        <v>99</v>
      </c>
      <c r="F459" s="127">
        <f>F494+F529</f>
        <v>6854</v>
      </c>
      <c r="G459" s="135">
        <v>5.8120000000000003</v>
      </c>
      <c r="H459" s="209" t="s">
        <v>99</v>
      </c>
      <c r="I459" s="127">
        <f>I494+I529</f>
        <v>7835</v>
      </c>
      <c r="J459" s="135">
        <f>$J$177</f>
        <v>3.782</v>
      </c>
      <c r="K459" s="209" t="s">
        <v>99</v>
      </c>
      <c r="L459" s="127">
        <f>L494+L529</f>
        <v>5099</v>
      </c>
      <c r="N459" s="54"/>
      <c r="O459" s="54"/>
      <c r="P459" s="109"/>
      <c r="Q459" s="109"/>
      <c r="R459" s="109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</row>
    <row r="460" spans="1:37" hidden="1">
      <c r="A460" s="136" t="s">
        <v>141</v>
      </c>
      <c r="B460" s="136"/>
      <c r="C460" s="205">
        <f t="shared" si="68"/>
        <v>1416.98888888889</v>
      </c>
      <c r="D460" s="215">
        <v>50</v>
      </c>
      <c r="E460" s="207" t="s">
        <v>99</v>
      </c>
      <c r="F460" s="127">
        <f>F495+F530</f>
        <v>708</v>
      </c>
      <c r="G460" s="215">
        <v>56</v>
      </c>
      <c r="H460" s="209" t="s">
        <v>99</v>
      </c>
      <c r="I460" s="127">
        <f>I495+I530</f>
        <v>794</v>
      </c>
      <c r="J460" s="215">
        <f>$J$178</f>
        <v>62</v>
      </c>
      <c r="K460" s="209" t="s">
        <v>99</v>
      </c>
      <c r="L460" s="127">
        <f>L495+L530</f>
        <v>879</v>
      </c>
      <c r="N460" s="54"/>
      <c r="O460" s="54"/>
      <c r="P460" s="109"/>
      <c r="Q460" s="109"/>
      <c r="R460" s="109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</row>
    <row r="461" spans="1:37" hidden="1">
      <c r="A461" s="134" t="s">
        <v>142</v>
      </c>
      <c r="C461" s="205">
        <f t="shared" si="68"/>
        <v>111429</v>
      </c>
      <c r="D461" s="133"/>
      <c r="E461" s="54"/>
      <c r="F461" s="127"/>
      <c r="G461" s="133"/>
      <c r="H461" s="54"/>
      <c r="I461" s="127"/>
      <c r="J461" s="135">
        <f>J179</f>
        <v>4.42</v>
      </c>
      <c r="K461" s="209" t="s">
        <v>99</v>
      </c>
      <c r="L461" s="127">
        <f t="shared" ref="L461:L463" si="69">L496+L531</f>
        <v>4925</v>
      </c>
      <c r="N461" s="128"/>
      <c r="P461" s="93"/>
      <c r="Q461" s="108"/>
      <c r="R461" s="108"/>
      <c r="S461" s="129"/>
      <c r="T461" s="129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K461" s="128"/>
    </row>
    <row r="462" spans="1:37" hidden="1">
      <c r="A462" s="134" t="s">
        <v>143</v>
      </c>
      <c r="C462" s="205">
        <f t="shared" si="68"/>
        <v>111236</v>
      </c>
      <c r="D462" s="133"/>
      <c r="E462" s="54"/>
      <c r="F462" s="127"/>
      <c r="G462" s="133"/>
      <c r="H462" s="54"/>
      <c r="I462" s="127"/>
      <c r="J462" s="135">
        <f>J180</f>
        <v>3.0529999999999999</v>
      </c>
      <c r="K462" s="209" t="s">
        <v>99</v>
      </c>
      <c r="L462" s="127">
        <f t="shared" si="69"/>
        <v>3396</v>
      </c>
      <c r="N462" s="128"/>
      <c r="P462" s="93"/>
      <c r="Q462" s="108"/>
      <c r="R462" s="108"/>
      <c r="S462" s="129"/>
      <c r="T462" s="129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K462" s="128"/>
    </row>
    <row r="463" spans="1:37" hidden="1">
      <c r="A463" s="134" t="s">
        <v>144</v>
      </c>
      <c r="C463" s="205">
        <f t="shared" si="68"/>
        <v>134813</v>
      </c>
      <c r="D463" s="133"/>
      <c r="E463" s="54"/>
      <c r="F463" s="127"/>
      <c r="G463" s="133"/>
      <c r="H463" s="54"/>
      <c r="I463" s="127"/>
      <c r="J463" s="135">
        <f>J181</f>
        <v>2.63</v>
      </c>
      <c r="K463" s="209" t="s">
        <v>99</v>
      </c>
      <c r="L463" s="127">
        <f t="shared" si="69"/>
        <v>3546</v>
      </c>
      <c r="N463" s="128"/>
      <c r="O463" s="134" t="s">
        <v>0</v>
      </c>
      <c r="P463" s="93"/>
      <c r="Q463" s="108"/>
      <c r="R463" s="108"/>
      <c r="S463" s="129"/>
      <c r="T463" s="129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K463" s="128"/>
    </row>
    <row r="464" spans="1:37" hidden="1">
      <c r="A464" s="219" t="s">
        <v>148</v>
      </c>
      <c r="B464" s="136"/>
      <c r="C464" s="205"/>
      <c r="D464" s="220">
        <v>-0.01</v>
      </c>
      <c r="E464" s="207"/>
      <c r="F464" s="127"/>
      <c r="G464" s="220">
        <v>-0.01</v>
      </c>
      <c r="H464" s="209"/>
      <c r="I464" s="127"/>
      <c r="J464" s="220">
        <v>-0.01</v>
      </c>
      <c r="K464" s="209"/>
      <c r="L464" s="127"/>
      <c r="N464" s="54"/>
      <c r="O464" s="54"/>
      <c r="P464" s="109"/>
      <c r="Q464" s="109"/>
      <c r="R464" s="109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</row>
    <row r="465" spans="1:37" hidden="1">
      <c r="A465" s="136" t="s">
        <v>132</v>
      </c>
      <c r="B465" s="136"/>
      <c r="C465" s="205">
        <v>0</v>
      </c>
      <c r="D465" s="222">
        <v>91.679999999999993</v>
      </c>
      <c r="E465" s="207"/>
      <c r="F465" s="127">
        <f t="shared" ref="F465:F474" si="70">F500+F535</f>
        <v>0</v>
      </c>
      <c r="G465" s="222">
        <v>104.52000000000001</v>
      </c>
      <c r="H465" s="207"/>
      <c r="I465" s="127">
        <f t="shared" ref="I465:I474" si="71">I500+I535</f>
        <v>0</v>
      </c>
      <c r="J465" s="222">
        <f>J451</f>
        <v>115.32</v>
      </c>
      <c r="K465" s="207"/>
      <c r="L465" s="127">
        <f t="shared" ref="L465:L478" si="72">L500+L535</f>
        <v>0</v>
      </c>
      <c r="N465" s="54"/>
      <c r="O465" s="54"/>
      <c r="P465" s="109"/>
      <c r="Q465" s="109"/>
      <c r="R465" s="109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</row>
    <row r="466" spans="1:37" hidden="1">
      <c r="A466" s="136" t="s">
        <v>133</v>
      </c>
      <c r="B466" s="136"/>
      <c r="C466" s="205">
        <v>0</v>
      </c>
      <c r="D466" s="222">
        <v>136.32</v>
      </c>
      <c r="E466" s="207"/>
      <c r="F466" s="127">
        <f t="shared" si="70"/>
        <v>0</v>
      </c>
      <c r="G466" s="222">
        <v>155.76</v>
      </c>
      <c r="H466" s="207"/>
      <c r="I466" s="127">
        <f t="shared" si="71"/>
        <v>0</v>
      </c>
      <c r="J466" s="222">
        <f>J452</f>
        <v>171.84</v>
      </c>
      <c r="K466" s="207"/>
      <c r="L466" s="127">
        <f t="shared" si="72"/>
        <v>0</v>
      </c>
      <c r="N466" s="54"/>
      <c r="O466" s="54"/>
      <c r="P466" s="109"/>
      <c r="Q466" s="109"/>
      <c r="R466" s="109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</row>
    <row r="467" spans="1:37" hidden="1">
      <c r="A467" s="136" t="s">
        <v>149</v>
      </c>
      <c r="B467" s="136"/>
      <c r="C467" s="205">
        <v>0</v>
      </c>
      <c r="D467" s="222">
        <v>9.66</v>
      </c>
      <c r="E467" s="207"/>
      <c r="F467" s="127">
        <f t="shared" si="70"/>
        <v>0</v>
      </c>
      <c r="G467" s="222">
        <v>11.040000000000001</v>
      </c>
      <c r="H467" s="207"/>
      <c r="I467" s="127">
        <f t="shared" si="71"/>
        <v>0</v>
      </c>
      <c r="J467" s="222">
        <f>J453</f>
        <v>12.120000000000001</v>
      </c>
      <c r="K467" s="207"/>
      <c r="L467" s="127">
        <f t="shared" si="72"/>
        <v>0</v>
      </c>
      <c r="N467" s="54"/>
      <c r="O467" s="54"/>
      <c r="P467" s="109"/>
      <c r="Q467" s="109"/>
      <c r="R467" s="109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</row>
    <row r="468" spans="1:37" hidden="1">
      <c r="A468" s="136" t="s">
        <v>150</v>
      </c>
      <c r="B468" s="136"/>
      <c r="C468" s="205">
        <v>0</v>
      </c>
      <c r="D468" s="222">
        <v>2.98</v>
      </c>
      <c r="E468" s="209"/>
      <c r="F468" s="127">
        <f t="shared" si="70"/>
        <v>0</v>
      </c>
      <c r="G468" s="222">
        <v>3.4</v>
      </c>
      <c r="H468" s="209"/>
      <c r="I468" s="127">
        <f t="shared" si="71"/>
        <v>0</v>
      </c>
      <c r="J468" s="222">
        <f>J456</f>
        <v>3.75</v>
      </c>
      <c r="K468" s="209"/>
      <c r="L468" s="127">
        <f t="shared" si="72"/>
        <v>0</v>
      </c>
      <c r="N468" s="54"/>
      <c r="O468" s="54"/>
      <c r="P468" s="109"/>
      <c r="Q468" s="109"/>
      <c r="R468" s="109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</row>
    <row r="469" spans="1:37" hidden="1">
      <c r="A469" s="136" t="s">
        <v>151</v>
      </c>
      <c r="B469" s="136"/>
      <c r="C469" s="205">
        <v>0</v>
      </c>
      <c r="D469" s="223">
        <v>8.5489999999999995</v>
      </c>
      <c r="E469" s="209" t="s">
        <v>99</v>
      </c>
      <c r="F469" s="127">
        <f t="shared" si="70"/>
        <v>0</v>
      </c>
      <c r="G469" s="223">
        <v>9.766</v>
      </c>
      <c r="H469" s="209" t="s">
        <v>99</v>
      </c>
      <c r="I469" s="127">
        <f t="shared" si="71"/>
        <v>0</v>
      </c>
      <c r="J469" s="223">
        <f>J457</f>
        <v>6.3540000000000001</v>
      </c>
      <c r="K469" s="209" t="s">
        <v>99</v>
      </c>
      <c r="L469" s="127">
        <f t="shared" si="72"/>
        <v>0</v>
      </c>
      <c r="N469" s="54"/>
      <c r="O469" s="54"/>
      <c r="P469" s="109"/>
      <c r="Q469" s="109"/>
      <c r="R469" s="109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</row>
    <row r="470" spans="1:37" hidden="1">
      <c r="A470" s="136" t="s">
        <v>139</v>
      </c>
      <c r="B470" s="136"/>
      <c r="C470" s="205">
        <v>0</v>
      </c>
      <c r="D470" s="223">
        <v>5.9020000000000001</v>
      </c>
      <c r="E470" s="209" t="s">
        <v>99</v>
      </c>
      <c r="F470" s="127">
        <f t="shared" si="70"/>
        <v>0</v>
      </c>
      <c r="G470" s="223">
        <v>6.7460000000000004</v>
      </c>
      <c r="H470" s="209" t="s">
        <v>99</v>
      </c>
      <c r="I470" s="127">
        <f t="shared" si="71"/>
        <v>0</v>
      </c>
      <c r="J470" s="223">
        <f>J458</f>
        <v>4.3890000000000002</v>
      </c>
      <c r="K470" s="209" t="s">
        <v>99</v>
      </c>
      <c r="L470" s="127">
        <f t="shared" si="72"/>
        <v>0</v>
      </c>
      <c r="N470" s="54"/>
      <c r="O470" s="54"/>
      <c r="P470" s="109"/>
      <c r="Q470" s="109"/>
      <c r="R470" s="109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</row>
    <row r="471" spans="1:37" hidden="1">
      <c r="A471" s="136" t="s">
        <v>140</v>
      </c>
      <c r="B471" s="136"/>
      <c r="C471" s="205">
        <v>0</v>
      </c>
      <c r="D471" s="223">
        <v>5.0839999999999996</v>
      </c>
      <c r="E471" s="209" t="s">
        <v>99</v>
      </c>
      <c r="F471" s="127">
        <f t="shared" si="70"/>
        <v>0</v>
      </c>
      <c r="G471" s="223">
        <v>5.8120000000000003</v>
      </c>
      <c r="H471" s="209" t="s">
        <v>99</v>
      </c>
      <c r="I471" s="127">
        <f t="shared" si="71"/>
        <v>0</v>
      </c>
      <c r="J471" s="223">
        <f>J459</f>
        <v>3.782</v>
      </c>
      <c r="K471" s="209" t="s">
        <v>99</v>
      </c>
      <c r="L471" s="127">
        <f t="shared" si="72"/>
        <v>0</v>
      </c>
      <c r="N471" s="54"/>
      <c r="O471" s="54"/>
      <c r="P471" s="109"/>
      <c r="Q471" s="109"/>
      <c r="R471" s="109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</row>
    <row r="472" spans="1:37" hidden="1">
      <c r="A472" s="136" t="s">
        <v>141</v>
      </c>
      <c r="B472" s="136"/>
      <c r="C472" s="205">
        <v>0</v>
      </c>
      <c r="D472" s="224">
        <v>50</v>
      </c>
      <c r="E472" s="209" t="s">
        <v>99</v>
      </c>
      <c r="F472" s="127">
        <f t="shared" si="70"/>
        <v>0</v>
      </c>
      <c r="G472" s="224">
        <v>56</v>
      </c>
      <c r="H472" s="209" t="s">
        <v>99</v>
      </c>
      <c r="I472" s="127">
        <f t="shared" si="71"/>
        <v>0</v>
      </c>
      <c r="J472" s="224">
        <f>J460</f>
        <v>62</v>
      </c>
      <c r="K472" s="209" t="s">
        <v>99</v>
      </c>
      <c r="L472" s="127">
        <f t="shared" si="72"/>
        <v>0</v>
      </c>
      <c r="N472" s="54"/>
      <c r="O472" s="54"/>
      <c r="P472" s="109"/>
      <c r="Q472" s="109"/>
      <c r="R472" s="109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</row>
    <row r="473" spans="1:37" hidden="1">
      <c r="A473" s="136" t="s">
        <v>152</v>
      </c>
      <c r="B473" s="136"/>
      <c r="C473" s="205">
        <v>0</v>
      </c>
      <c r="D473" s="225">
        <v>60</v>
      </c>
      <c r="E473" s="207"/>
      <c r="F473" s="127">
        <f t="shared" si="70"/>
        <v>0</v>
      </c>
      <c r="G473" s="225">
        <v>60</v>
      </c>
      <c r="H473" s="209"/>
      <c r="I473" s="127">
        <f t="shared" si="71"/>
        <v>0</v>
      </c>
      <c r="J473" s="225">
        <f>$J$194</f>
        <v>60</v>
      </c>
      <c r="K473" s="209"/>
      <c r="L473" s="127">
        <f t="shared" si="72"/>
        <v>0</v>
      </c>
      <c r="N473" s="54"/>
      <c r="O473" s="54"/>
      <c r="P473" s="109"/>
      <c r="Q473" s="109"/>
      <c r="R473" s="109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</row>
    <row r="474" spans="1:37" hidden="1">
      <c r="A474" s="136" t="s">
        <v>153</v>
      </c>
      <c r="B474" s="136"/>
      <c r="C474" s="205">
        <v>0</v>
      </c>
      <c r="D474" s="226">
        <v>-30</v>
      </c>
      <c r="E474" s="207" t="s">
        <v>99</v>
      </c>
      <c r="F474" s="127">
        <f t="shared" si="70"/>
        <v>0</v>
      </c>
      <c r="G474" s="226">
        <v>-30</v>
      </c>
      <c r="H474" s="209" t="s">
        <v>99</v>
      </c>
      <c r="I474" s="127">
        <f t="shared" si="71"/>
        <v>0</v>
      </c>
      <c r="J474" s="226">
        <f>$J$195</f>
        <v>-30</v>
      </c>
      <c r="K474" s="209" t="s">
        <v>99</v>
      </c>
      <c r="L474" s="127">
        <f t="shared" si="72"/>
        <v>0</v>
      </c>
      <c r="N474" s="54"/>
      <c r="O474" s="54"/>
      <c r="P474" s="109"/>
      <c r="Q474" s="109"/>
      <c r="R474" s="109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</row>
    <row r="475" spans="1:37" hidden="1">
      <c r="A475" s="134" t="s">
        <v>142</v>
      </c>
      <c r="C475" s="125">
        <f>C469</f>
        <v>0</v>
      </c>
      <c r="D475" s="133"/>
      <c r="E475" s="54"/>
      <c r="F475" s="127"/>
      <c r="G475" s="133"/>
      <c r="H475" s="54"/>
      <c r="I475" s="127"/>
      <c r="J475" s="135">
        <f>J179</f>
        <v>4.42</v>
      </c>
      <c r="K475" s="209" t="s">
        <v>99</v>
      </c>
      <c r="L475" s="127">
        <f t="shared" si="72"/>
        <v>0</v>
      </c>
      <c r="N475" s="128"/>
      <c r="P475" s="93"/>
      <c r="Q475" s="108"/>
      <c r="R475" s="108"/>
      <c r="S475" s="129"/>
      <c r="T475" s="129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K475" s="128"/>
    </row>
    <row r="476" spans="1:37" hidden="1">
      <c r="A476" s="134" t="s">
        <v>143</v>
      </c>
      <c r="C476" s="125">
        <f>C470</f>
        <v>0</v>
      </c>
      <c r="D476" s="133"/>
      <c r="E476" s="54"/>
      <c r="F476" s="127"/>
      <c r="G476" s="133"/>
      <c r="H476" s="54"/>
      <c r="I476" s="127"/>
      <c r="J476" s="135">
        <f>J180</f>
        <v>3.0529999999999999</v>
      </c>
      <c r="K476" s="209" t="s">
        <v>99</v>
      </c>
      <c r="L476" s="127">
        <f t="shared" si="72"/>
        <v>0</v>
      </c>
      <c r="N476" s="128"/>
      <c r="P476" s="93"/>
      <c r="Q476" s="108"/>
      <c r="R476" s="108"/>
      <c r="S476" s="129"/>
      <c r="T476" s="129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K476" s="128"/>
    </row>
    <row r="477" spans="1:37" hidden="1">
      <c r="A477" s="134" t="s">
        <v>144</v>
      </c>
      <c r="C477" s="125">
        <f>C471</f>
        <v>0</v>
      </c>
      <c r="D477" s="133"/>
      <c r="E477" s="54"/>
      <c r="F477" s="127"/>
      <c r="G477" s="133"/>
      <c r="H477" s="54"/>
      <c r="I477" s="127"/>
      <c r="J477" s="135">
        <f>J181</f>
        <v>2.63</v>
      </c>
      <c r="K477" s="209" t="s">
        <v>99</v>
      </c>
      <c r="L477" s="127">
        <f t="shared" si="72"/>
        <v>0</v>
      </c>
      <c r="N477" s="128"/>
      <c r="P477" s="93"/>
      <c r="Q477" s="108"/>
      <c r="R477" s="108"/>
      <c r="S477" s="129"/>
      <c r="T477" s="129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K477" s="128"/>
    </row>
    <row r="478" spans="1:37" hidden="1">
      <c r="A478" s="136" t="s">
        <v>122</v>
      </c>
      <c r="B478" s="136"/>
      <c r="C478" s="205">
        <f>C513+C548</f>
        <v>357478</v>
      </c>
      <c r="D478" s="215"/>
      <c r="E478" s="127"/>
      <c r="F478" s="127">
        <f>F513+F548</f>
        <v>106817</v>
      </c>
      <c r="G478" s="210"/>
      <c r="H478" s="209"/>
      <c r="I478" s="127">
        <f>I513+I548</f>
        <v>121984</v>
      </c>
      <c r="J478" s="127"/>
      <c r="K478" s="209"/>
      <c r="L478" s="127">
        <f t="shared" si="72"/>
        <v>134365</v>
      </c>
      <c r="N478" s="54"/>
      <c r="O478" s="54"/>
      <c r="P478" s="109"/>
      <c r="Q478" s="109"/>
      <c r="R478" s="109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</row>
    <row r="479" spans="1:37" hidden="1">
      <c r="A479" s="136" t="s">
        <v>102</v>
      </c>
      <c r="B479" s="136"/>
      <c r="C479" s="228">
        <f>C514+C549</f>
        <v>-822.76182582951765</v>
      </c>
      <c r="D479" s="149"/>
      <c r="E479" s="149"/>
      <c r="F479" s="229" t="e">
        <f>F514+F549</f>
        <v>#REF!</v>
      </c>
      <c r="G479" s="149"/>
      <c r="H479" s="149"/>
      <c r="I479" s="229">
        <f>I514+I549</f>
        <v>-263.15414039122498</v>
      </c>
      <c r="J479" s="149"/>
      <c r="K479" s="149"/>
      <c r="L479" s="229">
        <f>I479</f>
        <v>-263.15414039122498</v>
      </c>
      <c r="N479" s="164"/>
      <c r="O479" s="164"/>
      <c r="P479" s="162"/>
      <c r="Q479" s="109"/>
      <c r="R479" s="109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</row>
    <row r="480" spans="1:37" ht="16.5" hidden="1" thickBot="1">
      <c r="A480" s="136" t="s">
        <v>123</v>
      </c>
      <c r="B480" s="136"/>
      <c r="C480" s="193">
        <f>SUM(C478:C479)</f>
        <v>356655.23817417049</v>
      </c>
      <c r="D480" s="231"/>
      <c r="E480" s="232"/>
      <c r="F480" s="233" t="e">
        <f>F478+F479</f>
        <v>#REF!</v>
      </c>
      <c r="G480" s="231"/>
      <c r="H480" s="235"/>
      <c r="I480" s="233">
        <f>I478+I479</f>
        <v>121720.84585960877</v>
      </c>
      <c r="J480" s="231"/>
      <c r="K480" s="235"/>
      <c r="L480" s="233">
        <f>L478+L479</f>
        <v>134101.84585960879</v>
      </c>
      <c r="N480" s="165"/>
      <c r="O480" s="165"/>
      <c r="P480" s="166"/>
      <c r="Q480" s="109"/>
      <c r="R480" s="109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</row>
    <row r="481" spans="1:37" hidden="1">
      <c r="A481" s="136"/>
      <c r="B481" s="136"/>
      <c r="C481" s="168"/>
      <c r="D481" s="225"/>
      <c r="E481" s="127"/>
      <c r="F481" s="127"/>
      <c r="G481" s="225" t="s">
        <v>0</v>
      </c>
      <c r="H481" s="136"/>
      <c r="I481" s="127"/>
      <c r="J481" s="251" t="s">
        <v>0</v>
      </c>
      <c r="K481" s="136"/>
      <c r="L481" s="127" t="s">
        <v>0</v>
      </c>
      <c r="N481" s="54"/>
      <c r="O481" s="54"/>
      <c r="P481" s="109"/>
      <c r="Q481" s="109"/>
      <c r="R481" s="109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</row>
    <row r="482" spans="1:37" hidden="1">
      <c r="A482" s="167" t="s">
        <v>163</v>
      </c>
      <c r="B482" s="136"/>
      <c r="C482" s="136"/>
      <c r="D482" s="127"/>
      <c r="E482" s="127"/>
      <c r="F482" s="136" t="s">
        <v>0</v>
      </c>
      <c r="G482" s="127"/>
      <c r="H482" s="136"/>
      <c r="I482" s="136"/>
      <c r="J482" s="127"/>
      <c r="K482" s="136"/>
      <c r="L482" s="136"/>
      <c r="N482" s="54"/>
      <c r="O482" s="54"/>
      <c r="P482" s="109"/>
      <c r="Q482" s="109"/>
      <c r="R482" s="109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</row>
    <row r="483" spans="1:37" hidden="1">
      <c r="A483" s="136" t="s">
        <v>158</v>
      </c>
      <c r="B483" s="136"/>
      <c r="C483" s="136"/>
      <c r="D483" s="127"/>
      <c r="E483" s="127"/>
      <c r="F483" s="136"/>
      <c r="G483" s="127"/>
      <c r="H483" s="136"/>
      <c r="I483" s="136"/>
      <c r="J483" s="127"/>
      <c r="K483" s="136"/>
      <c r="L483" s="136"/>
      <c r="N483" s="54"/>
      <c r="O483" s="54"/>
      <c r="P483" s="109"/>
      <c r="Q483" s="109"/>
      <c r="R483" s="109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</row>
    <row r="484" spans="1:37" hidden="1">
      <c r="A484" s="136" t="s">
        <v>164</v>
      </c>
      <c r="B484" s="136"/>
      <c r="C484" s="136"/>
      <c r="D484" s="127"/>
      <c r="E484" s="127"/>
      <c r="F484" s="136"/>
      <c r="G484" s="127"/>
      <c r="H484" s="136"/>
      <c r="I484" s="136"/>
      <c r="J484" s="127"/>
      <c r="K484" s="136"/>
      <c r="L484" s="136"/>
      <c r="N484" s="54"/>
      <c r="O484" s="54"/>
      <c r="P484" s="109"/>
      <c r="Q484" s="109"/>
      <c r="R484" s="109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</row>
    <row r="485" spans="1:37" hidden="1">
      <c r="A485" s="136" t="s">
        <v>135</v>
      </c>
      <c r="B485" s="136"/>
      <c r="C485" s="205"/>
      <c r="D485" s="127"/>
      <c r="E485" s="127"/>
      <c r="F485" s="136"/>
      <c r="G485" s="127"/>
      <c r="H485" s="136"/>
      <c r="I485" s="136"/>
      <c r="J485" s="127"/>
      <c r="K485" s="136"/>
      <c r="L485" s="136"/>
      <c r="N485" s="54"/>
      <c r="O485" s="54"/>
      <c r="P485" s="109"/>
      <c r="Q485" s="109"/>
      <c r="R485" s="109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</row>
    <row r="486" spans="1:37" hidden="1">
      <c r="A486" s="136" t="s">
        <v>132</v>
      </c>
      <c r="B486" s="136"/>
      <c r="C486" s="205">
        <v>1</v>
      </c>
      <c r="D486" s="172">
        <v>91.679999999999993</v>
      </c>
      <c r="E486" s="207"/>
      <c r="F486" s="127">
        <f>ROUND(D486*$C486,0)</f>
        <v>92</v>
      </c>
      <c r="G486" s="172">
        <v>104.52000000000001</v>
      </c>
      <c r="H486" s="209"/>
      <c r="I486" s="127">
        <f>ROUND(G486*$C486,0)</f>
        <v>105</v>
      </c>
      <c r="J486" s="172">
        <f>$J$165</f>
        <v>115.32</v>
      </c>
      <c r="K486" s="209"/>
      <c r="L486" s="127">
        <f>ROUND(J486*$C486,0)</f>
        <v>115</v>
      </c>
      <c r="N486" s="54"/>
      <c r="O486" s="54"/>
      <c r="P486" s="109"/>
      <c r="Q486" s="109"/>
      <c r="R486" s="109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</row>
    <row r="487" spans="1:37" hidden="1">
      <c r="A487" s="136" t="s">
        <v>133</v>
      </c>
      <c r="B487" s="136"/>
      <c r="C487" s="205">
        <v>87.747945205479496</v>
      </c>
      <c r="D487" s="172">
        <v>136.32</v>
      </c>
      <c r="E487" s="210"/>
      <c r="F487" s="127">
        <f>ROUND(D487*$C487,0)</f>
        <v>11962</v>
      </c>
      <c r="G487" s="172">
        <v>155.76</v>
      </c>
      <c r="H487" s="211"/>
      <c r="I487" s="127">
        <f t="shared" ref="I487:I488" si="73">ROUND(G487*$C487,0)</f>
        <v>13668</v>
      </c>
      <c r="J487" s="172">
        <f>$J$166</f>
        <v>171.84</v>
      </c>
      <c r="K487" s="211"/>
      <c r="L487" s="127">
        <f>ROUND(J487*$C487,0)</f>
        <v>15079</v>
      </c>
      <c r="N487" s="54"/>
      <c r="O487" s="54"/>
      <c r="P487" s="109"/>
      <c r="Q487" s="109"/>
      <c r="R487" s="109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</row>
    <row r="488" spans="1:37" hidden="1">
      <c r="A488" s="136" t="s">
        <v>134</v>
      </c>
      <c r="B488" s="136"/>
      <c r="C488" s="205">
        <v>3293.9150684931501</v>
      </c>
      <c r="D488" s="172">
        <v>9.66</v>
      </c>
      <c r="E488" s="210"/>
      <c r="F488" s="127">
        <f>ROUND(D488*$C488,0)</f>
        <v>31819</v>
      </c>
      <c r="G488" s="172">
        <v>11.040000000000001</v>
      </c>
      <c r="H488" s="211"/>
      <c r="I488" s="127">
        <f t="shared" si="73"/>
        <v>36365</v>
      </c>
      <c r="J488" s="172">
        <f>$J$167</f>
        <v>12.120000000000001</v>
      </c>
      <c r="K488" s="211"/>
      <c r="L488" s="127">
        <f>ROUND(J488*$C488,0)</f>
        <v>39922</v>
      </c>
      <c r="N488" s="54"/>
      <c r="O488" s="54"/>
      <c r="P488" s="109"/>
      <c r="Q488" s="109"/>
      <c r="R488" s="109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</row>
    <row r="489" spans="1:37" hidden="1">
      <c r="A489" s="136" t="s">
        <v>136</v>
      </c>
      <c r="B489" s="136"/>
      <c r="C489" s="205">
        <f>SUM(C486:C487)</f>
        <v>88.747945205479496</v>
      </c>
      <c r="D489" s="172"/>
      <c r="E489" s="207"/>
      <c r="F489" s="127"/>
      <c r="G489" s="172"/>
      <c r="H489" s="209"/>
      <c r="I489" s="127"/>
      <c r="J489" s="172"/>
      <c r="K489" s="209"/>
      <c r="L489" s="127"/>
      <c r="N489" s="54"/>
      <c r="O489" s="54"/>
      <c r="P489" s="109"/>
      <c r="Q489" s="109"/>
      <c r="R489" s="109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</row>
    <row r="490" spans="1:37" hidden="1">
      <c r="A490" s="136" t="s">
        <v>165</v>
      </c>
      <c r="B490" s="136"/>
      <c r="C490" s="205">
        <f>12+1031</f>
        <v>1043</v>
      </c>
      <c r="D490" s="172"/>
      <c r="E490" s="207"/>
      <c r="F490" s="127"/>
      <c r="G490" s="172"/>
      <c r="H490" s="209"/>
      <c r="I490" s="127"/>
      <c r="J490" s="172"/>
      <c r="K490" s="209"/>
      <c r="L490" s="127"/>
      <c r="N490" s="54"/>
      <c r="O490" s="54"/>
      <c r="P490" s="109"/>
      <c r="Q490" s="109"/>
      <c r="R490" s="109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</row>
    <row r="491" spans="1:37" hidden="1">
      <c r="A491" s="136" t="s">
        <v>137</v>
      </c>
      <c r="B491" s="136"/>
      <c r="C491" s="205">
        <v>12658</v>
      </c>
      <c r="D491" s="225">
        <v>2.98</v>
      </c>
      <c r="E491" s="209"/>
      <c r="F491" s="127">
        <f>ROUND(D491*$C491,0)</f>
        <v>37721</v>
      </c>
      <c r="G491" s="225">
        <v>3.4</v>
      </c>
      <c r="H491" s="209"/>
      <c r="I491" s="127">
        <f>ROUND(G491*C491,0)</f>
        <v>43037</v>
      </c>
      <c r="J491" s="225">
        <f>$J$174</f>
        <v>3.75</v>
      </c>
      <c r="K491" s="209"/>
      <c r="L491" s="127">
        <f>ROUND(J491*$C491,0)</f>
        <v>47468</v>
      </c>
      <c r="N491" s="54"/>
      <c r="O491" s="54"/>
      <c r="P491" s="109"/>
      <c r="Q491" s="109"/>
      <c r="R491" s="109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</row>
    <row r="492" spans="1:37" hidden="1">
      <c r="A492" s="136" t="s">
        <v>138</v>
      </c>
      <c r="B492" s="136"/>
      <c r="C492" s="205">
        <f>4094+101902</f>
        <v>105996</v>
      </c>
      <c r="D492" s="135">
        <v>8.5489999999999995</v>
      </c>
      <c r="E492" s="209" t="s">
        <v>99</v>
      </c>
      <c r="F492" s="127">
        <f>ROUND(D492*$C492/100,0)</f>
        <v>9062</v>
      </c>
      <c r="G492" s="135">
        <v>9.766</v>
      </c>
      <c r="H492" s="209" t="s">
        <v>99</v>
      </c>
      <c r="I492" s="127">
        <f>ROUND(G492*C492/100,0)</f>
        <v>10352</v>
      </c>
      <c r="J492" s="135">
        <f>$J$175</f>
        <v>6.3540000000000001</v>
      </c>
      <c r="K492" s="209" t="s">
        <v>99</v>
      </c>
      <c r="L492" s="127">
        <f>ROUND(J492*$C492/100,0)</f>
        <v>6735</v>
      </c>
      <c r="N492" s="54"/>
      <c r="O492" s="54"/>
      <c r="P492" s="109"/>
      <c r="Q492" s="109"/>
      <c r="R492" s="109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</row>
    <row r="493" spans="1:37" hidden="1">
      <c r="A493" s="136" t="s">
        <v>139</v>
      </c>
      <c r="B493" s="136"/>
      <c r="C493" s="205">
        <f>308+110294</f>
        <v>110602</v>
      </c>
      <c r="D493" s="135">
        <v>5.9020000000000001</v>
      </c>
      <c r="E493" s="209" t="s">
        <v>99</v>
      </c>
      <c r="F493" s="127">
        <f>ROUND(D493*$C493/100,0)</f>
        <v>6528</v>
      </c>
      <c r="G493" s="135">
        <v>6.7460000000000004</v>
      </c>
      <c r="H493" s="209" t="s">
        <v>99</v>
      </c>
      <c r="I493" s="127">
        <f t="shared" ref="I493:I495" si="74">ROUND(G493*C493/100,0)</f>
        <v>7461</v>
      </c>
      <c r="J493" s="135">
        <f>$J$176</f>
        <v>4.3890000000000002</v>
      </c>
      <c r="K493" s="209" t="s">
        <v>99</v>
      </c>
      <c r="L493" s="127">
        <f>ROUND(J493*$C493/100,0)</f>
        <v>4854</v>
      </c>
      <c r="N493" s="54"/>
      <c r="O493" s="54"/>
      <c r="P493" s="109"/>
      <c r="Q493" s="109"/>
      <c r="R493" s="109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</row>
    <row r="494" spans="1:37" hidden="1">
      <c r="A494" s="136" t="s">
        <v>140</v>
      </c>
      <c r="B494" s="136"/>
      <c r="C494" s="205">
        <v>134813</v>
      </c>
      <c r="D494" s="135">
        <v>5.0839999999999996</v>
      </c>
      <c r="E494" s="209" t="s">
        <v>99</v>
      </c>
      <c r="F494" s="127">
        <f>ROUND(D494*$C494/100,0)</f>
        <v>6854</v>
      </c>
      <c r="G494" s="135">
        <v>5.8120000000000003</v>
      </c>
      <c r="H494" s="209" t="s">
        <v>99</v>
      </c>
      <c r="I494" s="127">
        <f t="shared" si="74"/>
        <v>7835</v>
      </c>
      <c r="J494" s="135">
        <f>$J$177</f>
        <v>3.782</v>
      </c>
      <c r="K494" s="209" t="s">
        <v>99</v>
      </c>
      <c r="L494" s="127">
        <f>ROUND(J494*$C494/100,0)</f>
        <v>5099</v>
      </c>
      <c r="N494" s="54"/>
      <c r="O494" s="54"/>
      <c r="P494" s="109"/>
      <c r="Q494" s="109"/>
      <c r="R494" s="109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</row>
    <row r="495" spans="1:37" hidden="1">
      <c r="A495" s="136" t="s">
        <v>141</v>
      </c>
      <c r="B495" s="136"/>
      <c r="C495" s="205">
        <v>1416.98888888889</v>
      </c>
      <c r="D495" s="215">
        <v>50</v>
      </c>
      <c r="E495" s="207" t="s">
        <v>99</v>
      </c>
      <c r="F495" s="127">
        <f>ROUND(D495*$C495/100,0)</f>
        <v>708</v>
      </c>
      <c r="G495" s="215">
        <v>56</v>
      </c>
      <c r="H495" s="209" t="s">
        <v>99</v>
      </c>
      <c r="I495" s="127">
        <f t="shared" si="74"/>
        <v>794</v>
      </c>
      <c r="J495" s="215">
        <f>$J$178</f>
        <v>62</v>
      </c>
      <c r="K495" s="209" t="s">
        <v>99</v>
      </c>
      <c r="L495" s="127">
        <f>ROUND(J495*$C495/100,0)</f>
        <v>879</v>
      </c>
      <c r="N495" s="54"/>
      <c r="O495" s="54"/>
      <c r="P495" s="109"/>
      <c r="Q495" s="109"/>
      <c r="R495" s="109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</row>
    <row r="496" spans="1:37" hidden="1">
      <c r="A496" s="134" t="s">
        <v>142</v>
      </c>
      <c r="C496" s="125">
        <f>C492</f>
        <v>105996</v>
      </c>
      <c r="D496" s="133"/>
      <c r="E496" s="54"/>
      <c r="F496" s="127"/>
      <c r="G496" s="133"/>
      <c r="H496" s="54"/>
      <c r="I496" s="127"/>
      <c r="J496" s="135">
        <f>J179</f>
        <v>4.42</v>
      </c>
      <c r="K496" s="209" t="s">
        <v>99</v>
      </c>
      <c r="L496" s="127">
        <f t="shared" ref="L496:L498" si="75">ROUND(J496*$C496/100,0)</f>
        <v>4685</v>
      </c>
      <c r="N496" s="128"/>
      <c r="P496" s="93"/>
      <c r="Q496" s="108"/>
      <c r="R496" s="108"/>
      <c r="S496" s="129"/>
      <c r="T496" s="129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K496" s="128"/>
    </row>
    <row r="497" spans="1:37" hidden="1">
      <c r="A497" s="134" t="s">
        <v>143</v>
      </c>
      <c r="C497" s="125">
        <f t="shared" ref="C497:C498" si="76">C493</f>
        <v>110602</v>
      </c>
      <c r="D497" s="133"/>
      <c r="E497" s="54"/>
      <c r="F497" s="127"/>
      <c r="G497" s="133"/>
      <c r="H497" s="54"/>
      <c r="I497" s="127"/>
      <c r="J497" s="135">
        <f>J180</f>
        <v>3.0529999999999999</v>
      </c>
      <c r="K497" s="209" t="s">
        <v>99</v>
      </c>
      <c r="L497" s="127">
        <f t="shared" si="75"/>
        <v>3377</v>
      </c>
      <c r="N497" s="128"/>
      <c r="P497" s="93"/>
      <c r="Q497" s="108"/>
      <c r="R497" s="108"/>
      <c r="S497" s="129"/>
      <c r="T497" s="129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K497" s="128"/>
    </row>
    <row r="498" spans="1:37" hidden="1">
      <c r="A498" s="134" t="s">
        <v>144</v>
      </c>
      <c r="C498" s="125">
        <f t="shared" si="76"/>
        <v>134813</v>
      </c>
      <c r="D498" s="133"/>
      <c r="E498" s="54"/>
      <c r="F498" s="127"/>
      <c r="G498" s="133"/>
      <c r="H498" s="54"/>
      <c r="I498" s="127"/>
      <c r="J498" s="135">
        <f>J181</f>
        <v>2.63</v>
      </c>
      <c r="K498" s="209" t="s">
        <v>99</v>
      </c>
      <c r="L498" s="127">
        <f t="shared" si="75"/>
        <v>3546</v>
      </c>
      <c r="N498" s="128"/>
      <c r="P498" s="93"/>
      <c r="Q498" s="108"/>
      <c r="R498" s="108"/>
      <c r="S498" s="129"/>
      <c r="T498" s="129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K498" s="128"/>
    </row>
    <row r="499" spans="1:37" hidden="1">
      <c r="A499" s="219" t="s">
        <v>148</v>
      </c>
      <c r="B499" s="136"/>
      <c r="C499" s="205"/>
      <c r="D499" s="220">
        <v>-0.01</v>
      </c>
      <c r="E499" s="207"/>
      <c r="F499" s="127"/>
      <c r="G499" s="220">
        <v>-0.01</v>
      </c>
      <c r="H499" s="209"/>
      <c r="I499" s="127"/>
      <c r="J499" s="220">
        <v>-0.01</v>
      </c>
      <c r="K499" s="209"/>
      <c r="L499" s="127"/>
      <c r="N499" s="54"/>
      <c r="O499" s="54"/>
      <c r="P499" s="109"/>
      <c r="Q499" s="109"/>
      <c r="R499" s="109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</row>
    <row r="500" spans="1:37" hidden="1">
      <c r="A500" s="136" t="s">
        <v>132</v>
      </c>
      <c r="B500" s="136"/>
      <c r="C500" s="205">
        <v>0</v>
      </c>
      <c r="D500" s="222">
        <v>91.679999999999993</v>
      </c>
      <c r="E500" s="207"/>
      <c r="F500" s="127">
        <f>-ROUND(D500*$C500/100,0)</f>
        <v>0</v>
      </c>
      <c r="G500" s="222">
        <v>104.52000000000001</v>
      </c>
      <c r="H500" s="207"/>
      <c r="I500" s="127">
        <f>-ROUND(G500*$C500/100,0)</f>
        <v>0</v>
      </c>
      <c r="J500" s="222">
        <f>J486</f>
        <v>115.32</v>
      </c>
      <c r="K500" s="207"/>
      <c r="L500" s="127">
        <f>-ROUND(J500*$C500/100,0)</f>
        <v>0</v>
      </c>
      <c r="N500" s="54"/>
      <c r="O500" s="54"/>
      <c r="P500" s="109"/>
      <c r="Q500" s="109"/>
      <c r="R500" s="109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</row>
    <row r="501" spans="1:37" hidden="1">
      <c r="A501" s="136" t="s">
        <v>133</v>
      </c>
      <c r="B501" s="136"/>
      <c r="C501" s="205">
        <v>0</v>
      </c>
      <c r="D501" s="222">
        <v>136.32</v>
      </c>
      <c r="E501" s="207"/>
      <c r="F501" s="127">
        <f>-ROUND(D501*$C501/100,0)</f>
        <v>0</v>
      </c>
      <c r="G501" s="222">
        <v>155.76</v>
      </c>
      <c r="H501" s="207"/>
      <c r="I501" s="127">
        <f t="shared" ref="I501:I503" si="77">-ROUND(G501*$C501/100,0)</f>
        <v>0</v>
      </c>
      <c r="J501" s="222">
        <f>J487</f>
        <v>171.84</v>
      </c>
      <c r="K501" s="207"/>
      <c r="L501" s="127">
        <f>-ROUND(J501*$C501/100,0)</f>
        <v>0</v>
      </c>
      <c r="N501" s="54"/>
      <c r="O501" s="54"/>
      <c r="P501" s="109"/>
      <c r="Q501" s="109"/>
      <c r="R501" s="109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</row>
    <row r="502" spans="1:37" hidden="1">
      <c r="A502" s="136" t="s">
        <v>149</v>
      </c>
      <c r="B502" s="136"/>
      <c r="C502" s="205">
        <v>0</v>
      </c>
      <c r="D502" s="222">
        <v>9.66</v>
      </c>
      <c r="E502" s="207"/>
      <c r="F502" s="127">
        <f>-ROUND(D502*$C502/100,0)</f>
        <v>0</v>
      </c>
      <c r="G502" s="222">
        <v>11.040000000000001</v>
      </c>
      <c r="H502" s="207"/>
      <c r="I502" s="127">
        <f t="shared" si="77"/>
        <v>0</v>
      </c>
      <c r="J502" s="222">
        <f>J488</f>
        <v>12.120000000000001</v>
      </c>
      <c r="K502" s="207"/>
      <c r="L502" s="127">
        <f>-ROUND(J502*$C502/100,0)</f>
        <v>0</v>
      </c>
      <c r="N502" s="54"/>
      <c r="O502" s="54"/>
      <c r="P502" s="109"/>
      <c r="Q502" s="109"/>
      <c r="R502" s="109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</row>
    <row r="503" spans="1:37" hidden="1">
      <c r="A503" s="136" t="s">
        <v>150</v>
      </c>
      <c r="B503" s="136"/>
      <c r="C503" s="205">
        <v>0</v>
      </c>
      <c r="D503" s="222">
        <v>2.98</v>
      </c>
      <c r="E503" s="209"/>
      <c r="F503" s="127">
        <f>-ROUND(D503*$C503/100,0)</f>
        <v>0</v>
      </c>
      <c r="G503" s="222">
        <v>3.4</v>
      </c>
      <c r="H503" s="209"/>
      <c r="I503" s="127">
        <f t="shared" si="77"/>
        <v>0</v>
      </c>
      <c r="J503" s="222">
        <f>J491</f>
        <v>3.75</v>
      </c>
      <c r="K503" s="209"/>
      <c r="L503" s="127">
        <f>-ROUND(J503*$C503/100,0)</f>
        <v>0</v>
      </c>
      <c r="N503" s="54"/>
      <c r="O503" s="54"/>
      <c r="P503" s="109"/>
      <c r="Q503" s="109"/>
      <c r="R503" s="109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</row>
    <row r="504" spans="1:37" hidden="1">
      <c r="A504" s="136" t="s">
        <v>151</v>
      </c>
      <c r="B504" s="136"/>
      <c r="C504" s="205">
        <v>0</v>
      </c>
      <c r="D504" s="223">
        <v>8.5489999999999995</v>
      </c>
      <c r="E504" s="209" t="s">
        <v>99</v>
      </c>
      <c r="F504" s="127">
        <f>ROUND(D504*$C504/100*D499,0)</f>
        <v>0</v>
      </c>
      <c r="G504" s="223">
        <v>9.766</v>
      </c>
      <c r="H504" s="209" t="s">
        <v>99</v>
      </c>
      <c r="I504" s="127">
        <f>ROUND(G504*$C504/100*G499,0)</f>
        <v>0</v>
      </c>
      <c r="J504" s="223">
        <f>J492</f>
        <v>6.3540000000000001</v>
      </c>
      <c r="K504" s="209" t="s">
        <v>99</v>
      </c>
      <c r="L504" s="127">
        <f>ROUND(J504*$C504/100*J499,0)</f>
        <v>0</v>
      </c>
      <c r="N504" s="54"/>
      <c r="O504" s="54"/>
      <c r="P504" s="109"/>
      <c r="Q504" s="109"/>
      <c r="R504" s="109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</row>
    <row r="505" spans="1:37" hidden="1">
      <c r="A505" s="136" t="s">
        <v>139</v>
      </c>
      <c r="B505" s="136"/>
      <c r="C505" s="205">
        <v>0</v>
      </c>
      <c r="D505" s="223">
        <v>5.9020000000000001</v>
      </c>
      <c r="E505" s="209" t="s">
        <v>99</v>
      </c>
      <c r="F505" s="127">
        <f>ROUND(D505*$C505/100*D499,0)</f>
        <v>0</v>
      </c>
      <c r="G505" s="223">
        <v>6.7460000000000004</v>
      </c>
      <c r="H505" s="209" t="s">
        <v>99</v>
      </c>
      <c r="I505" s="127">
        <f>ROUND(G505*$C505/100*G499,0)</f>
        <v>0</v>
      </c>
      <c r="J505" s="223">
        <f>J493</f>
        <v>4.3890000000000002</v>
      </c>
      <c r="K505" s="209" t="s">
        <v>99</v>
      </c>
      <c r="L505" s="127">
        <f>ROUND(J505*$C505/100*J499,0)</f>
        <v>0</v>
      </c>
      <c r="N505" s="54"/>
      <c r="O505" s="54"/>
      <c r="P505" s="109"/>
      <c r="Q505" s="109"/>
      <c r="R505" s="109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</row>
    <row r="506" spans="1:37" hidden="1">
      <c r="A506" s="136" t="s">
        <v>140</v>
      </c>
      <c r="B506" s="136"/>
      <c r="C506" s="205">
        <v>0</v>
      </c>
      <c r="D506" s="223">
        <v>5.0839999999999996</v>
      </c>
      <c r="E506" s="209" t="s">
        <v>99</v>
      </c>
      <c r="F506" s="127">
        <f>ROUND(D506*$C506/100*D499,0)</f>
        <v>0</v>
      </c>
      <c r="G506" s="223">
        <v>5.8120000000000003</v>
      </c>
      <c r="H506" s="209" t="s">
        <v>99</v>
      </c>
      <c r="I506" s="127">
        <f>ROUND(G506*$C506/100*G499,0)</f>
        <v>0</v>
      </c>
      <c r="J506" s="223">
        <f>J494</f>
        <v>3.782</v>
      </c>
      <c r="K506" s="209" t="s">
        <v>99</v>
      </c>
      <c r="L506" s="127">
        <f>ROUND(J506*$C506/100*J499,0)</f>
        <v>0</v>
      </c>
      <c r="N506" s="54"/>
      <c r="O506" s="54"/>
      <c r="P506" s="109"/>
      <c r="Q506" s="109"/>
      <c r="R506" s="109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</row>
    <row r="507" spans="1:37" hidden="1">
      <c r="A507" s="136" t="s">
        <v>141</v>
      </c>
      <c r="B507" s="136"/>
      <c r="C507" s="205">
        <v>0</v>
      </c>
      <c r="D507" s="224">
        <v>50</v>
      </c>
      <c r="E507" s="209" t="s">
        <v>99</v>
      </c>
      <c r="F507" s="127">
        <f>ROUND(D507*$C507/100*D499,0)</f>
        <v>0</v>
      </c>
      <c r="G507" s="224">
        <v>56</v>
      </c>
      <c r="H507" s="209" t="s">
        <v>99</v>
      </c>
      <c r="I507" s="127">
        <f>ROUND(G507*$C507/100*G499,0)</f>
        <v>0</v>
      </c>
      <c r="J507" s="224">
        <f>J495</f>
        <v>62</v>
      </c>
      <c r="K507" s="209" t="s">
        <v>99</v>
      </c>
      <c r="L507" s="127">
        <f>ROUND(J507*$C507/100*J499,0)</f>
        <v>0</v>
      </c>
      <c r="N507" s="54"/>
      <c r="O507" s="54"/>
      <c r="P507" s="109"/>
      <c r="Q507" s="109"/>
      <c r="R507" s="109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</row>
    <row r="508" spans="1:37" hidden="1">
      <c r="A508" s="136" t="s">
        <v>152</v>
      </c>
      <c r="B508" s="136"/>
      <c r="C508" s="205">
        <v>0</v>
      </c>
      <c r="D508" s="225">
        <v>60</v>
      </c>
      <c r="E508" s="207"/>
      <c r="F508" s="127">
        <f>ROUND(D508*$C508,0)</f>
        <v>0</v>
      </c>
      <c r="G508" s="225">
        <v>60</v>
      </c>
      <c r="H508" s="209"/>
      <c r="I508" s="127">
        <f>ROUND(G508*C508,0)</f>
        <v>0</v>
      </c>
      <c r="J508" s="225">
        <f>$J$194</f>
        <v>60</v>
      </c>
      <c r="K508" s="209"/>
      <c r="L508" s="127">
        <f>ROUND(J508*$C508,0)</f>
        <v>0</v>
      </c>
      <c r="N508" s="54"/>
      <c r="O508" s="54"/>
      <c r="P508" s="109"/>
      <c r="Q508" s="109"/>
      <c r="R508" s="109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</row>
    <row r="509" spans="1:37" hidden="1">
      <c r="A509" s="136" t="s">
        <v>153</v>
      </c>
      <c r="B509" s="136"/>
      <c r="C509" s="205">
        <v>0</v>
      </c>
      <c r="D509" s="226">
        <v>-30</v>
      </c>
      <c r="E509" s="207" t="s">
        <v>99</v>
      </c>
      <c r="F509" s="127">
        <f>ROUND(D509*$C509/100,0)</f>
        <v>0</v>
      </c>
      <c r="G509" s="226">
        <v>-30</v>
      </c>
      <c r="H509" s="209" t="s">
        <v>99</v>
      </c>
      <c r="I509" s="127">
        <f>ROUND(G509*C509/100,0)</f>
        <v>0</v>
      </c>
      <c r="J509" s="226">
        <f>$J$195</f>
        <v>-30</v>
      </c>
      <c r="K509" s="209" t="s">
        <v>99</v>
      </c>
      <c r="L509" s="127">
        <f>ROUND(J509*$C509/100,0)</f>
        <v>0</v>
      </c>
      <c r="N509" s="54"/>
      <c r="O509" s="54"/>
      <c r="P509" s="109"/>
      <c r="Q509" s="109"/>
      <c r="R509" s="109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</row>
    <row r="510" spans="1:37" hidden="1">
      <c r="A510" s="134" t="s">
        <v>142</v>
      </c>
      <c r="C510" s="125">
        <f>C504</f>
        <v>0</v>
      </c>
      <c r="D510" s="133"/>
      <c r="E510" s="54"/>
      <c r="F510" s="127"/>
      <c r="G510" s="133"/>
      <c r="H510" s="54"/>
      <c r="I510" s="127"/>
      <c r="J510" s="135">
        <f>J179</f>
        <v>4.42</v>
      </c>
      <c r="K510" s="209" t="s">
        <v>99</v>
      </c>
      <c r="L510" s="127">
        <f t="shared" ref="L510:L512" si="78">ROUND(J510*$C510/100,0)</f>
        <v>0</v>
      </c>
      <c r="N510" s="128"/>
      <c r="P510" s="93"/>
      <c r="Q510" s="108"/>
      <c r="R510" s="108"/>
      <c r="S510" s="129"/>
      <c r="T510" s="129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K510" s="128"/>
    </row>
    <row r="511" spans="1:37" hidden="1">
      <c r="A511" s="134" t="s">
        <v>143</v>
      </c>
      <c r="C511" s="125">
        <f t="shared" ref="C511:C512" si="79">C505</f>
        <v>0</v>
      </c>
      <c r="D511" s="133"/>
      <c r="E511" s="54"/>
      <c r="F511" s="127"/>
      <c r="G511" s="133"/>
      <c r="H511" s="54"/>
      <c r="I511" s="127"/>
      <c r="J511" s="135">
        <f>J180</f>
        <v>3.0529999999999999</v>
      </c>
      <c r="K511" s="209" t="s">
        <v>99</v>
      </c>
      <c r="L511" s="127">
        <f t="shared" si="78"/>
        <v>0</v>
      </c>
      <c r="N511" s="128"/>
      <c r="P511" s="93"/>
      <c r="Q511" s="108"/>
      <c r="R511" s="108"/>
      <c r="S511" s="129"/>
      <c r="T511" s="129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K511" s="128"/>
    </row>
    <row r="512" spans="1:37" hidden="1">
      <c r="A512" s="134" t="s">
        <v>144</v>
      </c>
      <c r="C512" s="125">
        <f t="shared" si="79"/>
        <v>0</v>
      </c>
      <c r="D512" s="133"/>
      <c r="E512" s="54"/>
      <c r="F512" s="127"/>
      <c r="G512" s="133"/>
      <c r="H512" s="54"/>
      <c r="I512" s="127"/>
      <c r="J512" s="135">
        <f>J181</f>
        <v>2.63</v>
      </c>
      <c r="K512" s="209" t="s">
        <v>99</v>
      </c>
      <c r="L512" s="127">
        <f t="shared" si="78"/>
        <v>0</v>
      </c>
      <c r="N512" s="128"/>
      <c r="P512" s="93"/>
      <c r="Q512" s="108"/>
      <c r="R512" s="108"/>
      <c r="S512" s="129"/>
      <c r="T512" s="129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K512" s="128"/>
    </row>
    <row r="513" spans="1:35" hidden="1">
      <c r="A513" s="136" t="s">
        <v>122</v>
      </c>
      <c r="B513" s="136"/>
      <c r="C513" s="205">
        <f>SUM(C492:C494)</f>
        <v>351411</v>
      </c>
      <c r="D513" s="215"/>
      <c r="E513" s="127"/>
      <c r="F513" s="127">
        <f>SUM(F486:F509)</f>
        <v>104746</v>
      </c>
      <c r="G513" s="215"/>
      <c r="H513" s="209"/>
      <c r="I513" s="127">
        <f>SUM(I486:I509)</f>
        <v>119617</v>
      </c>
      <c r="J513" s="215"/>
      <c r="K513" s="209"/>
      <c r="L513" s="127">
        <f>SUM(L486:L512)</f>
        <v>131759</v>
      </c>
      <c r="N513" s="54"/>
      <c r="O513" s="54"/>
      <c r="P513" s="109"/>
      <c r="Q513" s="109"/>
      <c r="R513" s="109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</row>
    <row r="514" spans="1:35" hidden="1">
      <c r="A514" s="136" t="s">
        <v>102</v>
      </c>
      <c r="B514" s="136"/>
      <c r="C514" s="246">
        <v>-905.99909962916831</v>
      </c>
      <c r="D514" s="149"/>
      <c r="E514" s="149"/>
      <c r="F514" s="229" t="e">
        <f>#REF!</f>
        <v>#REF!</v>
      </c>
      <c r="G514" s="149"/>
      <c r="H514" s="149"/>
      <c r="I514" s="229">
        <v>-300.81745054377819</v>
      </c>
      <c r="J514" s="149"/>
      <c r="K514" s="149"/>
      <c r="L514" s="229">
        <f>I514</f>
        <v>-300.81745054377819</v>
      </c>
      <c r="N514" s="164"/>
      <c r="O514" s="164"/>
      <c r="P514" s="162"/>
      <c r="Q514" s="109"/>
      <c r="R514" s="109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</row>
    <row r="515" spans="1:35" ht="16.5" hidden="1" thickBot="1">
      <c r="A515" s="136" t="s">
        <v>123</v>
      </c>
      <c r="B515" s="136"/>
      <c r="C515" s="193">
        <f>SUM(C513:C514)</f>
        <v>350505.00090037083</v>
      </c>
      <c r="D515" s="231"/>
      <c r="E515" s="232"/>
      <c r="F515" s="233" t="e">
        <f>F513+F514</f>
        <v>#REF!</v>
      </c>
      <c r="G515" s="231"/>
      <c r="H515" s="235"/>
      <c r="I515" s="233">
        <f>I513+I514</f>
        <v>119316.18254945622</v>
      </c>
      <c r="J515" s="231"/>
      <c r="K515" s="235"/>
      <c r="L515" s="233">
        <f>L513+L514</f>
        <v>131458.18254945622</v>
      </c>
      <c r="N515" s="165"/>
      <c r="O515" s="165"/>
      <c r="P515" s="166"/>
      <c r="Q515" s="109"/>
      <c r="R515" s="109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</row>
    <row r="516" spans="1:35" hidden="1">
      <c r="A516" s="136"/>
      <c r="B516" s="136"/>
      <c r="C516" s="168"/>
      <c r="D516" s="225"/>
      <c r="E516" s="127"/>
      <c r="F516" s="127"/>
      <c r="G516" s="225" t="s">
        <v>0</v>
      </c>
      <c r="H516" s="136"/>
      <c r="I516" s="127"/>
      <c r="J516" s="251" t="s">
        <v>0</v>
      </c>
      <c r="K516" s="136"/>
      <c r="L516" s="127" t="s">
        <v>0</v>
      </c>
      <c r="N516" s="54"/>
      <c r="O516" s="54"/>
      <c r="P516" s="109"/>
      <c r="Q516" s="109"/>
      <c r="R516" s="109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</row>
    <row r="517" spans="1:35" hidden="1">
      <c r="A517" s="167" t="s">
        <v>163</v>
      </c>
      <c r="B517" s="136"/>
      <c r="C517" s="136"/>
      <c r="D517" s="127"/>
      <c r="E517" s="127"/>
      <c r="F517" s="136" t="s">
        <v>0</v>
      </c>
      <c r="G517" s="127"/>
      <c r="H517" s="136"/>
      <c r="I517" s="136"/>
      <c r="J517" s="127"/>
      <c r="K517" s="136"/>
      <c r="L517" s="136"/>
      <c r="N517" s="54"/>
      <c r="O517" s="54"/>
      <c r="P517" s="109"/>
      <c r="Q517" s="109"/>
      <c r="R517" s="109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</row>
    <row r="518" spans="1:35" hidden="1">
      <c r="A518" s="136" t="s">
        <v>160</v>
      </c>
      <c r="B518" s="136"/>
      <c r="C518" s="136"/>
      <c r="D518" s="127"/>
      <c r="E518" s="127"/>
      <c r="F518" s="136"/>
      <c r="G518" s="127"/>
      <c r="H518" s="136"/>
      <c r="I518" s="136"/>
      <c r="J518" s="127"/>
      <c r="K518" s="136"/>
      <c r="L518" s="136"/>
      <c r="N518" s="54"/>
      <c r="O518" s="54"/>
      <c r="P518" s="109"/>
      <c r="Q518" s="109"/>
      <c r="R518" s="109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</row>
    <row r="519" spans="1:35" hidden="1">
      <c r="A519" s="136" t="s">
        <v>164</v>
      </c>
      <c r="B519" s="136"/>
      <c r="C519" s="136"/>
      <c r="D519" s="127"/>
      <c r="E519" s="127"/>
      <c r="F519" s="136"/>
      <c r="G519" s="127"/>
      <c r="H519" s="136"/>
      <c r="I519" s="136"/>
      <c r="J519" s="127"/>
      <c r="K519" s="136"/>
      <c r="L519" s="136"/>
      <c r="N519" s="54"/>
      <c r="O519" s="54"/>
      <c r="P519" s="109"/>
      <c r="Q519" s="109"/>
      <c r="R519" s="109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</row>
    <row r="520" spans="1:35" hidden="1">
      <c r="A520" s="136" t="s">
        <v>135</v>
      </c>
      <c r="B520" s="136"/>
      <c r="C520" s="205"/>
      <c r="D520" s="127"/>
      <c r="E520" s="127"/>
      <c r="F520" s="136"/>
      <c r="G520" s="127"/>
      <c r="H520" s="136"/>
      <c r="I520" s="136"/>
      <c r="J520" s="127"/>
      <c r="K520" s="136"/>
      <c r="L520" s="136"/>
      <c r="N520" s="54"/>
      <c r="O520" s="54"/>
      <c r="P520" s="109"/>
      <c r="Q520" s="109"/>
      <c r="R520" s="109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</row>
    <row r="521" spans="1:35" hidden="1">
      <c r="A521" s="136" t="s">
        <v>132</v>
      </c>
      <c r="B521" s="136"/>
      <c r="C521" s="205">
        <v>0</v>
      </c>
      <c r="D521" s="172">
        <v>91.679999999999993</v>
      </c>
      <c r="E521" s="207"/>
      <c r="F521" s="127">
        <f>ROUND(D521*$C521,0)</f>
        <v>0</v>
      </c>
      <c r="G521" s="172">
        <v>104.52000000000001</v>
      </c>
      <c r="H521" s="209"/>
      <c r="I521" s="127">
        <f>ROUND(G521*$C521,0)</f>
        <v>0</v>
      </c>
      <c r="J521" s="172">
        <f>$J$165</f>
        <v>115.32</v>
      </c>
      <c r="K521" s="209"/>
      <c r="L521" s="127">
        <f>ROUND(J521*$C521,0)</f>
        <v>0</v>
      </c>
      <c r="N521" s="54"/>
      <c r="O521" s="54"/>
      <c r="P521" s="109"/>
      <c r="Q521" s="109"/>
      <c r="R521" s="109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</row>
    <row r="522" spans="1:35" hidden="1">
      <c r="A522" s="136" t="s">
        <v>133</v>
      </c>
      <c r="B522" s="136"/>
      <c r="C522" s="205">
        <v>1</v>
      </c>
      <c r="D522" s="172">
        <v>136.32</v>
      </c>
      <c r="E522" s="210"/>
      <c r="F522" s="127">
        <f>ROUND(D522*$C522,0)</f>
        <v>136</v>
      </c>
      <c r="G522" s="172">
        <v>155.76</v>
      </c>
      <c r="H522" s="211"/>
      <c r="I522" s="127">
        <f t="shared" ref="I522:I523" si="80">ROUND(G522*$C522,0)</f>
        <v>156</v>
      </c>
      <c r="J522" s="172">
        <f>$J$166</f>
        <v>171.84</v>
      </c>
      <c r="K522" s="211"/>
      <c r="L522" s="127">
        <f>ROUND(J522*$C522,0)</f>
        <v>172</v>
      </c>
      <c r="N522" s="54"/>
      <c r="O522" s="54"/>
      <c r="P522" s="109"/>
      <c r="Q522" s="109"/>
      <c r="R522" s="109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</row>
    <row r="523" spans="1:35" hidden="1">
      <c r="A523" s="136" t="s">
        <v>134</v>
      </c>
      <c r="B523" s="136"/>
      <c r="C523" s="205">
        <v>75</v>
      </c>
      <c r="D523" s="172">
        <v>9.66</v>
      </c>
      <c r="E523" s="210"/>
      <c r="F523" s="127">
        <f>ROUND(D523*$C523,0)</f>
        <v>725</v>
      </c>
      <c r="G523" s="172">
        <v>11.040000000000001</v>
      </c>
      <c r="H523" s="211"/>
      <c r="I523" s="127">
        <f t="shared" si="80"/>
        <v>828</v>
      </c>
      <c r="J523" s="172">
        <f>$J$167</f>
        <v>12.120000000000001</v>
      </c>
      <c r="K523" s="211"/>
      <c r="L523" s="127">
        <f>ROUND(J523*$C523,0)</f>
        <v>909</v>
      </c>
      <c r="N523" s="54"/>
      <c r="O523" s="54"/>
      <c r="P523" s="109"/>
      <c r="Q523" s="109"/>
      <c r="R523" s="109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</row>
    <row r="524" spans="1:35" hidden="1">
      <c r="A524" s="136" t="s">
        <v>136</v>
      </c>
      <c r="B524" s="136"/>
      <c r="C524" s="205">
        <f>SUM(C521:C522)</f>
        <v>1</v>
      </c>
      <c r="D524" s="172"/>
      <c r="E524" s="207"/>
      <c r="F524" s="127"/>
      <c r="G524" s="172"/>
      <c r="H524" s="209"/>
      <c r="I524" s="127"/>
      <c r="J524" s="172"/>
      <c r="K524" s="209"/>
      <c r="L524" s="127"/>
      <c r="N524" s="54"/>
      <c r="O524" s="54"/>
      <c r="P524" s="109"/>
      <c r="Q524" s="109"/>
      <c r="R524" s="109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</row>
    <row r="525" spans="1:35" hidden="1">
      <c r="A525" s="136" t="s">
        <v>165</v>
      </c>
      <c r="B525" s="136"/>
      <c r="C525" s="205">
        <v>12</v>
      </c>
      <c r="D525" s="172"/>
      <c r="E525" s="207"/>
      <c r="F525" s="127"/>
      <c r="G525" s="172"/>
      <c r="H525" s="209"/>
      <c r="I525" s="127"/>
      <c r="J525" s="172"/>
      <c r="K525" s="209"/>
      <c r="L525" s="127"/>
      <c r="N525" s="54"/>
      <c r="O525" s="54"/>
      <c r="P525" s="109"/>
      <c r="Q525" s="109"/>
      <c r="R525" s="109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</row>
    <row r="526" spans="1:35" hidden="1">
      <c r="A526" s="136" t="s">
        <v>137</v>
      </c>
      <c r="B526" s="136"/>
      <c r="C526" s="205">
        <v>238</v>
      </c>
      <c r="D526" s="225">
        <v>2.98</v>
      </c>
      <c r="E526" s="209"/>
      <c r="F526" s="127">
        <f>ROUND(D526*$C526,0)</f>
        <v>709</v>
      </c>
      <c r="G526" s="225">
        <v>3.4</v>
      </c>
      <c r="H526" s="209"/>
      <c r="I526" s="127">
        <f>ROUND(G526*C526,0)</f>
        <v>809</v>
      </c>
      <c r="J526" s="225">
        <f>$J$174</f>
        <v>3.75</v>
      </c>
      <c r="K526" s="209"/>
      <c r="L526" s="127">
        <f>ROUND(J526*$C526,0)</f>
        <v>893</v>
      </c>
      <c r="N526" s="54"/>
      <c r="O526" s="54"/>
      <c r="P526" s="109"/>
      <c r="Q526" s="109"/>
      <c r="R526" s="109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</row>
    <row r="527" spans="1:35" hidden="1">
      <c r="A527" s="136" t="s">
        <v>138</v>
      </c>
      <c r="B527" s="136"/>
      <c r="C527" s="205">
        <v>5433</v>
      </c>
      <c r="D527" s="135">
        <v>8.5489999999999995</v>
      </c>
      <c r="E527" s="209" t="s">
        <v>99</v>
      </c>
      <c r="F527" s="127">
        <f>ROUND(D527*$C527/100,0)</f>
        <v>464</v>
      </c>
      <c r="G527" s="135">
        <v>9.766</v>
      </c>
      <c r="H527" s="209" t="s">
        <v>99</v>
      </c>
      <c r="I527" s="127">
        <f>ROUND(G527*C527/100,0)</f>
        <v>531</v>
      </c>
      <c r="J527" s="135">
        <f>$J$175</f>
        <v>6.3540000000000001</v>
      </c>
      <c r="K527" s="209" t="s">
        <v>99</v>
      </c>
      <c r="L527" s="127">
        <f>ROUND(J527*$C527/100,0)</f>
        <v>345</v>
      </c>
      <c r="N527" s="54"/>
      <c r="O527" s="54"/>
      <c r="P527" s="109"/>
      <c r="Q527" s="109"/>
      <c r="R527" s="109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</row>
    <row r="528" spans="1:35" hidden="1">
      <c r="A528" s="136" t="s">
        <v>139</v>
      </c>
      <c r="B528" s="136"/>
      <c r="C528" s="205">
        <v>634</v>
      </c>
      <c r="D528" s="135">
        <v>5.9020000000000001</v>
      </c>
      <c r="E528" s="209" t="s">
        <v>99</v>
      </c>
      <c r="F528" s="127">
        <f>ROUND(D528*$C528/100,0)</f>
        <v>37</v>
      </c>
      <c r="G528" s="135">
        <v>6.7460000000000004</v>
      </c>
      <c r="H528" s="209" t="s">
        <v>99</v>
      </c>
      <c r="I528" s="127">
        <f t="shared" ref="I528:I530" si="81">ROUND(G528*C528/100,0)</f>
        <v>43</v>
      </c>
      <c r="J528" s="135">
        <f>$J$176</f>
        <v>4.3890000000000002</v>
      </c>
      <c r="K528" s="209" t="s">
        <v>99</v>
      </c>
      <c r="L528" s="127">
        <f>ROUND(J528*$C528/100,0)</f>
        <v>28</v>
      </c>
      <c r="N528" s="54"/>
      <c r="O528" s="54"/>
      <c r="P528" s="109"/>
      <c r="Q528" s="109"/>
      <c r="R528" s="109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</row>
    <row r="529" spans="1:37" hidden="1">
      <c r="A529" s="136" t="s">
        <v>140</v>
      </c>
      <c r="B529" s="136"/>
      <c r="C529" s="205">
        <v>0</v>
      </c>
      <c r="D529" s="135">
        <v>5.0839999999999996</v>
      </c>
      <c r="E529" s="209" t="s">
        <v>99</v>
      </c>
      <c r="F529" s="127">
        <f>ROUND(D529*$C529/100,0)</f>
        <v>0</v>
      </c>
      <c r="G529" s="135">
        <v>5.8120000000000003</v>
      </c>
      <c r="H529" s="209" t="s">
        <v>99</v>
      </c>
      <c r="I529" s="127">
        <f t="shared" si="81"/>
        <v>0</v>
      </c>
      <c r="J529" s="135">
        <f>$J$177</f>
        <v>3.782</v>
      </c>
      <c r="K529" s="209" t="s">
        <v>99</v>
      </c>
      <c r="L529" s="127">
        <f>ROUND(J529*$C529/100,0)</f>
        <v>0</v>
      </c>
      <c r="N529" s="54"/>
      <c r="O529" s="54"/>
      <c r="P529" s="109"/>
      <c r="Q529" s="109"/>
      <c r="R529" s="109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</row>
    <row r="530" spans="1:37" hidden="1">
      <c r="A530" s="136" t="s">
        <v>141</v>
      </c>
      <c r="B530" s="136"/>
      <c r="C530" s="205">
        <v>0</v>
      </c>
      <c r="D530" s="215">
        <v>50</v>
      </c>
      <c r="E530" s="207" t="s">
        <v>99</v>
      </c>
      <c r="F530" s="127">
        <f>ROUND(D530*$C530/100,0)</f>
        <v>0</v>
      </c>
      <c r="G530" s="215">
        <v>56</v>
      </c>
      <c r="H530" s="209" t="s">
        <v>99</v>
      </c>
      <c r="I530" s="127">
        <f t="shared" si="81"/>
        <v>0</v>
      </c>
      <c r="J530" s="215">
        <f>$J$178</f>
        <v>62</v>
      </c>
      <c r="K530" s="209" t="s">
        <v>99</v>
      </c>
      <c r="L530" s="127">
        <f>ROUND(J530*$C530/100,0)</f>
        <v>0</v>
      </c>
      <c r="N530" s="54"/>
      <c r="O530" s="54"/>
      <c r="P530" s="109"/>
      <c r="Q530" s="109"/>
      <c r="R530" s="109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</row>
    <row r="531" spans="1:37" hidden="1">
      <c r="A531" s="134" t="s">
        <v>142</v>
      </c>
      <c r="C531" s="125">
        <f>C527</f>
        <v>5433</v>
      </c>
      <c r="D531" s="133"/>
      <c r="E531" s="54"/>
      <c r="F531" s="127"/>
      <c r="G531" s="133"/>
      <c r="H531" s="54"/>
      <c r="I531" s="127"/>
      <c r="J531" s="135">
        <f>J179</f>
        <v>4.42</v>
      </c>
      <c r="K531" s="209" t="s">
        <v>99</v>
      </c>
      <c r="L531" s="127">
        <f t="shared" ref="L531:L533" si="82">ROUND(J531*$C531/100,0)</f>
        <v>240</v>
      </c>
      <c r="N531" s="128"/>
      <c r="P531" s="93"/>
      <c r="Q531" s="108"/>
      <c r="R531" s="108"/>
      <c r="S531" s="129"/>
      <c r="T531" s="129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K531" s="128"/>
    </row>
    <row r="532" spans="1:37" hidden="1">
      <c r="A532" s="134" t="s">
        <v>143</v>
      </c>
      <c r="C532" s="125">
        <f>C528</f>
        <v>634</v>
      </c>
      <c r="D532" s="133"/>
      <c r="E532" s="54"/>
      <c r="F532" s="127"/>
      <c r="G532" s="133"/>
      <c r="H532" s="54"/>
      <c r="I532" s="127"/>
      <c r="J532" s="135">
        <f>J180</f>
        <v>3.0529999999999999</v>
      </c>
      <c r="K532" s="209" t="s">
        <v>99</v>
      </c>
      <c r="L532" s="127">
        <f t="shared" si="82"/>
        <v>19</v>
      </c>
      <c r="N532" s="128"/>
      <c r="P532" s="93"/>
      <c r="Q532" s="108"/>
      <c r="R532" s="108"/>
      <c r="S532" s="129"/>
      <c r="T532" s="129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K532" s="128"/>
    </row>
    <row r="533" spans="1:37" hidden="1">
      <c r="A533" s="134" t="s">
        <v>144</v>
      </c>
      <c r="C533" s="125">
        <f>C529</f>
        <v>0</v>
      </c>
      <c r="D533" s="133"/>
      <c r="E533" s="54"/>
      <c r="F533" s="127"/>
      <c r="G533" s="133"/>
      <c r="H533" s="54"/>
      <c r="I533" s="127"/>
      <c r="J533" s="135">
        <f>J181</f>
        <v>2.63</v>
      </c>
      <c r="K533" s="209" t="s">
        <v>99</v>
      </c>
      <c r="L533" s="127">
        <f t="shared" si="82"/>
        <v>0</v>
      </c>
      <c r="N533" s="128"/>
      <c r="P533" s="93"/>
      <c r="Q533" s="108"/>
      <c r="R533" s="108"/>
      <c r="S533" s="129"/>
      <c r="T533" s="129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K533" s="128"/>
    </row>
    <row r="534" spans="1:37" hidden="1">
      <c r="A534" s="219" t="s">
        <v>148</v>
      </c>
      <c r="B534" s="136"/>
      <c r="C534" s="205"/>
      <c r="D534" s="220">
        <v>-0.01</v>
      </c>
      <c r="E534" s="207"/>
      <c r="F534" s="127"/>
      <c r="G534" s="220">
        <v>-0.01</v>
      </c>
      <c r="H534" s="209"/>
      <c r="I534" s="127"/>
      <c r="J534" s="220">
        <v>-0.01</v>
      </c>
      <c r="K534" s="209"/>
      <c r="L534" s="127"/>
      <c r="N534" s="54"/>
      <c r="O534" s="54"/>
      <c r="P534" s="109"/>
      <c r="Q534" s="109"/>
      <c r="R534" s="109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</row>
    <row r="535" spans="1:37" hidden="1">
      <c r="A535" s="136" t="s">
        <v>132</v>
      </c>
      <c r="B535" s="136"/>
      <c r="C535" s="205">
        <v>0</v>
      </c>
      <c r="D535" s="222">
        <v>91.679999999999993</v>
      </c>
      <c r="E535" s="207"/>
      <c r="F535" s="127">
        <f>-ROUND(D535*$C535/100,0)</f>
        <v>0</v>
      </c>
      <c r="G535" s="222">
        <v>104.52000000000001</v>
      </c>
      <c r="H535" s="207"/>
      <c r="I535" s="127">
        <f>-ROUND(G535*$C535/100,0)</f>
        <v>0</v>
      </c>
      <c r="J535" s="222">
        <f>J521</f>
        <v>115.32</v>
      </c>
      <c r="K535" s="207"/>
      <c r="L535" s="127">
        <f>-ROUND(J535*$C535/100,0)</f>
        <v>0</v>
      </c>
      <c r="N535" s="54"/>
      <c r="O535" s="54"/>
      <c r="P535" s="109"/>
      <c r="Q535" s="109"/>
      <c r="R535" s="109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</row>
    <row r="536" spans="1:37" hidden="1">
      <c r="A536" s="136" t="s">
        <v>133</v>
      </c>
      <c r="B536" s="136"/>
      <c r="C536" s="205">
        <v>0</v>
      </c>
      <c r="D536" s="222">
        <v>136.32</v>
      </c>
      <c r="E536" s="207"/>
      <c r="F536" s="127">
        <f>-ROUND(D536*$C536/100,0)</f>
        <v>0</v>
      </c>
      <c r="G536" s="222">
        <v>155.76</v>
      </c>
      <c r="H536" s="207"/>
      <c r="I536" s="127">
        <f t="shared" ref="I536:I538" si="83">-ROUND(G536*$C536/100,0)</f>
        <v>0</v>
      </c>
      <c r="J536" s="222">
        <f>J522</f>
        <v>171.84</v>
      </c>
      <c r="K536" s="207"/>
      <c r="L536" s="127">
        <f>-ROUND(J536*$C536/100,0)</f>
        <v>0</v>
      </c>
      <c r="N536" s="54"/>
      <c r="O536" s="54"/>
      <c r="P536" s="109"/>
      <c r="Q536" s="109"/>
      <c r="R536" s="109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</row>
    <row r="537" spans="1:37" hidden="1">
      <c r="A537" s="136" t="s">
        <v>149</v>
      </c>
      <c r="B537" s="136"/>
      <c r="C537" s="205">
        <v>0</v>
      </c>
      <c r="D537" s="222">
        <v>9.66</v>
      </c>
      <c r="E537" s="207"/>
      <c r="F537" s="127">
        <f>-ROUND(D537*$C537/100,0)</f>
        <v>0</v>
      </c>
      <c r="G537" s="222">
        <v>11.040000000000001</v>
      </c>
      <c r="H537" s="207"/>
      <c r="I537" s="127">
        <f t="shared" si="83"/>
        <v>0</v>
      </c>
      <c r="J537" s="222">
        <f>J523</f>
        <v>12.120000000000001</v>
      </c>
      <c r="K537" s="207"/>
      <c r="L537" s="127">
        <f>-ROUND(J537*$C537/100,0)</f>
        <v>0</v>
      </c>
      <c r="N537" s="54"/>
      <c r="O537" s="54"/>
      <c r="P537" s="109"/>
      <c r="Q537" s="109"/>
      <c r="R537" s="109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</row>
    <row r="538" spans="1:37" hidden="1">
      <c r="A538" s="136" t="s">
        <v>150</v>
      </c>
      <c r="B538" s="136"/>
      <c r="C538" s="205">
        <v>0</v>
      </c>
      <c r="D538" s="222">
        <v>2.98</v>
      </c>
      <c r="E538" s="209"/>
      <c r="F538" s="127">
        <f>-ROUND(D538*$C538/100,0)</f>
        <v>0</v>
      </c>
      <c r="G538" s="222">
        <v>3.4</v>
      </c>
      <c r="H538" s="209"/>
      <c r="I538" s="127">
        <f t="shared" si="83"/>
        <v>0</v>
      </c>
      <c r="J538" s="222">
        <f>J526</f>
        <v>3.75</v>
      </c>
      <c r="K538" s="209"/>
      <c r="L538" s="127">
        <f>-ROUND(J538*$C538/100,0)</f>
        <v>0</v>
      </c>
      <c r="N538" s="54"/>
      <c r="O538" s="54"/>
      <c r="P538" s="109"/>
      <c r="Q538" s="109"/>
      <c r="R538" s="109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</row>
    <row r="539" spans="1:37" hidden="1">
      <c r="A539" s="136" t="s">
        <v>151</v>
      </c>
      <c r="B539" s="136"/>
      <c r="C539" s="205">
        <v>0</v>
      </c>
      <c r="D539" s="223">
        <v>8.5489999999999995</v>
      </c>
      <c r="E539" s="209" t="s">
        <v>99</v>
      </c>
      <c r="F539" s="127">
        <f>ROUND(D539*$C539/100*D534,0)</f>
        <v>0</v>
      </c>
      <c r="G539" s="223">
        <v>9.766</v>
      </c>
      <c r="H539" s="209" t="s">
        <v>99</v>
      </c>
      <c r="I539" s="127">
        <f>ROUND(G539*$C539/100*G534,0)</f>
        <v>0</v>
      </c>
      <c r="J539" s="223">
        <f>J527</f>
        <v>6.3540000000000001</v>
      </c>
      <c r="K539" s="209" t="s">
        <v>99</v>
      </c>
      <c r="L539" s="127">
        <f>ROUND(J539*$C539/100*J534,0)</f>
        <v>0</v>
      </c>
      <c r="N539" s="54"/>
      <c r="O539" s="54"/>
      <c r="P539" s="109"/>
      <c r="Q539" s="109"/>
      <c r="R539" s="109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</row>
    <row r="540" spans="1:37" hidden="1">
      <c r="A540" s="136" t="s">
        <v>139</v>
      </c>
      <c r="B540" s="136"/>
      <c r="C540" s="205">
        <v>0</v>
      </c>
      <c r="D540" s="223">
        <v>5.9020000000000001</v>
      </c>
      <c r="E540" s="209" t="s">
        <v>99</v>
      </c>
      <c r="F540" s="127">
        <f>ROUND(D540*$C540/100*D534,0)</f>
        <v>0</v>
      </c>
      <c r="G540" s="223">
        <v>6.7460000000000004</v>
      </c>
      <c r="H540" s="209" t="s">
        <v>99</v>
      </c>
      <c r="I540" s="127">
        <f>ROUND(G540*$C540/100*G534,0)</f>
        <v>0</v>
      </c>
      <c r="J540" s="223">
        <f>J528</f>
        <v>4.3890000000000002</v>
      </c>
      <c r="K540" s="209" t="s">
        <v>99</v>
      </c>
      <c r="L540" s="127">
        <f>ROUND(J540*$C540/100*J534,0)</f>
        <v>0</v>
      </c>
      <c r="N540" s="54"/>
      <c r="O540" s="54"/>
      <c r="P540" s="109"/>
      <c r="Q540" s="109"/>
      <c r="R540" s="109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</row>
    <row r="541" spans="1:37" hidden="1">
      <c r="A541" s="136" t="s">
        <v>140</v>
      </c>
      <c r="B541" s="136"/>
      <c r="C541" s="205">
        <v>0</v>
      </c>
      <c r="D541" s="223">
        <v>5.0839999999999996</v>
      </c>
      <c r="E541" s="209" t="s">
        <v>99</v>
      </c>
      <c r="F541" s="127">
        <f>ROUND(D541*$C541/100*D534,0)</f>
        <v>0</v>
      </c>
      <c r="G541" s="223">
        <v>5.8120000000000003</v>
      </c>
      <c r="H541" s="209" t="s">
        <v>99</v>
      </c>
      <c r="I541" s="127">
        <f>ROUND(G541*$C541/100*G534,0)</f>
        <v>0</v>
      </c>
      <c r="J541" s="223">
        <f>J529</f>
        <v>3.782</v>
      </c>
      <c r="K541" s="209" t="s">
        <v>99</v>
      </c>
      <c r="L541" s="127">
        <f>ROUND(J541*$C541/100*J534,0)</f>
        <v>0</v>
      </c>
      <c r="N541" s="54"/>
      <c r="O541" s="54"/>
      <c r="P541" s="109"/>
      <c r="Q541" s="109"/>
      <c r="R541" s="109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</row>
    <row r="542" spans="1:37" hidden="1">
      <c r="A542" s="136" t="s">
        <v>141</v>
      </c>
      <c r="B542" s="136"/>
      <c r="C542" s="205">
        <v>0</v>
      </c>
      <c r="D542" s="224">
        <v>50</v>
      </c>
      <c r="E542" s="209" t="s">
        <v>99</v>
      </c>
      <c r="F542" s="127">
        <f>ROUND(D542*$C542/100*D534,0)</f>
        <v>0</v>
      </c>
      <c r="G542" s="224">
        <v>56</v>
      </c>
      <c r="H542" s="209" t="s">
        <v>99</v>
      </c>
      <c r="I542" s="127">
        <f>ROUND(G542*$C542/100*G534,0)</f>
        <v>0</v>
      </c>
      <c r="J542" s="224">
        <f>J530</f>
        <v>62</v>
      </c>
      <c r="K542" s="209" t="s">
        <v>99</v>
      </c>
      <c r="L542" s="127">
        <f>ROUND(J542*$C542/100*J534,0)</f>
        <v>0</v>
      </c>
      <c r="N542" s="54"/>
      <c r="O542" s="54"/>
      <c r="P542" s="109"/>
      <c r="Q542" s="109"/>
      <c r="R542" s="109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</row>
    <row r="543" spans="1:37" hidden="1">
      <c r="A543" s="136" t="s">
        <v>152</v>
      </c>
      <c r="B543" s="136"/>
      <c r="C543" s="205">
        <v>0</v>
      </c>
      <c r="D543" s="225">
        <v>60</v>
      </c>
      <c r="E543" s="207"/>
      <c r="F543" s="127">
        <f>ROUND(D543*$C543,0)</f>
        <v>0</v>
      </c>
      <c r="G543" s="225">
        <v>60</v>
      </c>
      <c r="H543" s="209"/>
      <c r="I543" s="127">
        <f>ROUND(G543*C543,0)</f>
        <v>0</v>
      </c>
      <c r="J543" s="225">
        <f>$J$194</f>
        <v>60</v>
      </c>
      <c r="K543" s="209"/>
      <c r="L543" s="127">
        <f>ROUND(J543*$C543,0)</f>
        <v>0</v>
      </c>
      <c r="N543" s="54"/>
      <c r="O543" s="54"/>
      <c r="P543" s="109"/>
      <c r="Q543" s="109"/>
      <c r="R543" s="109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</row>
    <row r="544" spans="1:37" hidden="1">
      <c r="A544" s="136" t="s">
        <v>153</v>
      </c>
      <c r="B544" s="136"/>
      <c r="C544" s="205">
        <v>0</v>
      </c>
      <c r="D544" s="226">
        <v>-30</v>
      </c>
      <c r="E544" s="207" t="s">
        <v>99</v>
      </c>
      <c r="F544" s="127">
        <f>ROUND(D544*$C544/100,0)</f>
        <v>0</v>
      </c>
      <c r="G544" s="226">
        <v>-30</v>
      </c>
      <c r="H544" s="209" t="s">
        <v>99</v>
      </c>
      <c r="I544" s="127">
        <f>ROUND(G544*C544/100,0)</f>
        <v>0</v>
      </c>
      <c r="J544" s="226">
        <f>$J$195</f>
        <v>-30</v>
      </c>
      <c r="K544" s="209" t="s">
        <v>99</v>
      </c>
      <c r="L544" s="127">
        <f>ROUND(J544*$C544/100,0)</f>
        <v>0</v>
      </c>
      <c r="N544" s="54"/>
      <c r="O544" s="54"/>
      <c r="P544" s="109"/>
      <c r="Q544" s="109"/>
      <c r="R544" s="109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</row>
    <row r="545" spans="1:37" hidden="1">
      <c r="A545" s="134" t="s">
        <v>142</v>
      </c>
      <c r="C545" s="125">
        <f>C539</f>
        <v>0</v>
      </c>
      <c r="D545" s="133"/>
      <c r="E545" s="54"/>
      <c r="F545" s="127"/>
      <c r="G545" s="133"/>
      <c r="H545" s="54"/>
      <c r="I545" s="127"/>
      <c r="J545" s="135">
        <f>J179</f>
        <v>4.42</v>
      </c>
      <c r="K545" s="209" t="s">
        <v>99</v>
      </c>
      <c r="L545" s="127">
        <f t="shared" ref="L545:L547" si="84">ROUND(J545*$C545/100,0)</f>
        <v>0</v>
      </c>
      <c r="N545" s="128"/>
      <c r="P545" s="93"/>
      <c r="Q545" s="108"/>
      <c r="R545" s="108"/>
      <c r="S545" s="129"/>
      <c r="T545" s="129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K545" s="128"/>
    </row>
    <row r="546" spans="1:37" hidden="1">
      <c r="A546" s="134" t="s">
        <v>143</v>
      </c>
      <c r="C546" s="125">
        <f>C540</f>
        <v>0</v>
      </c>
      <c r="D546" s="133"/>
      <c r="E546" s="54"/>
      <c r="F546" s="127"/>
      <c r="G546" s="133"/>
      <c r="H546" s="54"/>
      <c r="I546" s="127"/>
      <c r="J546" s="135">
        <f>J180</f>
        <v>3.0529999999999999</v>
      </c>
      <c r="K546" s="209" t="s">
        <v>99</v>
      </c>
      <c r="L546" s="127">
        <f t="shared" si="84"/>
        <v>0</v>
      </c>
      <c r="N546" s="128"/>
      <c r="P546" s="93"/>
      <c r="Q546" s="108"/>
      <c r="R546" s="108"/>
      <c r="S546" s="129"/>
      <c r="T546" s="129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K546" s="128"/>
    </row>
    <row r="547" spans="1:37" hidden="1">
      <c r="A547" s="134" t="s">
        <v>144</v>
      </c>
      <c r="C547" s="125">
        <f>C541</f>
        <v>0</v>
      </c>
      <c r="D547" s="133"/>
      <c r="E547" s="54"/>
      <c r="F547" s="127"/>
      <c r="G547" s="133"/>
      <c r="H547" s="54"/>
      <c r="I547" s="127"/>
      <c r="J547" s="135">
        <f>J181</f>
        <v>2.63</v>
      </c>
      <c r="K547" s="209" t="s">
        <v>99</v>
      </c>
      <c r="L547" s="127">
        <f t="shared" si="84"/>
        <v>0</v>
      </c>
      <c r="N547" s="128"/>
      <c r="P547" s="93"/>
      <c r="Q547" s="108"/>
      <c r="R547" s="108"/>
      <c r="S547" s="129"/>
      <c r="T547" s="129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K547" s="128"/>
    </row>
    <row r="548" spans="1:37" hidden="1">
      <c r="A548" s="136" t="s">
        <v>122</v>
      </c>
      <c r="B548" s="136"/>
      <c r="C548" s="205">
        <f>SUM(C527:C529)</f>
        <v>6067</v>
      </c>
      <c r="D548" s="215"/>
      <c r="E548" s="127"/>
      <c r="F548" s="127">
        <f>SUM(F521:F544)</f>
        <v>2071</v>
      </c>
      <c r="G548" s="215"/>
      <c r="H548" s="209"/>
      <c r="I548" s="127">
        <f>SUM(I521:I544)</f>
        <v>2367</v>
      </c>
      <c r="J548" s="215"/>
      <c r="K548" s="209"/>
      <c r="L548" s="127">
        <f>SUM(L521:L547)</f>
        <v>2606</v>
      </c>
      <c r="N548" s="54"/>
      <c r="O548" s="54"/>
      <c r="P548" s="109"/>
      <c r="Q548" s="109"/>
      <c r="R548" s="109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</row>
    <row r="549" spans="1:37" hidden="1">
      <c r="A549" s="136" t="s">
        <v>102</v>
      </c>
      <c r="B549" s="136"/>
      <c r="C549" s="246">
        <v>83.237273799650609</v>
      </c>
      <c r="D549" s="149"/>
      <c r="E549" s="149"/>
      <c r="F549" s="229" t="e">
        <f>#REF!</f>
        <v>#REF!</v>
      </c>
      <c r="G549" s="149"/>
      <c r="H549" s="149"/>
      <c r="I549" s="229">
        <v>37.66331015255323</v>
      </c>
      <c r="J549" s="149"/>
      <c r="K549" s="149"/>
      <c r="L549" s="229">
        <f>I549</f>
        <v>37.66331015255323</v>
      </c>
      <c r="N549" s="164"/>
      <c r="O549" s="164"/>
      <c r="P549" s="162"/>
      <c r="Q549" s="109"/>
      <c r="R549" s="109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</row>
    <row r="550" spans="1:37" ht="16.5" hidden="1" thickBot="1">
      <c r="A550" s="136" t="s">
        <v>123</v>
      </c>
      <c r="B550" s="136"/>
      <c r="C550" s="193">
        <f>SUM(C548:C549)</f>
        <v>6150.2372737996502</v>
      </c>
      <c r="D550" s="231"/>
      <c r="E550" s="232"/>
      <c r="F550" s="233" t="e">
        <f>F548+F549</f>
        <v>#REF!</v>
      </c>
      <c r="G550" s="231"/>
      <c r="H550" s="235"/>
      <c r="I550" s="233">
        <f>I548+I549</f>
        <v>2404.6633101525531</v>
      </c>
      <c r="J550" s="231"/>
      <c r="K550" s="235"/>
      <c r="L550" s="233">
        <f>L548+L549</f>
        <v>2643.6633101525531</v>
      </c>
      <c r="N550" s="165"/>
      <c r="O550" s="165"/>
      <c r="P550" s="166"/>
      <c r="Q550" s="109"/>
      <c r="R550" s="109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</row>
    <row r="551" spans="1:37" hidden="1">
      <c r="A551" s="136"/>
      <c r="B551" s="136"/>
      <c r="C551" s="168"/>
      <c r="D551" s="225"/>
      <c r="E551" s="127"/>
      <c r="F551" s="127"/>
      <c r="G551" s="225" t="s">
        <v>0</v>
      </c>
      <c r="H551" s="136"/>
      <c r="I551" s="127"/>
      <c r="J551" s="251" t="s">
        <v>0</v>
      </c>
      <c r="K551" s="136"/>
      <c r="L551" s="127" t="s">
        <v>0</v>
      </c>
      <c r="N551" s="54"/>
      <c r="O551" s="54"/>
      <c r="P551" s="109"/>
      <c r="Q551" s="109"/>
      <c r="R551" s="109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</row>
    <row r="552" spans="1:37">
      <c r="A552" s="136"/>
      <c r="B552" s="136"/>
      <c r="C552" s="168"/>
      <c r="D552" s="225"/>
      <c r="E552" s="127"/>
      <c r="F552" s="127"/>
      <c r="G552" s="225" t="s">
        <v>0</v>
      </c>
      <c r="H552" s="136"/>
      <c r="I552" s="127"/>
      <c r="J552" s="251" t="s">
        <v>0</v>
      </c>
      <c r="K552" s="136"/>
      <c r="L552" s="127" t="s">
        <v>0</v>
      </c>
      <c r="N552" s="54"/>
      <c r="O552" s="54"/>
      <c r="P552" s="109"/>
      <c r="Q552" s="109"/>
      <c r="R552" s="109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</row>
    <row r="553" spans="1:37">
      <c r="A553" s="340" t="s">
        <v>166</v>
      </c>
      <c r="B553" s="136"/>
      <c r="C553" s="252"/>
      <c r="D553" s="127"/>
      <c r="E553" s="127"/>
      <c r="F553" s="136"/>
      <c r="G553" s="127"/>
      <c r="H553" s="136"/>
      <c r="I553" s="136"/>
      <c r="J553" s="127"/>
      <c r="K553" s="136"/>
      <c r="L553" s="127" t="s">
        <v>0</v>
      </c>
      <c r="N553" s="54"/>
      <c r="O553" s="54"/>
      <c r="P553" s="109"/>
      <c r="Q553" s="109"/>
      <c r="R553" s="109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</row>
    <row r="554" spans="1:37">
      <c r="A554" s="209" t="s">
        <v>60</v>
      </c>
      <c r="B554" s="136"/>
      <c r="C554" s="136" t="s">
        <v>0</v>
      </c>
      <c r="D554" s="127"/>
      <c r="E554" s="127"/>
      <c r="F554" s="136"/>
      <c r="G554" s="127"/>
      <c r="H554" s="136"/>
      <c r="I554" s="136"/>
      <c r="J554" s="127"/>
      <c r="K554" s="136"/>
      <c r="L554" s="136"/>
      <c r="N554" s="54"/>
      <c r="O554" s="54"/>
      <c r="P554" s="109"/>
      <c r="Q554" s="109"/>
      <c r="R554" s="109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</row>
    <row r="555" spans="1:37">
      <c r="A555" s="209"/>
      <c r="B555" s="136"/>
      <c r="C555" s="136"/>
      <c r="D555" s="127"/>
      <c r="E555" s="127"/>
      <c r="F555" s="136"/>
      <c r="G555" s="127"/>
      <c r="H555" s="136"/>
      <c r="I555" s="136"/>
      <c r="J555" s="127"/>
      <c r="K555" s="136"/>
      <c r="L555" s="136"/>
      <c r="N555" s="54"/>
      <c r="O555" s="54"/>
      <c r="P555" s="109"/>
      <c r="Q555" s="109"/>
      <c r="R555" s="109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</row>
    <row r="556" spans="1:37">
      <c r="A556" s="209" t="s">
        <v>135</v>
      </c>
      <c r="B556" s="136"/>
      <c r="C556" s="205"/>
      <c r="D556" s="127"/>
      <c r="E556" s="127"/>
      <c r="F556" s="136"/>
      <c r="G556" s="127"/>
      <c r="H556" s="136"/>
      <c r="I556" s="136"/>
      <c r="J556" s="127"/>
      <c r="K556" s="136"/>
      <c r="L556" s="136"/>
      <c r="N556" s="54"/>
      <c r="O556" s="54"/>
      <c r="P556" s="109"/>
      <c r="Q556" s="109"/>
      <c r="R556" s="109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</row>
    <row r="557" spans="1:37">
      <c r="A557" s="209" t="s">
        <v>167</v>
      </c>
      <c r="B557" s="136"/>
      <c r="C557" s="205">
        <v>0</v>
      </c>
      <c r="D557" s="178">
        <v>227</v>
      </c>
      <c r="E557" s="209"/>
      <c r="F557" s="207">
        <f t="shared" ref="F557:F559" si="85">ROUND(D557*$C557,0)</f>
        <v>0</v>
      </c>
      <c r="G557" s="178">
        <v>259</v>
      </c>
      <c r="H557" s="209"/>
      <c r="I557" s="207">
        <f>ROUND(E557*$C557,0)</f>
        <v>0</v>
      </c>
      <c r="J557" s="178">
        <f>J598</f>
        <v>292</v>
      </c>
      <c r="K557" s="209"/>
      <c r="L557" s="207">
        <f>ROUND(J557*$C557,0)</f>
        <v>0</v>
      </c>
      <c r="N557" s="54"/>
      <c r="O557" s="54"/>
      <c r="P557" s="109"/>
      <c r="Q557" s="109"/>
      <c r="R557" s="109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</row>
    <row r="558" spans="1:37">
      <c r="A558" s="209" t="s">
        <v>168</v>
      </c>
      <c r="B558" s="136"/>
      <c r="C558" s="205">
        <v>0</v>
      </c>
      <c r="D558" s="178">
        <v>84</v>
      </c>
      <c r="E558" s="209"/>
      <c r="F558" s="207">
        <f t="shared" si="85"/>
        <v>0</v>
      </c>
      <c r="G558" s="178">
        <v>96</v>
      </c>
      <c r="H558" s="209"/>
      <c r="I558" s="207">
        <f>ROUND(E558*$C558,0)</f>
        <v>0</v>
      </c>
      <c r="J558" s="178">
        <f t="shared" ref="J558:J564" si="86">J599</f>
        <v>108</v>
      </c>
      <c r="K558" s="209"/>
      <c r="L558" s="207">
        <f>ROUND(J558*$C558,0)</f>
        <v>0</v>
      </c>
      <c r="N558" s="54"/>
      <c r="O558" s="54"/>
      <c r="P558" s="109"/>
      <c r="Q558" s="109"/>
      <c r="R558" s="109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</row>
    <row r="559" spans="1:37">
      <c r="A559" s="209" t="s">
        <v>169</v>
      </c>
      <c r="B559" s="136"/>
      <c r="C559" s="205">
        <v>0</v>
      </c>
      <c r="D559" s="178">
        <v>168</v>
      </c>
      <c r="E559" s="211"/>
      <c r="F559" s="207">
        <f t="shared" si="85"/>
        <v>0</v>
      </c>
      <c r="G559" s="178">
        <v>192</v>
      </c>
      <c r="H559" s="211"/>
      <c r="I559" s="207">
        <f>ROUND(E559*$C559,0)</f>
        <v>0</v>
      </c>
      <c r="J559" s="178">
        <f t="shared" si="86"/>
        <v>215</v>
      </c>
      <c r="K559" s="211"/>
      <c r="L559" s="207">
        <f>ROUND(J559*$C559,0)</f>
        <v>0</v>
      </c>
      <c r="N559" s="54"/>
      <c r="O559" s="54"/>
      <c r="P559" s="109"/>
      <c r="Q559" s="109"/>
      <c r="R559" s="109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</row>
    <row r="560" spans="1:37">
      <c r="A560" s="209" t="s">
        <v>136</v>
      </c>
      <c r="B560" s="136"/>
      <c r="C560" s="205">
        <f>SUM(C557:C559)</f>
        <v>0</v>
      </c>
      <c r="D560" s="178"/>
      <c r="E560" s="209"/>
      <c r="F560" s="207"/>
      <c r="G560" s="178"/>
      <c r="H560" s="209"/>
      <c r="I560" s="207"/>
      <c r="J560" s="178"/>
      <c r="K560" s="209"/>
      <c r="L560" s="207"/>
      <c r="N560" s="54"/>
      <c r="O560" s="54"/>
      <c r="P560" s="109"/>
      <c r="Q560" s="109"/>
      <c r="R560" s="109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</row>
    <row r="561" spans="1:37">
      <c r="A561" s="209" t="s">
        <v>168</v>
      </c>
      <c r="B561" s="136"/>
      <c r="C561" s="205">
        <v>0</v>
      </c>
      <c r="D561" s="178">
        <v>1.48</v>
      </c>
      <c r="E561" s="209" t="s">
        <v>0</v>
      </c>
      <c r="F561" s="207">
        <f>ROUND(D561*$C561,0)</f>
        <v>0</v>
      </c>
      <c r="G561" s="178">
        <v>1.7</v>
      </c>
      <c r="H561" s="209" t="s">
        <v>0</v>
      </c>
      <c r="I561" s="207">
        <f>ROUND(E561*$C561,0)</f>
        <v>0</v>
      </c>
      <c r="J561" s="178">
        <f t="shared" si="86"/>
        <v>1.91</v>
      </c>
      <c r="K561" s="209" t="s">
        <v>0</v>
      </c>
      <c r="L561" s="207">
        <f>ROUND(J561*$C561,0)</f>
        <v>0</v>
      </c>
      <c r="N561" s="54"/>
      <c r="O561" s="54"/>
      <c r="P561" s="109"/>
      <c r="Q561" s="109"/>
      <c r="R561" s="109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</row>
    <row r="562" spans="1:37">
      <c r="A562" s="209" t="s">
        <v>169</v>
      </c>
      <c r="B562" s="136"/>
      <c r="C562" s="205">
        <v>0</v>
      </c>
      <c r="D562" s="178">
        <v>1.22</v>
      </c>
      <c r="E562" s="209" t="s">
        <v>0</v>
      </c>
      <c r="F562" s="207">
        <f>ROUND(D562*$C562,0)</f>
        <v>0</v>
      </c>
      <c r="G562" s="178">
        <v>1.39</v>
      </c>
      <c r="H562" s="209" t="s">
        <v>0</v>
      </c>
      <c r="I562" s="207">
        <f>ROUND(E562*$C562,0)</f>
        <v>0</v>
      </c>
      <c r="J562" s="178">
        <f t="shared" si="86"/>
        <v>1.56</v>
      </c>
      <c r="K562" s="209" t="s">
        <v>0</v>
      </c>
      <c r="L562" s="207">
        <f>ROUND(J562*$C562,0)</f>
        <v>0</v>
      </c>
      <c r="N562" s="54"/>
      <c r="O562" s="54"/>
      <c r="P562" s="109"/>
      <c r="Q562" s="109"/>
      <c r="R562" s="109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</row>
    <row r="563" spans="1:37">
      <c r="A563" s="149" t="s">
        <v>170</v>
      </c>
      <c r="B563" s="136"/>
      <c r="C563" s="205"/>
      <c r="D563" s="178"/>
      <c r="E563" s="209"/>
      <c r="F563" s="207"/>
      <c r="G563" s="178"/>
      <c r="H563" s="209"/>
      <c r="I563" s="207"/>
      <c r="J563" s="178"/>
      <c r="K563" s="209"/>
      <c r="L563" s="207"/>
      <c r="N563" s="54"/>
      <c r="O563" s="54"/>
      <c r="P563" s="109"/>
      <c r="Q563" s="109"/>
      <c r="R563" s="109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</row>
    <row r="564" spans="1:37">
      <c r="A564" s="149" t="s">
        <v>171</v>
      </c>
      <c r="B564" s="136"/>
      <c r="C564" s="205">
        <v>0</v>
      </c>
      <c r="D564" s="178">
        <v>3.88</v>
      </c>
      <c r="E564" s="209"/>
      <c r="F564" s="207">
        <f>ROUND(D564*$C564,0)</f>
        <v>0</v>
      </c>
      <c r="G564" s="178">
        <v>4.4400000000000004</v>
      </c>
      <c r="H564" s="209"/>
      <c r="I564" s="207">
        <f>ROUND(E564*$C564,0)</f>
        <v>0</v>
      </c>
      <c r="J564" s="178">
        <f t="shared" si="86"/>
        <v>5.15</v>
      </c>
      <c r="K564" s="209"/>
      <c r="L564" s="207">
        <f>ROUND(J564*$C564,0)</f>
        <v>0</v>
      </c>
      <c r="N564" s="54"/>
      <c r="O564" s="54"/>
      <c r="P564" s="109"/>
      <c r="Q564" s="109"/>
      <c r="R564" s="109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</row>
    <row r="565" spans="1:37">
      <c r="A565" s="209" t="s">
        <v>172</v>
      </c>
      <c r="B565" s="136"/>
      <c r="C565" s="205"/>
      <c r="D565" s="253"/>
      <c r="E565" s="207"/>
      <c r="F565" s="207"/>
      <c r="G565" s="253"/>
      <c r="H565" s="207"/>
      <c r="I565" s="207"/>
      <c r="J565" s="253"/>
      <c r="K565" s="207"/>
      <c r="L565" s="207"/>
      <c r="N565" s="54"/>
      <c r="O565" s="54"/>
      <c r="P565" s="109"/>
      <c r="Q565" s="109"/>
      <c r="R565" s="109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</row>
    <row r="566" spans="1:37">
      <c r="A566" s="209" t="s">
        <v>173</v>
      </c>
      <c r="B566" s="136"/>
      <c r="C566" s="205">
        <v>0</v>
      </c>
      <c r="D566" s="223">
        <v>4.6340000000000003</v>
      </c>
      <c r="E566" s="207" t="s">
        <v>99</v>
      </c>
      <c r="F566" s="207">
        <f>ROUND($C566*D566/100,0)</f>
        <v>0</v>
      </c>
      <c r="G566" s="223">
        <v>5.2939999999999996</v>
      </c>
      <c r="H566" s="207" t="s">
        <v>99</v>
      </c>
      <c r="I566" s="207">
        <f>ROUND($C566*E566/100,0)</f>
        <v>0</v>
      </c>
      <c r="J566" s="223">
        <f>J608</f>
        <v>2.4660000000000002</v>
      </c>
      <c r="K566" s="207" t="s">
        <v>99</v>
      </c>
      <c r="L566" s="207">
        <f>ROUND($C566*J566/100,0)</f>
        <v>0</v>
      </c>
      <c r="N566" s="54"/>
      <c r="O566" s="54"/>
      <c r="P566" s="109"/>
      <c r="Q566" s="109"/>
      <c r="R566" s="109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</row>
    <row r="567" spans="1:37">
      <c r="A567" s="209" t="s">
        <v>140</v>
      </c>
      <c r="B567" s="136"/>
      <c r="C567" s="205">
        <v>0</v>
      </c>
      <c r="D567" s="223">
        <v>4.2469999999999999</v>
      </c>
      <c r="E567" s="207" t="s">
        <v>99</v>
      </c>
      <c r="F567" s="207">
        <f>ROUND($C567*D567/100,0)</f>
        <v>0</v>
      </c>
      <c r="G567" s="223">
        <v>4.8520000000000003</v>
      </c>
      <c r="H567" s="207" t="s">
        <v>99</v>
      </c>
      <c r="I567" s="207">
        <f>ROUND($C567*E567/100,0)</f>
        <v>0</v>
      </c>
      <c r="J567" s="223">
        <f>J609</f>
        <v>2.2569999999999997</v>
      </c>
      <c r="K567" s="207" t="s">
        <v>99</v>
      </c>
      <c r="L567" s="207">
        <f>ROUND($C567*J567/100,0)</f>
        <v>0</v>
      </c>
      <c r="N567" s="54"/>
      <c r="O567" s="54"/>
      <c r="P567" s="109"/>
      <c r="Q567" s="109"/>
      <c r="R567" s="109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</row>
    <row r="568" spans="1:37">
      <c r="A568" s="209" t="s">
        <v>141</v>
      </c>
      <c r="B568" s="136"/>
      <c r="C568" s="205">
        <v>0</v>
      </c>
      <c r="D568" s="254">
        <v>0</v>
      </c>
      <c r="E568" s="207" t="s">
        <v>99</v>
      </c>
      <c r="F568" s="207">
        <f>ROUND(D568*$C568/100,0)</f>
        <v>0</v>
      </c>
      <c r="G568" s="224">
        <v>56</v>
      </c>
      <c r="H568" s="207" t="s">
        <v>99</v>
      </c>
      <c r="I568" s="207">
        <f>ROUND(E568*$C568/100,0)</f>
        <v>0</v>
      </c>
      <c r="J568" s="254">
        <f>J610</f>
        <v>62</v>
      </c>
      <c r="K568" s="207" t="s">
        <v>99</v>
      </c>
      <c r="L568" s="207">
        <f>ROUND(J568*$C568,0)</f>
        <v>0</v>
      </c>
      <c r="N568" s="54"/>
      <c r="O568" s="54"/>
      <c r="P568" s="109"/>
      <c r="Q568" s="109"/>
      <c r="R568" s="109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</row>
    <row r="569" spans="1:37">
      <c r="A569" s="209" t="s">
        <v>174</v>
      </c>
      <c r="B569" s="136"/>
      <c r="C569" s="205">
        <v>0</v>
      </c>
      <c r="D569" s="255">
        <v>0.06</v>
      </c>
      <c r="E569" s="207"/>
      <c r="F569" s="207">
        <f>ROUND($C569*D569/100,0)</f>
        <v>0</v>
      </c>
      <c r="G569" s="256">
        <v>56</v>
      </c>
      <c r="H569" s="207" t="s">
        <v>99</v>
      </c>
      <c r="I569" s="207">
        <f>ROUND($C569*E569/100,0)</f>
        <v>0</v>
      </c>
      <c r="J569" s="256">
        <f>J610</f>
        <v>62</v>
      </c>
      <c r="K569" s="207" t="s">
        <v>99</v>
      </c>
      <c r="L569" s="207">
        <f>ROUND($C569*J569/100,0)</f>
        <v>0</v>
      </c>
      <c r="N569" s="54"/>
      <c r="O569" s="54"/>
      <c r="P569" s="109"/>
      <c r="Q569" s="109"/>
      <c r="R569" s="109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</row>
    <row r="570" spans="1:37">
      <c r="A570" s="134" t="s">
        <v>175</v>
      </c>
      <c r="C570" s="125">
        <f>C566+C567</f>
        <v>0</v>
      </c>
      <c r="D570" s="133"/>
      <c r="E570" s="54"/>
      <c r="F570" s="127"/>
      <c r="G570" s="133"/>
      <c r="H570" s="54"/>
      <c r="I570" s="127"/>
      <c r="J570" s="135">
        <f>J588</f>
        <v>3.4170000000000003</v>
      </c>
      <c r="K570" s="207" t="s">
        <v>99</v>
      </c>
      <c r="L570" s="207">
        <f t="shared" ref="L570:L571" si="87">ROUND($C570*J570/100,0)</f>
        <v>0</v>
      </c>
      <c r="N570" s="128"/>
      <c r="P570" s="93"/>
      <c r="Q570" s="108"/>
      <c r="R570" s="108"/>
      <c r="S570" s="129"/>
      <c r="T570" s="129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K570" s="128"/>
    </row>
    <row r="571" spans="1:37">
      <c r="A571" s="134" t="s">
        <v>176</v>
      </c>
      <c r="C571" s="125">
        <f>C567+C568</f>
        <v>0</v>
      </c>
      <c r="D571" s="133"/>
      <c r="E571" s="54"/>
      <c r="F571" s="127"/>
      <c r="G571" s="133"/>
      <c r="H571" s="54"/>
      <c r="I571" s="127"/>
      <c r="J571" s="135">
        <f>J589</f>
        <v>3.1339999999999999</v>
      </c>
      <c r="K571" s="54"/>
      <c r="L571" s="207">
        <f t="shared" si="87"/>
        <v>0</v>
      </c>
      <c r="N571" s="128"/>
      <c r="P571" s="93"/>
      <c r="Q571" s="108"/>
      <c r="R571" s="108"/>
      <c r="S571" s="129"/>
      <c r="T571" s="129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K571" s="128"/>
    </row>
    <row r="572" spans="1:37">
      <c r="A572" s="257" t="s">
        <v>148</v>
      </c>
      <c r="B572" s="136" t="s">
        <v>0</v>
      </c>
      <c r="C572" s="205"/>
      <c r="D572" s="220">
        <v>-0.01</v>
      </c>
      <c r="E572" s="258"/>
      <c r="F572" s="258"/>
      <c r="G572" s="220">
        <v>-0.01</v>
      </c>
      <c r="H572" s="258"/>
      <c r="I572" s="258"/>
      <c r="J572" s="220">
        <v>-0.01</v>
      </c>
      <c r="K572" s="258"/>
      <c r="L572" s="127"/>
      <c r="N572" s="54"/>
      <c r="O572" s="54"/>
      <c r="P572" s="109"/>
      <c r="Q572" s="109"/>
      <c r="R572" s="109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</row>
    <row r="573" spans="1:37">
      <c r="A573" s="209" t="s">
        <v>167</v>
      </c>
      <c r="B573" s="136"/>
      <c r="C573" s="205">
        <v>0</v>
      </c>
      <c r="D573" s="178">
        <v>227</v>
      </c>
      <c r="E573" s="209"/>
      <c r="F573" s="207">
        <f t="shared" ref="F573:F578" si="88">ROUND(D573*$C573*$D$572,0)</f>
        <v>0</v>
      </c>
      <c r="G573" s="178">
        <v>259</v>
      </c>
      <c r="H573" s="209"/>
      <c r="I573" s="207">
        <f t="shared" ref="I573:I578" si="89">ROUND(E573*$C573*$D$572,0)</f>
        <v>0</v>
      </c>
      <c r="J573" s="178">
        <f>J557</f>
        <v>292</v>
      </c>
      <c r="K573" s="209"/>
      <c r="L573" s="207">
        <f t="shared" ref="L573:L578" si="90">ROUND(J573*$C573*$D$572,0)</f>
        <v>0</v>
      </c>
      <c r="N573" s="54"/>
      <c r="O573" s="54"/>
      <c r="P573" s="109"/>
      <c r="Q573" s="109"/>
      <c r="R573" s="109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</row>
    <row r="574" spans="1:37">
      <c r="A574" s="209" t="s">
        <v>168</v>
      </c>
      <c r="B574" s="136"/>
      <c r="C574" s="205">
        <v>0</v>
      </c>
      <c r="D574" s="178">
        <v>84</v>
      </c>
      <c r="E574" s="209"/>
      <c r="F574" s="207">
        <f t="shared" si="88"/>
        <v>0</v>
      </c>
      <c r="G574" s="178">
        <v>96</v>
      </c>
      <c r="H574" s="209"/>
      <c r="I574" s="207">
        <f t="shared" si="89"/>
        <v>0</v>
      </c>
      <c r="J574" s="178">
        <f>J558</f>
        <v>108</v>
      </c>
      <c r="K574" s="209"/>
      <c r="L574" s="207">
        <f t="shared" si="90"/>
        <v>0</v>
      </c>
      <c r="N574" s="54"/>
      <c r="O574" s="54"/>
      <c r="P574" s="109"/>
      <c r="Q574" s="109"/>
      <c r="R574" s="109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</row>
    <row r="575" spans="1:37">
      <c r="A575" s="209" t="s">
        <v>169</v>
      </c>
      <c r="B575" s="136"/>
      <c r="C575" s="205">
        <v>0</v>
      </c>
      <c r="D575" s="178">
        <v>168</v>
      </c>
      <c r="E575" s="211"/>
      <c r="F575" s="207">
        <f t="shared" si="88"/>
        <v>0</v>
      </c>
      <c r="G575" s="178">
        <v>192</v>
      </c>
      <c r="H575" s="211"/>
      <c r="I575" s="207">
        <f t="shared" si="89"/>
        <v>0</v>
      </c>
      <c r="J575" s="178">
        <f>J559</f>
        <v>215</v>
      </c>
      <c r="K575" s="211"/>
      <c r="L575" s="207">
        <f t="shared" si="90"/>
        <v>0</v>
      </c>
      <c r="N575" s="54"/>
      <c r="O575" s="54"/>
      <c r="P575" s="109"/>
      <c r="Q575" s="109"/>
      <c r="R575" s="109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</row>
    <row r="576" spans="1:37">
      <c r="A576" s="209" t="s">
        <v>168</v>
      </c>
      <c r="B576" s="136"/>
      <c r="C576" s="205">
        <v>0</v>
      </c>
      <c r="D576" s="178">
        <v>1.48</v>
      </c>
      <c r="E576" s="209" t="s">
        <v>0</v>
      </c>
      <c r="F576" s="207">
        <f t="shared" si="88"/>
        <v>0</v>
      </c>
      <c r="G576" s="178">
        <v>1.7</v>
      </c>
      <c r="H576" s="209" t="s">
        <v>0</v>
      </c>
      <c r="I576" s="207">
        <f t="shared" si="89"/>
        <v>0</v>
      </c>
      <c r="J576" s="178">
        <f>J561</f>
        <v>1.91</v>
      </c>
      <c r="K576" s="209" t="s">
        <v>0</v>
      </c>
      <c r="L576" s="207">
        <f t="shared" si="90"/>
        <v>0</v>
      </c>
      <c r="N576" s="54"/>
      <c r="O576" s="54"/>
      <c r="P576" s="109"/>
      <c r="Q576" s="109"/>
      <c r="R576" s="109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</row>
    <row r="577" spans="1:37">
      <c r="A577" s="209" t="s">
        <v>169</v>
      </c>
      <c r="B577" s="136"/>
      <c r="C577" s="205">
        <v>0</v>
      </c>
      <c r="D577" s="178">
        <v>1.22</v>
      </c>
      <c r="E577" s="209" t="s">
        <v>0</v>
      </c>
      <c r="F577" s="207">
        <f t="shared" si="88"/>
        <v>0</v>
      </c>
      <c r="G577" s="178">
        <v>1.39</v>
      </c>
      <c r="H577" s="209" t="s">
        <v>0</v>
      </c>
      <c r="I577" s="207">
        <f t="shared" si="89"/>
        <v>0</v>
      </c>
      <c r="J577" s="178">
        <f>J562</f>
        <v>1.56</v>
      </c>
      <c r="K577" s="209" t="s">
        <v>0</v>
      </c>
      <c r="L577" s="207">
        <f t="shared" si="90"/>
        <v>0</v>
      </c>
      <c r="N577" s="54"/>
      <c r="O577" s="54"/>
      <c r="P577" s="109"/>
      <c r="Q577" s="109"/>
      <c r="R577" s="109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</row>
    <row r="578" spans="1:37">
      <c r="A578" s="149" t="s">
        <v>171</v>
      </c>
      <c r="B578" s="136"/>
      <c r="C578" s="205">
        <v>0</v>
      </c>
      <c r="D578" s="178">
        <v>3.88</v>
      </c>
      <c r="E578" s="209"/>
      <c r="F578" s="207">
        <f t="shared" si="88"/>
        <v>0</v>
      </c>
      <c r="G578" s="178">
        <v>4.4400000000000004</v>
      </c>
      <c r="H578" s="209"/>
      <c r="I578" s="207">
        <f t="shared" si="89"/>
        <v>0</v>
      </c>
      <c r="J578" s="178">
        <f>J564</f>
        <v>5.15</v>
      </c>
      <c r="K578" s="209"/>
      <c r="L578" s="207">
        <f t="shared" si="90"/>
        <v>0</v>
      </c>
      <c r="N578" s="54"/>
      <c r="O578" s="54"/>
      <c r="P578" s="109"/>
      <c r="Q578" s="109"/>
      <c r="R578" s="109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</row>
    <row r="579" spans="1:37">
      <c r="A579" s="209" t="s">
        <v>173</v>
      </c>
      <c r="B579" s="136"/>
      <c r="C579" s="205">
        <v>0</v>
      </c>
      <c r="D579" s="223">
        <v>4.6340000000000003</v>
      </c>
      <c r="E579" s="207" t="s">
        <v>99</v>
      </c>
      <c r="F579" s="207">
        <f>ROUND(D579/100*$C579*D572,0)</f>
        <v>0</v>
      </c>
      <c r="G579" s="222">
        <v>0</v>
      </c>
      <c r="H579" s="207" t="s">
        <v>99</v>
      </c>
      <c r="I579" s="207">
        <f>ROUND(E579/100*$C579*E572,0)</f>
        <v>0</v>
      </c>
      <c r="J579" s="178">
        <f>J565</f>
        <v>0</v>
      </c>
      <c r="K579" s="207" t="s">
        <v>99</v>
      </c>
      <c r="L579" s="207">
        <f>ROUND(J579/100*$C579*D572,0)</f>
        <v>0</v>
      </c>
      <c r="N579" s="54"/>
      <c r="O579" s="54"/>
      <c r="P579" s="109"/>
      <c r="Q579" s="109"/>
      <c r="R579" s="109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</row>
    <row r="580" spans="1:37">
      <c r="A580" s="209" t="s">
        <v>140</v>
      </c>
      <c r="B580" s="136"/>
      <c r="C580" s="205">
        <v>0</v>
      </c>
      <c r="D580" s="223">
        <v>4.2469999999999999</v>
      </c>
      <c r="E580" s="207" t="s">
        <v>99</v>
      </c>
      <c r="F580" s="207">
        <f>ROUND(D580/100*$C580*D572,0)</f>
        <v>0</v>
      </c>
      <c r="G580" s="259">
        <v>4.8520000000000003</v>
      </c>
      <c r="H580" s="207" t="s">
        <v>99</v>
      </c>
      <c r="I580" s="207">
        <f>ROUND(E580/100*$C580*E572,0)</f>
        <v>0</v>
      </c>
      <c r="J580" s="188">
        <f>J567</f>
        <v>2.2569999999999997</v>
      </c>
      <c r="K580" s="207" t="s">
        <v>99</v>
      </c>
      <c r="L580" s="207">
        <f>ROUND(J580/100*$C580*D572,0)</f>
        <v>0</v>
      </c>
      <c r="N580" s="54"/>
      <c r="O580" s="54"/>
      <c r="P580" s="109"/>
      <c r="Q580" s="109"/>
      <c r="R580" s="109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</row>
    <row r="581" spans="1:37">
      <c r="A581" s="149" t="s">
        <v>177</v>
      </c>
      <c r="B581" s="136"/>
      <c r="C581" s="205">
        <v>0</v>
      </c>
      <c r="D581" s="254">
        <v>50</v>
      </c>
      <c r="E581" s="207" t="s">
        <v>99</v>
      </c>
      <c r="F581" s="207">
        <f>ROUND(D581*$C581*$D$572,0)</f>
        <v>0</v>
      </c>
      <c r="G581" s="224">
        <v>56</v>
      </c>
      <c r="H581" s="207" t="s">
        <v>99</v>
      </c>
      <c r="I581" s="207">
        <f>ROUND(E581*$C581*$D$572,0)</f>
        <v>0</v>
      </c>
      <c r="J581" s="260">
        <f>J568</f>
        <v>62</v>
      </c>
      <c r="K581" s="207" t="s">
        <v>99</v>
      </c>
      <c r="L581" s="207">
        <f>ROUND(J581*$C581*$D$572,0)</f>
        <v>0</v>
      </c>
      <c r="N581" s="54"/>
      <c r="O581" s="54"/>
      <c r="P581" s="109"/>
      <c r="Q581" s="109"/>
      <c r="R581" s="109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</row>
    <row r="582" spans="1:37">
      <c r="A582" s="149" t="s">
        <v>178</v>
      </c>
      <c r="B582" s="136"/>
      <c r="C582" s="205">
        <v>0</v>
      </c>
      <c r="D582" s="261">
        <v>0.06</v>
      </c>
      <c r="E582" s="207" t="s">
        <v>99</v>
      </c>
      <c r="F582" s="207">
        <f>ROUND(D582/100*$C582*D572,0)</f>
        <v>0</v>
      </c>
      <c r="G582" s="261">
        <v>0.06</v>
      </c>
      <c r="H582" s="207" t="s">
        <v>99</v>
      </c>
      <c r="I582" s="207">
        <f>ROUND(E582/100*$C582*E572,0)</f>
        <v>0</v>
      </c>
      <c r="J582" s="256">
        <f>J569</f>
        <v>62</v>
      </c>
      <c r="K582" s="207" t="s">
        <v>99</v>
      </c>
      <c r="L582" s="207">
        <f>ROUND(J582/100*$C582*J572,0)</f>
        <v>0</v>
      </c>
      <c r="N582" s="54"/>
      <c r="O582" s="54"/>
      <c r="P582" s="109"/>
      <c r="Q582" s="109"/>
      <c r="R582" s="109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</row>
    <row r="583" spans="1:37">
      <c r="A583" s="209" t="s">
        <v>179</v>
      </c>
      <c r="B583" s="136"/>
      <c r="C583" s="205">
        <v>0</v>
      </c>
      <c r="D583" s="251">
        <v>60</v>
      </c>
      <c r="E583" s="258" t="s">
        <v>0</v>
      </c>
      <c r="F583" s="207">
        <f>ROUND(D583*$C583,0)</f>
        <v>0</v>
      </c>
      <c r="G583" s="251">
        <v>60</v>
      </c>
      <c r="H583" s="262" t="s">
        <v>0</v>
      </c>
      <c r="I583" s="207">
        <f>ROUND(E583*$C583,0)</f>
        <v>0</v>
      </c>
      <c r="J583" s="251">
        <v>60</v>
      </c>
      <c r="K583" s="262" t="s">
        <v>0</v>
      </c>
      <c r="L583" s="207">
        <f>ROUND(J583*$C583,0)</f>
        <v>0</v>
      </c>
      <c r="N583" s="54"/>
      <c r="O583" s="54"/>
      <c r="P583" s="109"/>
      <c r="Q583" s="109"/>
      <c r="R583" s="109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</row>
    <row r="584" spans="1:37">
      <c r="A584" s="209" t="s">
        <v>180</v>
      </c>
      <c r="B584" s="136"/>
      <c r="C584" s="205">
        <v>0</v>
      </c>
      <c r="D584" s="224">
        <v>-30</v>
      </c>
      <c r="E584" s="207" t="s">
        <v>99</v>
      </c>
      <c r="F584" s="207">
        <f>ROUND(D584*$C584*$D$572,0)</f>
        <v>0</v>
      </c>
      <c r="G584" s="224">
        <v>-30</v>
      </c>
      <c r="H584" s="207" t="s">
        <v>99</v>
      </c>
      <c r="I584" s="207">
        <f>ROUND(E584*$C584*$D$572,0)</f>
        <v>0</v>
      </c>
      <c r="J584" s="224">
        <v>-30</v>
      </c>
      <c r="K584" s="207" t="s">
        <v>99</v>
      </c>
      <c r="L584" s="207">
        <f>ROUND(J584*$C584*$D$572,0)</f>
        <v>0</v>
      </c>
      <c r="N584" s="54"/>
      <c r="O584" s="54"/>
      <c r="P584" s="109"/>
      <c r="Q584" s="109"/>
      <c r="R584" s="109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</row>
    <row r="585" spans="1:37">
      <c r="A585" s="149" t="s">
        <v>181</v>
      </c>
      <c r="B585" s="136"/>
      <c r="C585" s="205">
        <v>0</v>
      </c>
      <c r="D585" s="222">
        <v>1.94</v>
      </c>
      <c r="E585" s="207"/>
      <c r="F585" s="207"/>
      <c r="G585" s="222">
        <v>2.2200000000000002</v>
      </c>
      <c r="H585" s="207"/>
      <c r="I585" s="207"/>
      <c r="J585" s="178">
        <f>J578/2</f>
        <v>2.5750000000000002</v>
      </c>
      <c r="K585" s="207"/>
      <c r="L585" s="207">
        <f>ROUND($C585*J585,0)</f>
        <v>0</v>
      </c>
      <c r="N585" s="54"/>
      <c r="O585" s="54"/>
      <c r="P585" s="109"/>
      <c r="Q585" s="109"/>
      <c r="R585" s="109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</row>
    <row r="586" spans="1:37">
      <c r="A586" s="149" t="s">
        <v>182</v>
      </c>
      <c r="B586" s="136"/>
      <c r="C586" s="205">
        <v>0</v>
      </c>
      <c r="D586" s="222">
        <v>15.52</v>
      </c>
      <c r="E586" s="207"/>
      <c r="F586" s="207"/>
      <c r="G586" s="222">
        <v>17.760000000000002</v>
      </c>
      <c r="H586" s="207"/>
      <c r="I586" s="207"/>
      <c r="J586" s="178">
        <f>J578*4</f>
        <v>20.6</v>
      </c>
      <c r="K586" s="207"/>
      <c r="L586" s="207">
        <f>ROUND($C586*J586,0)</f>
        <v>0</v>
      </c>
      <c r="N586" s="54"/>
      <c r="O586" s="54"/>
      <c r="P586" s="109"/>
      <c r="Q586" s="109"/>
      <c r="R586" s="109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</row>
    <row r="587" spans="1:37">
      <c r="A587" s="108" t="s">
        <v>183</v>
      </c>
      <c r="B587" s="177"/>
      <c r="C587" s="205">
        <v>0</v>
      </c>
      <c r="D587" s="223">
        <v>16.988</v>
      </c>
      <c r="E587" s="207" t="s">
        <v>99</v>
      </c>
      <c r="F587" s="207">
        <f>ROUND($C587*D587/100,0)</f>
        <v>0</v>
      </c>
      <c r="G587" s="223">
        <v>19.408000000000001</v>
      </c>
      <c r="H587" s="207" t="s">
        <v>99</v>
      </c>
      <c r="I587" s="207">
        <f>ROUND($C587*E587/100,0)</f>
        <v>0</v>
      </c>
      <c r="J587" s="223">
        <f>(J567+J571)*4</f>
        <v>21.564</v>
      </c>
      <c r="K587" s="207" t="s">
        <v>99</v>
      </c>
      <c r="L587" s="207">
        <f>ROUND($C587*J587/100,0)</f>
        <v>0</v>
      </c>
      <c r="N587" s="54"/>
      <c r="O587" s="199" t="s">
        <v>184</v>
      </c>
      <c r="P587" s="109"/>
      <c r="Q587" s="109"/>
      <c r="R587" s="109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</row>
    <row r="588" spans="1:37">
      <c r="A588" s="134" t="s">
        <v>175</v>
      </c>
      <c r="C588" s="125">
        <f>C579+C580</f>
        <v>0</v>
      </c>
      <c r="D588" s="133"/>
      <c r="E588" s="54"/>
      <c r="F588" s="127"/>
      <c r="G588" s="133"/>
      <c r="H588" s="54"/>
      <c r="I588" s="127"/>
      <c r="J588" s="135">
        <f>J611</f>
        <v>3.4170000000000003</v>
      </c>
      <c r="K588" s="209" t="s">
        <v>99</v>
      </c>
      <c r="L588" s="207">
        <f t="shared" ref="L588:L589" si="91">ROUND($C588*J588/100,0)</f>
        <v>0</v>
      </c>
      <c r="N588" s="128"/>
      <c r="P588" s="93"/>
      <c r="Q588" s="108"/>
      <c r="R588" s="108"/>
      <c r="S588" s="129"/>
      <c r="T588" s="129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K588" s="128"/>
    </row>
    <row r="589" spans="1:37">
      <c r="A589" s="134" t="s">
        <v>176</v>
      </c>
      <c r="C589" s="125">
        <f>C580+C581</f>
        <v>0</v>
      </c>
      <c r="D589" s="133"/>
      <c r="E589" s="54"/>
      <c r="F589" s="127"/>
      <c r="G589" s="133"/>
      <c r="H589" s="54"/>
      <c r="I589" s="127"/>
      <c r="J589" s="135">
        <f>J612</f>
        <v>3.1339999999999999</v>
      </c>
      <c r="K589" s="209" t="s">
        <v>99</v>
      </c>
      <c r="L589" s="207">
        <f t="shared" si="91"/>
        <v>0</v>
      </c>
      <c r="N589" s="128"/>
      <c r="P589" s="93"/>
      <c r="Q589" s="108"/>
      <c r="R589" s="108"/>
      <c r="S589" s="129"/>
      <c r="T589" s="129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K589" s="128"/>
    </row>
    <row r="590" spans="1:37">
      <c r="A590" s="136" t="s">
        <v>122</v>
      </c>
      <c r="B590" s="136"/>
      <c r="C590" s="205">
        <f>SUM(C566:C567)</f>
        <v>0</v>
      </c>
      <c r="D590" s="215"/>
      <c r="E590" s="127"/>
      <c r="F590" s="127">
        <f>SUM(F557:F587)</f>
        <v>0</v>
      </c>
      <c r="G590" s="215"/>
      <c r="H590" s="209"/>
      <c r="I590" s="127">
        <f>SUM(I557:I587)</f>
        <v>0</v>
      </c>
      <c r="J590" s="215"/>
      <c r="K590" s="209"/>
      <c r="L590" s="127">
        <f>SUM(L557:L589)</f>
        <v>0</v>
      </c>
      <c r="N590" s="54"/>
      <c r="O590" s="54"/>
      <c r="P590" s="109"/>
      <c r="Q590" s="109"/>
      <c r="R590" s="109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</row>
    <row r="591" spans="1:37">
      <c r="A591" s="136" t="s">
        <v>102</v>
      </c>
      <c r="B591" s="136"/>
      <c r="C591" s="246">
        <v>0</v>
      </c>
      <c r="D591" s="149"/>
      <c r="E591" s="149"/>
      <c r="F591" s="192">
        <v>0</v>
      </c>
      <c r="G591" s="149"/>
      <c r="H591" s="149"/>
      <c r="I591" s="192">
        <v>0</v>
      </c>
      <c r="J591" s="149"/>
      <c r="K591" s="149"/>
      <c r="L591" s="192">
        <v>0</v>
      </c>
      <c r="N591" s="164"/>
      <c r="O591" s="164"/>
      <c r="P591" s="162"/>
      <c r="Q591" s="109"/>
      <c r="R591" s="109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</row>
    <row r="592" spans="1:37" ht="16.5" thickBot="1">
      <c r="A592" s="136" t="s">
        <v>123</v>
      </c>
      <c r="B592" s="136"/>
      <c r="C592" s="263">
        <f>SUM(C590:C591)</f>
        <v>0</v>
      </c>
      <c r="D592" s="231"/>
      <c r="E592" s="232"/>
      <c r="F592" s="233">
        <f>SUM(F590:F591)</f>
        <v>0</v>
      </c>
      <c r="G592" s="231"/>
      <c r="H592" s="235"/>
      <c r="I592" s="233">
        <f>SUM(I590:I591)</f>
        <v>0</v>
      </c>
      <c r="J592" s="231"/>
      <c r="K592" s="235"/>
      <c r="L592" s="233">
        <f>SUM(L590:L591)</f>
        <v>0</v>
      </c>
      <c r="N592" s="165"/>
      <c r="O592" s="165"/>
      <c r="P592" s="166"/>
      <c r="Q592" s="109"/>
      <c r="R592" s="109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</row>
    <row r="593" spans="1:35" ht="16.5" thickTop="1">
      <c r="A593" s="136"/>
      <c r="B593" s="264"/>
      <c r="C593" s="168"/>
      <c r="D593" s="225"/>
      <c r="E593" s="127"/>
      <c r="F593" s="127"/>
      <c r="G593" s="225"/>
      <c r="H593" s="136"/>
      <c r="I593" s="127"/>
      <c r="J593" s="225"/>
      <c r="K593" s="136"/>
      <c r="L593" s="127"/>
      <c r="N593" s="54"/>
      <c r="O593" s="54"/>
      <c r="P593" s="109"/>
      <c r="Q593" s="109"/>
      <c r="R593" s="109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</row>
    <row r="594" spans="1:35">
      <c r="A594" s="340" t="s">
        <v>185</v>
      </c>
      <c r="B594" s="136"/>
      <c r="C594" s="136"/>
      <c r="D594" s="127"/>
      <c r="E594" s="127"/>
      <c r="F594" s="136" t="s">
        <v>0</v>
      </c>
      <c r="G594" s="127"/>
      <c r="H594" s="136"/>
      <c r="I594" s="136"/>
      <c r="J594" s="127"/>
      <c r="K594" s="136"/>
      <c r="L594" s="136"/>
      <c r="N594" s="54"/>
      <c r="O594" s="54"/>
      <c r="P594" s="109"/>
      <c r="Q594" s="109"/>
      <c r="R594" s="109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</row>
    <row r="595" spans="1:35">
      <c r="A595" s="149" t="s">
        <v>186</v>
      </c>
      <c r="B595" s="136"/>
      <c r="C595" s="136"/>
      <c r="D595" s="127"/>
      <c r="E595" s="127"/>
      <c r="F595" s="136"/>
      <c r="G595" s="127"/>
      <c r="H595" s="136"/>
      <c r="I595" s="136"/>
      <c r="J595" s="127"/>
      <c r="K595" s="136"/>
      <c r="L595" s="136"/>
      <c r="N595" s="54"/>
      <c r="O595" s="54"/>
      <c r="P595" s="109"/>
      <c r="Q595" s="109"/>
      <c r="R595" s="109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</row>
    <row r="596" spans="1:35">
      <c r="A596" s="209"/>
      <c r="B596" s="136"/>
      <c r="C596" s="136"/>
      <c r="D596" s="127"/>
      <c r="E596" s="127"/>
      <c r="F596" s="136"/>
      <c r="G596" s="127"/>
      <c r="H596" s="136"/>
      <c r="I596" s="136"/>
      <c r="J596" s="127"/>
      <c r="K596" s="136"/>
      <c r="L596" s="136"/>
      <c r="N596" s="54"/>
      <c r="O596" s="54"/>
      <c r="Q596" s="109"/>
      <c r="R596" s="109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</row>
    <row r="597" spans="1:35">
      <c r="A597" s="209" t="s">
        <v>135</v>
      </c>
      <c r="B597" s="136"/>
      <c r="C597" s="205"/>
      <c r="D597" s="127"/>
      <c r="E597" s="127"/>
      <c r="F597" s="136"/>
      <c r="G597" s="127"/>
      <c r="H597" s="136"/>
      <c r="I597" s="136"/>
      <c r="J597" s="127"/>
      <c r="K597" s="136"/>
      <c r="L597" s="136"/>
      <c r="N597" s="54"/>
      <c r="O597" s="54"/>
      <c r="P597" s="109"/>
      <c r="Q597" s="265" t="s">
        <v>27</v>
      </c>
      <c r="R597" s="265"/>
      <c r="S597" s="54"/>
      <c r="T597" s="54"/>
      <c r="U597" s="54"/>
      <c r="V597" s="54"/>
      <c r="W597" s="54"/>
      <c r="X597" s="54"/>
      <c r="Y597" s="54"/>
      <c r="AA597" s="54"/>
      <c r="AB597" s="54"/>
      <c r="AC597" s="54"/>
      <c r="AD597" s="54"/>
      <c r="AE597" s="54"/>
      <c r="AF597" s="54"/>
      <c r="AG597" s="54"/>
      <c r="AH597" s="54"/>
      <c r="AI597" s="54"/>
    </row>
    <row r="598" spans="1:35">
      <c r="A598" s="209" t="s">
        <v>167</v>
      </c>
      <c r="B598" s="136"/>
      <c r="C598" s="205">
        <f>C638+C676</f>
        <v>332</v>
      </c>
      <c r="D598" s="172">
        <v>227</v>
      </c>
      <c r="E598" s="209"/>
      <c r="F598" s="207">
        <f>F638+F676</f>
        <v>75364</v>
      </c>
      <c r="G598" s="172">
        <v>259</v>
      </c>
      <c r="H598" s="209"/>
      <c r="I598" s="207">
        <f>I638+I676</f>
        <v>85988</v>
      </c>
      <c r="J598" s="172">
        <f>ROUND(G598*(1+$Q$632),0)+2</f>
        <v>292</v>
      </c>
      <c r="K598" s="209"/>
      <c r="L598" s="207">
        <f>L638+L676</f>
        <v>96944</v>
      </c>
      <c r="N598" s="128" t="e">
        <f>J598*#REF!</f>
        <v>#REF!</v>
      </c>
      <c r="Q598" s="64">
        <f>(J598-G598)/G598</f>
        <v>0.12741312741312741</v>
      </c>
      <c r="R598" s="64"/>
      <c r="Z598" s="203"/>
      <c r="AA598" s="203"/>
      <c r="AD598" s="54"/>
      <c r="AE598" s="54"/>
      <c r="AF598" s="54"/>
      <c r="AG598" s="54"/>
      <c r="AH598" s="54"/>
      <c r="AI598" s="54"/>
    </row>
    <row r="599" spans="1:35">
      <c r="A599" s="209" t="s">
        <v>168</v>
      </c>
      <c r="B599" s="136"/>
      <c r="C599" s="205">
        <f>C639+C677</f>
        <v>8660</v>
      </c>
      <c r="D599" s="172">
        <v>84</v>
      </c>
      <c r="E599" s="209"/>
      <c r="F599" s="207">
        <f>F639+F677</f>
        <v>727440</v>
      </c>
      <c r="G599" s="172">
        <v>96</v>
      </c>
      <c r="H599" s="209"/>
      <c r="I599" s="207">
        <f>I639+I677</f>
        <v>831360</v>
      </c>
      <c r="J599" s="172">
        <f>ROUND(G599*(1+$Q$632),0)</f>
        <v>108</v>
      </c>
      <c r="K599" s="209"/>
      <c r="L599" s="207">
        <f>L639+L677</f>
        <v>935280</v>
      </c>
      <c r="N599" s="128" t="e">
        <f>J599*#REF!</f>
        <v>#REF!</v>
      </c>
      <c r="Q599" s="64">
        <f>(J599-G599)/G599</f>
        <v>0.125</v>
      </c>
      <c r="R599" s="64"/>
      <c r="T599" s="128"/>
      <c r="U599" s="173"/>
      <c r="V599" s="128"/>
      <c r="W599" s="173"/>
      <c r="X599" s="128"/>
      <c r="Y599" s="128"/>
      <c r="Z599" s="173"/>
      <c r="AA599" s="173"/>
      <c r="AC599" s="96"/>
      <c r="AD599" s="54"/>
      <c r="AE599" s="54"/>
      <c r="AF599" s="54"/>
      <c r="AG599" s="54"/>
      <c r="AH599" s="54"/>
      <c r="AI599" s="54"/>
    </row>
    <row r="600" spans="1:35">
      <c r="A600" s="209" t="s">
        <v>169</v>
      </c>
      <c r="B600" s="136"/>
      <c r="C600" s="205">
        <f>C640+C678</f>
        <v>3541.9333333333334</v>
      </c>
      <c r="D600" s="172">
        <v>168</v>
      </c>
      <c r="E600" s="211"/>
      <c r="F600" s="207">
        <f>F640+F678</f>
        <v>595045</v>
      </c>
      <c r="G600" s="172">
        <v>192</v>
      </c>
      <c r="H600" s="211"/>
      <c r="I600" s="207">
        <f>I640+I678</f>
        <v>680051</v>
      </c>
      <c r="J600" s="172">
        <f>ROUND(G600*(1+$Q$632),0)</f>
        <v>215</v>
      </c>
      <c r="K600" s="211"/>
      <c r="L600" s="207">
        <f>L640+L678</f>
        <v>761516</v>
      </c>
      <c r="N600" s="128" t="e">
        <f>J600*#REF!</f>
        <v>#REF!</v>
      </c>
      <c r="Q600" s="64">
        <f>(J600-G600)/G600</f>
        <v>0.11979166666666667</v>
      </c>
      <c r="R600" s="64"/>
      <c r="T600" s="128"/>
      <c r="U600" s="173"/>
      <c r="V600" s="128"/>
      <c r="W600" s="173"/>
      <c r="X600" s="128"/>
      <c r="Y600" s="128"/>
      <c r="Z600" s="173"/>
      <c r="AA600" s="173"/>
      <c r="AC600" s="96"/>
      <c r="AD600" s="54"/>
      <c r="AE600" s="54"/>
      <c r="AF600" s="54"/>
      <c r="AG600" s="54"/>
      <c r="AH600" s="54"/>
      <c r="AI600" s="54"/>
    </row>
    <row r="601" spans="1:35">
      <c r="A601" s="209" t="s">
        <v>136</v>
      </c>
      <c r="B601" s="136"/>
      <c r="C601" s="205">
        <f>SUM(C598:C600)</f>
        <v>12533.933333333334</v>
      </c>
      <c r="D601" s="172"/>
      <c r="E601" s="209"/>
      <c r="F601" s="207"/>
      <c r="G601" s="172"/>
      <c r="H601" s="209"/>
      <c r="I601" s="207"/>
      <c r="J601" s="172"/>
      <c r="K601" s="209"/>
      <c r="L601" s="207"/>
      <c r="T601" s="128"/>
      <c r="U601" s="173"/>
      <c r="V601" s="128"/>
      <c r="W601" s="173"/>
      <c r="X601" s="128"/>
      <c r="Y601" s="128"/>
      <c r="Z601" s="173"/>
      <c r="AA601" s="173"/>
      <c r="AC601" s="96"/>
      <c r="AD601" s="54"/>
      <c r="AE601" s="54"/>
      <c r="AF601" s="54"/>
      <c r="AG601" s="54"/>
      <c r="AH601" s="54"/>
      <c r="AI601" s="54"/>
    </row>
    <row r="602" spans="1:35">
      <c r="A602" s="209" t="s">
        <v>168</v>
      </c>
      <c r="B602" s="136"/>
      <c r="C602" s="205">
        <f>C642+C680</f>
        <v>1493044</v>
      </c>
      <c r="D602" s="172">
        <v>1.48</v>
      </c>
      <c r="E602" s="209" t="s">
        <v>0</v>
      </c>
      <c r="F602" s="207">
        <f>F642+F680</f>
        <v>2209706</v>
      </c>
      <c r="G602" s="172">
        <v>1.7</v>
      </c>
      <c r="H602" s="209" t="s">
        <v>0</v>
      </c>
      <c r="I602" s="207">
        <f>I642+I680</f>
        <v>2538175</v>
      </c>
      <c r="J602" s="172">
        <f>ROUND(G602*(1+$Q$632),2)</f>
        <v>1.91</v>
      </c>
      <c r="K602" s="209" t="s">
        <v>0</v>
      </c>
      <c r="L602" s="207">
        <f>L642+L680</f>
        <v>2851714</v>
      </c>
      <c r="N602" s="128" t="e">
        <f>J602*#REF!</f>
        <v>#REF!</v>
      </c>
      <c r="P602" s="174" t="s">
        <v>0</v>
      </c>
      <c r="Q602" s="64">
        <f>(J602-G602)/G602</f>
        <v>0.12352941176470586</v>
      </c>
      <c r="R602" s="64"/>
      <c r="T602" s="128"/>
      <c r="U602" s="212"/>
      <c r="V602" s="128"/>
      <c r="W602" s="212"/>
      <c r="X602" s="128"/>
      <c r="Y602" s="128"/>
      <c r="Z602" s="212"/>
      <c r="AA602" s="212"/>
      <c r="AC602" s="54"/>
      <c r="AD602" s="54"/>
      <c r="AE602" s="54"/>
      <c r="AF602" s="54"/>
      <c r="AG602" s="54"/>
      <c r="AH602" s="54"/>
      <c r="AI602" s="54"/>
    </row>
    <row r="603" spans="1:35">
      <c r="A603" s="209" t="s">
        <v>169</v>
      </c>
      <c r="B603" s="136"/>
      <c r="C603" s="205">
        <f>C643+C681</f>
        <v>1779104</v>
      </c>
      <c r="D603" s="172">
        <v>1.22</v>
      </c>
      <c r="E603" s="209" t="s">
        <v>0</v>
      </c>
      <c r="F603" s="207">
        <f>F643+F681</f>
        <v>2170507</v>
      </c>
      <c r="G603" s="172">
        <v>1.39</v>
      </c>
      <c r="H603" s="209" t="s">
        <v>0</v>
      </c>
      <c r="I603" s="207">
        <f>I643+I681</f>
        <v>2472955</v>
      </c>
      <c r="J603" s="172">
        <f>ROUND(G603*(1+$Q$632),2)</f>
        <v>1.56</v>
      </c>
      <c r="K603" s="209" t="s">
        <v>0</v>
      </c>
      <c r="L603" s="207">
        <f>L643+L681</f>
        <v>2775402</v>
      </c>
      <c r="N603" s="128" t="e">
        <f>J603*#REF!</f>
        <v>#REF!</v>
      </c>
      <c r="Q603" s="64">
        <f>(J603-G603)/G603</f>
        <v>0.12230215827338141</v>
      </c>
      <c r="R603" s="64"/>
      <c r="T603" s="128"/>
      <c r="U603" s="128"/>
      <c r="AC603" s="54"/>
      <c r="AD603" s="54"/>
      <c r="AE603" s="54"/>
      <c r="AF603" s="54"/>
      <c r="AG603" s="54"/>
      <c r="AH603" s="54"/>
      <c r="AI603" s="54"/>
    </row>
    <row r="604" spans="1:35">
      <c r="A604" s="149" t="s">
        <v>170</v>
      </c>
      <c r="B604" s="136"/>
      <c r="C604" s="205"/>
      <c r="D604" s="178"/>
      <c r="E604" s="209"/>
      <c r="F604" s="207"/>
      <c r="G604" s="178"/>
      <c r="H604" s="209"/>
      <c r="I604" s="207"/>
      <c r="J604" s="178"/>
      <c r="K604" s="209"/>
      <c r="L604" s="207"/>
      <c r="S604" s="113"/>
      <c r="AC604" s="54"/>
      <c r="AD604" s="54"/>
      <c r="AE604" s="54"/>
      <c r="AF604" s="54"/>
      <c r="AG604" s="54"/>
      <c r="AH604" s="54"/>
      <c r="AI604" s="54"/>
    </row>
    <row r="605" spans="1:35">
      <c r="A605" s="149" t="s">
        <v>171</v>
      </c>
      <c r="B605" s="136"/>
      <c r="C605" s="205">
        <f>C645+C683</f>
        <v>2464015</v>
      </c>
      <c r="D605" s="172">
        <v>3.88</v>
      </c>
      <c r="E605" s="209"/>
      <c r="F605" s="207">
        <f>F645+F683</f>
        <v>9560378</v>
      </c>
      <c r="G605" s="172">
        <v>4.4400000000000004</v>
      </c>
      <c r="H605" s="209"/>
      <c r="I605" s="207">
        <f>I645+I683</f>
        <v>10940227</v>
      </c>
      <c r="J605" s="172">
        <f>ROUND(G605*(1+$Q$632),2)+0.17</f>
        <v>5.15</v>
      </c>
      <c r="K605" s="209"/>
      <c r="L605" s="207">
        <f>L645+L683</f>
        <v>12689677</v>
      </c>
      <c r="N605" s="128" t="e">
        <f>J605*#REF!</f>
        <v>#REF!</v>
      </c>
      <c r="Q605" s="64">
        <f>(J605-G605)/G605</f>
        <v>0.15990990990990989</v>
      </c>
      <c r="R605" s="64"/>
      <c r="S605" s="113"/>
      <c r="AC605" s="54"/>
      <c r="AD605" s="54"/>
      <c r="AE605" s="54"/>
      <c r="AF605" s="54"/>
      <c r="AG605" s="54"/>
      <c r="AH605" s="54"/>
      <c r="AI605" s="54"/>
    </row>
    <row r="606" spans="1:35">
      <c r="A606" s="149" t="s">
        <v>187</v>
      </c>
      <c r="B606" s="136"/>
      <c r="C606" s="205">
        <f>C646+C684</f>
        <v>3552</v>
      </c>
      <c r="D606" s="266">
        <v>3.88</v>
      </c>
      <c r="E606" s="209"/>
      <c r="F606" s="207">
        <f>F646+F684</f>
        <v>13782</v>
      </c>
      <c r="G606" s="266">
        <v>4.4400000000000004</v>
      </c>
      <c r="H606" s="209"/>
      <c r="I606" s="207">
        <f>I646+I684</f>
        <v>15771</v>
      </c>
      <c r="J606" s="266">
        <f>J605</f>
        <v>5.15</v>
      </c>
      <c r="K606" s="209"/>
      <c r="L606" s="207">
        <f>L646+L684</f>
        <v>18293</v>
      </c>
      <c r="N606" s="128" t="e">
        <f>J606*#REF!</f>
        <v>#REF!</v>
      </c>
      <c r="Q606" s="64">
        <f>(J606-G606)/G606</f>
        <v>0.15990990990990989</v>
      </c>
      <c r="R606" s="64"/>
      <c r="S606" s="113"/>
      <c r="AC606" s="54"/>
      <c r="AD606" s="54"/>
      <c r="AE606" s="54"/>
      <c r="AF606" s="54"/>
      <c r="AG606" s="54"/>
      <c r="AH606" s="54"/>
      <c r="AI606" s="54"/>
    </row>
    <row r="607" spans="1:35">
      <c r="A607" s="209" t="s">
        <v>172</v>
      </c>
      <c r="B607" s="136"/>
      <c r="C607" s="205"/>
      <c r="D607" s="172"/>
      <c r="E607" s="209"/>
      <c r="F607" s="207"/>
      <c r="G607" s="172"/>
      <c r="H607" s="209"/>
      <c r="I607" s="207"/>
      <c r="J607" s="172"/>
      <c r="K607" s="209"/>
      <c r="L607" s="207"/>
      <c r="S607" s="174" t="s">
        <v>0</v>
      </c>
      <c r="AC607" s="54"/>
      <c r="AD607" s="54"/>
      <c r="AE607" s="54"/>
      <c r="AF607" s="54"/>
      <c r="AG607" s="54"/>
      <c r="AH607" s="54"/>
      <c r="AI607" s="54"/>
    </row>
    <row r="608" spans="1:35">
      <c r="A608" s="209" t="s">
        <v>173</v>
      </c>
      <c r="B608" s="205"/>
      <c r="C608" s="205">
        <f>C648+C686</f>
        <v>392463948.33333331</v>
      </c>
      <c r="D608" s="267">
        <v>4.6340000000000003</v>
      </c>
      <c r="E608" s="209" t="s">
        <v>99</v>
      </c>
      <c r="F608" s="207">
        <f>F648+F686</f>
        <v>18186780</v>
      </c>
      <c r="G608" s="267">
        <v>5.2919999999999998</v>
      </c>
      <c r="H608" s="209" t="s">
        <v>99</v>
      </c>
      <c r="I608" s="207">
        <f>I648+I686</f>
        <v>20769192</v>
      </c>
      <c r="J608" s="267">
        <f>ROUND(G608*(1+Q632)-J611,3)-0.05</f>
        <v>2.4660000000000002</v>
      </c>
      <c r="K608" s="209" t="s">
        <v>99</v>
      </c>
      <c r="L608" s="207">
        <f>L648+L686</f>
        <v>9678161</v>
      </c>
      <c r="N608" s="128" t="e">
        <f>(J608/100)*#REF!</f>
        <v>#REF!</v>
      </c>
      <c r="Q608" s="64">
        <f>(J608+J611-G608)/G608</f>
        <v>0.1116780045351476</v>
      </c>
      <c r="R608" s="64"/>
      <c r="S608" s="113"/>
      <c r="AC608" s="54"/>
      <c r="AD608" s="54"/>
      <c r="AE608" s="54"/>
      <c r="AF608" s="54"/>
      <c r="AG608" s="54"/>
      <c r="AH608" s="54"/>
      <c r="AI608" s="54"/>
    </row>
    <row r="609" spans="1:37">
      <c r="A609" s="209" t="s">
        <v>140</v>
      </c>
      <c r="B609" s="205"/>
      <c r="C609" s="205">
        <f>C649+C687</f>
        <v>468674490.66666669</v>
      </c>
      <c r="D609" s="267">
        <v>4.2469999999999999</v>
      </c>
      <c r="E609" s="209" t="s">
        <v>99</v>
      </c>
      <c r="F609" s="207">
        <f>F649+F687</f>
        <v>19904606</v>
      </c>
      <c r="G609" s="267">
        <v>4.8499999999999996</v>
      </c>
      <c r="H609" s="209" t="s">
        <v>99</v>
      </c>
      <c r="I609" s="207">
        <f>I649+I687</f>
        <v>22730713</v>
      </c>
      <c r="J609" s="267">
        <f>ROUND(J608/G608*G609,3)-0.003</f>
        <v>2.2569999999999997</v>
      </c>
      <c r="K609" s="209" t="s">
        <v>99</v>
      </c>
      <c r="L609" s="207">
        <f>L649+L687</f>
        <v>10577983</v>
      </c>
      <c r="N609" s="128" t="e">
        <f>(J609/100)*#REF!</f>
        <v>#REF!</v>
      </c>
      <c r="Q609" s="64">
        <f>(J609+J612-G609)/G609</f>
        <v>0.1115463917525774</v>
      </c>
      <c r="R609" s="64"/>
      <c r="S609" s="113"/>
      <c r="AD609" s="54"/>
      <c r="AE609" s="54"/>
      <c r="AF609" s="54"/>
      <c r="AG609" s="54"/>
      <c r="AH609" s="54"/>
      <c r="AI609" s="54"/>
    </row>
    <row r="610" spans="1:37">
      <c r="A610" s="209" t="s">
        <v>141</v>
      </c>
      <c r="B610" s="136"/>
      <c r="C610" s="205">
        <f>C650+C688</f>
        <v>496293.6</v>
      </c>
      <c r="D610" s="256">
        <v>50</v>
      </c>
      <c r="E610" s="209" t="s">
        <v>99</v>
      </c>
      <c r="F610" s="207">
        <f>F650+F688</f>
        <v>248147</v>
      </c>
      <c r="G610" s="256">
        <v>56</v>
      </c>
      <c r="H610" s="209" t="s">
        <v>99</v>
      </c>
      <c r="I610" s="207">
        <f>I650+I688</f>
        <v>277924</v>
      </c>
      <c r="J610" s="256">
        <f>ROUND((J609+J612)/G609*G610,0)</f>
        <v>62</v>
      </c>
      <c r="K610" s="209" t="s">
        <v>99</v>
      </c>
      <c r="L610" s="207">
        <f>L650+L688</f>
        <v>307702</v>
      </c>
      <c r="N610" s="128" t="e">
        <f>(J610/100)*#REF!</f>
        <v>#REF!</v>
      </c>
      <c r="Q610" s="64">
        <f>(J610-G610)/G610</f>
        <v>0.10714285714285714</v>
      </c>
      <c r="R610" s="64"/>
      <c r="S610" s="113"/>
      <c r="AD610" s="54"/>
      <c r="AE610" s="54"/>
      <c r="AF610" s="54"/>
      <c r="AG610" s="54"/>
      <c r="AH610" s="54"/>
      <c r="AI610" s="54"/>
    </row>
    <row r="611" spans="1:37">
      <c r="A611" s="134" t="s">
        <v>175</v>
      </c>
      <c r="C611" s="205">
        <f t="shared" ref="C611:C612" si="92">C651+C689</f>
        <v>392463948.33333331</v>
      </c>
      <c r="D611" s="133"/>
      <c r="E611" s="54"/>
      <c r="F611" s="127"/>
      <c r="G611" s="133"/>
      <c r="H611" s="54"/>
      <c r="I611" s="127"/>
      <c r="J611" s="135">
        <f>ROUND((I608/($I$608+$I$609)*$O$611)/C611*100,3)-0.001</f>
        <v>3.4170000000000003</v>
      </c>
      <c r="K611" s="207" t="s">
        <v>99</v>
      </c>
      <c r="L611" s="207">
        <f t="shared" ref="L611:L612" si="93">L651+L689</f>
        <v>13410493</v>
      </c>
      <c r="N611" s="128"/>
      <c r="O611" s="128">
        <v>28098082.805542979</v>
      </c>
      <c r="P611" s="93" t="s">
        <v>18</v>
      </c>
      <c r="Q611" s="108"/>
      <c r="R611" s="108"/>
      <c r="S611" s="129"/>
      <c r="T611" s="129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K611" s="128"/>
    </row>
    <row r="612" spans="1:37">
      <c r="A612" s="134" t="s">
        <v>176</v>
      </c>
      <c r="C612" s="205">
        <f t="shared" si="92"/>
        <v>468674490.66666669</v>
      </c>
      <c r="D612" s="133"/>
      <c r="E612" s="54"/>
      <c r="F612" s="127"/>
      <c r="G612" s="133"/>
      <c r="H612" s="54"/>
      <c r="I612" s="127"/>
      <c r="J612" s="135">
        <f>ROUND((I609/($I$608+$I$609)*$O$611)/C612*100,3)+0.001</f>
        <v>3.1339999999999999</v>
      </c>
      <c r="K612" s="207" t="s">
        <v>99</v>
      </c>
      <c r="L612" s="207">
        <f t="shared" si="93"/>
        <v>14688258</v>
      </c>
      <c r="N612" s="128"/>
      <c r="O612" s="134" t="s">
        <v>0</v>
      </c>
      <c r="P612" s="93"/>
      <c r="Q612" s="108"/>
      <c r="R612" s="108"/>
      <c r="S612" s="129"/>
      <c r="T612" s="129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K612" s="128"/>
    </row>
    <row r="613" spans="1:37">
      <c r="A613" s="179" t="s">
        <v>188</v>
      </c>
      <c r="B613" s="180"/>
      <c r="C613" s="216"/>
      <c r="D613" s="182"/>
      <c r="E613" s="183"/>
      <c r="F613" s="184"/>
      <c r="G613" s="268">
        <f>G608</f>
        <v>5.2919999999999998</v>
      </c>
      <c r="H613" s="217" t="s">
        <v>99</v>
      </c>
      <c r="I613" s="184"/>
      <c r="J613" s="268">
        <f>J608+J611</f>
        <v>5.8830000000000009</v>
      </c>
      <c r="K613" s="217" t="s">
        <v>99</v>
      </c>
      <c r="L613" s="269"/>
      <c r="N613" s="128"/>
      <c r="O613" s="134"/>
      <c r="P613" s="93"/>
      <c r="Q613" s="64">
        <f>(J613-G613)/G613</f>
        <v>0.1116780045351476</v>
      </c>
      <c r="R613" s="108"/>
      <c r="S613" s="129"/>
      <c r="T613" s="129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K613" s="128"/>
    </row>
    <row r="614" spans="1:37">
      <c r="A614" s="179" t="s">
        <v>189</v>
      </c>
      <c r="B614" s="180"/>
      <c r="C614" s="216"/>
      <c r="D614" s="182"/>
      <c r="E614" s="183"/>
      <c r="F614" s="184"/>
      <c r="G614" s="268">
        <f>G609</f>
        <v>4.8499999999999996</v>
      </c>
      <c r="H614" s="217" t="s">
        <v>99</v>
      </c>
      <c r="I614" s="184"/>
      <c r="J614" s="268">
        <f>J609+J612</f>
        <v>5.391</v>
      </c>
      <c r="K614" s="217" t="s">
        <v>99</v>
      </c>
      <c r="L614" s="269"/>
      <c r="N614" s="128"/>
      <c r="O614" s="134"/>
      <c r="P614" s="93"/>
      <c r="Q614" s="64">
        <f>(J614-G614)/G614</f>
        <v>0.1115463917525774</v>
      </c>
      <c r="R614" s="108"/>
      <c r="S614" s="129"/>
      <c r="T614" s="129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K614" s="128"/>
    </row>
    <row r="615" spans="1:37">
      <c r="A615" s="257" t="s">
        <v>148</v>
      </c>
      <c r="B615" s="136"/>
      <c r="C615" s="205"/>
      <c r="D615" s="220">
        <v>-0.01</v>
      </c>
      <c r="E615" s="127"/>
      <c r="F615" s="207"/>
      <c r="G615" s="220">
        <v>-0.01</v>
      </c>
      <c r="H615" s="136"/>
      <c r="I615" s="207"/>
      <c r="J615" s="220">
        <v>-0.01</v>
      </c>
      <c r="K615" s="136"/>
      <c r="L615" s="207"/>
      <c r="AD615" s="54"/>
      <c r="AE615" s="54"/>
      <c r="AF615" s="54"/>
      <c r="AG615" s="54"/>
      <c r="AH615" s="54"/>
      <c r="AI615" s="54"/>
    </row>
    <row r="616" spans="1:37">
      <c r="A616" s="209" t="s">
        <v>167</v>
      </c>
      <c r="B616" s="136"/>
      <c r="C616" s="205">
        <f t="shared" ref="C616:C631" si="94">C654+C692</f>
        <v>0</v>
      </c>
      <c r="D616" s="178">
        <v>227</v>
      </c>
      <c r="E616" s="262"/>
      <c r="F616" s="207">
        <f t="shared" ref="F616:F627" si="95">F654+F692</f>
        <v>0</v>
      </c>
      <c r="G616" s="178">
        <v>259</v>
      </c>
      <c r="H616" s="167"/>
      <c r="I616" s="207">
        <f t="shared" ref="I616:I627" si="96">I654+I692</f>
        <v>0</v>
      </c>
      <c r="J616" s="178">
        <f>J598</f>
        <v>292</v>
      </c>
      <c r="K616" s="167"/>
      <c r="L616" s="207">
        <f t="shared" ref="L616:L630" si="97">L654+L692</f>
        <v>0</v>
      </c>
      <c r="N616" s="128" t="e">
        <f>-(J616*#REF!)/100</f>
        <v>#REF!</v>
      </c>
      <c r="P616" s="174" t="s">
        <v>0</v>
      </c>
      <c r="AD616" s="54"/>
      <c r="AE616" s="54"/>
      <c r="AF616" s="54"/>
      <c r="AG616" s="54"/>
      <c r="AH616" s="54"/>
      <c r="AI616" s="54"/>
    </row>
    <row r="617" spans="1:37">
      <c r="A617" s="209" t="s">
        <v>168</v>
      </c>
      <c r="B617" s="136"/>
      <c r="C617" s="205">
        <f t="shared" si="94"/>
        <v>66</v>
      </c>
      <c r="D617" s="178">
        <v>84</v>
      </c>
      <c r="E617" s="262"/>
      <c r="F617" s="207">
        <f t="shared" si="95"/>
        <v>-56</v>
      </c>
      <c r="G617" s="178">
        <v>96</v>
      </c>
      <c r="H617" s="167"/>
      <c r="I617" s="207">
        <f t="shared" si="96"/>
        <v>-64</v>
      </c>
      <c r="J617" s="178">
        <f>J599</f>
        <v>108</v>
      </c>
      <c r="K617" s="167"/>
      <c r="L617" s="207">
        <f t="shared" si="97"/>
        <v>-72</v>
      </c>
      <c r="N617" s="128" t="e">
        <f>-(J617*#REF!)/100</f>
        <v>#REF!</v>
      </c>
      <c r="P617" s="270"/>
      <c r="AC617" s="54"/>
      <c r="AD617" s="54"/>
      <c r="AE617" s="54"/>
      <c r="AF617" s="54"/>
      <c r="AG617" s="54"/>
      <c r="AH617" s="54"/>
      <c r="AI617" s="54"/>
    </row>
    <row r="618" spans="1:37">
      <c r="A618" s="209" t="s">
        <v>169</v>
      </c>
      <c r="B618" s="136"/>
      <c r="C618" s="205">
        <f t="shared" si="94"/>
        <v>76.933333333333294</v>
      </c>
      <c r="D618" s="178">
        <v>168</v>
      </c>
      <c r="E618" s="271"/>
      <c r="F618" s="207">
        <f t="shared" si="95"/>
        <v>-130</v>
      </c>
      <c r="G618" s="178">
        <v>192</v>
      </c>
      <c r="H618" s="272"/>
      <c r="I618" s="207">
        <f t="shared" si="96"/>
        <v>-148</v>
      </c>
      <c r="J618" s="178">
        <f>J600</f>
        <v>215</v>
      </c>
      <c r="K618" s="272"/>
      <c r="L618" s="207">
        <f t="shared" si="97"/>
        <v>-166</v>
      </c>
      <c r="N618" s="128" t="e">
        <f>-(J618*#REF!)/100</f>
        <v>#REF!</v>
      </c>
      <c r="P618" s="270"/>
      <c r="AC618" s="54"/>
      <c r="AD618" s="54"/>
      <c r="AE618" s="54"/>
      <c r="AF618" s="54"/>
      <c r="AG618" s="54"/>
      <c r="AH618" s="54"/>
      <c r="AI618" s="54"/>
    </row>
    <row r="619" spans="1:37">
      <c r="A619" s="209" t="s">
        <v>168</v>
      </c>
      <c r="B619" s="136"/>
      <c r="C619" s="205">
        <f t="shared" si="94"/>
        <v>13175</v>
      </c>
      <c r="D619" s="178">
        <v>1.48</v>
      </c>
      <c r="E619" s="262"/>
      <c r="F619" s="207">
        <f t="shared" si="95"/>
        <v>-195</v>
      </c>
      <c r="G619" s="178">
        <v>1.7</v>
      </c>
      <c r="H619" s="167"/>
      <c r="I619" s="207">
        <f t="shared" si="96"/>
        <v>-224</v>
      </c>
      <c r="J619" s="178">
        <f>J602</f>
        <v>1.91</v>
      </c>
      <c r="K619" s="167"/>
      <c r="L619" s="207">
        <f t="shared" si="97"/>
        <v>-251</v>
      </c>
      <c r="N619" s="128" t="e">
        <f>-(J619*#REF!)/100</f>
        <v>#REF!</v>
      </c>
      <c r="AC619" s="54"/>
      <c r="AD619" s="54"/>
      <c r="AE619" s="54"/>
      <c r="AF619" s="54"/>
      <c r="AG619" s="54"/>
      <c r="AH619" s="54"/>
      <c r="AI619" s="54"/>
    </row>
    <row r="620" spans="1:37">
      <c r="A620" s="209" t="s">
        <v>169</v>
      </c>
      <c r="B620" s="136"/>
      <c r="C620" s="205">
        <f t="shared" si="94"/>
        <v>51278</v>
      </c>
      <c r="D620" s="178">
        <v>1.22</v>
      </c>
      <c r="E620" s="262" t="s">
        <v>0</v>
      </c>
      <c r="F620" s="207">
        <f t="shared" si="95"/>
        <v>-626</v>
      </c>
      <c r="G620" s="178">
        <v>1.39</v>
      </c>
      <c r="H620" s="167"/>
      <c r="I620" s="207">
        <f t="shared" si="96"/>
        <v>-713</v>
      </c>
      <c r="J620" s="178">
        <f>J603</f>
        <v>1.56</v>
      </c>
      <c r="K620" s="167"/>
      <c r="L620" s="207">
        <f t="shared" si="97"/>
        <v>-800</v>
      </c>
      <c r="N620" s="128" t="e">
        <f>-(J620*#REF!)/100</f>
        <v>#REF!</v>
      </c>
      <c r="P620" s="174" t="s">
        <v>0</v>
      </c>
      <c r="AC620" s="54"/>
      <c r="AD620" s="54"/>
      <c r="AE620" s="54"/>
      <c r="AF620" s="54"/>
      <c r="AG620" s="54"/>
      <c r="AH620" s="54"/>
      <c r="AI620" s="54"/>
    </row>
    <row r="621" spans="1:37">
      <c r="A621" s="149" t="s">
        <v>171</v>
      </c>
      <c r="B621" s="136"/>
      <c r="C621" s="205">
        <f t="shared" si="94"/>
        <v>46548</v>
      </c>
      <c r="D621" s="178">
        <v>3.88</v>
      </c>
      <c r="E621" s="262" t="s">
        <v>0</v>
      </c>
      <c r="F621" s="207">
        <f t="shared" si="95"/>
        <v>-1806</v>
      </c>
      <c r="G621" s="178">
        <v>4.4400000000000004</v>
      </c>
      <c r="H621" s="167"/>
      <c r="I621" s="207">
        <f t="shared" si="96"/>
        <v>-2067</v>
      </c>
      <c r="J621" s="178">
        <f>J605</f>
        <v>5.15</v>
      </c>
      <c r="K621" s="167"/>
      <c r="L621" s="207">
        <f t="shared" si="97"/>
        <v>-2397</v>
      </c>
      <c r="N621" s="128" t="e">
        <f>-(J621*#REF!)/100</f>
        <v>#REF!</v>
      </c>
      <c r="AC621" s="54"/>
      <c r="AD621" s="54"/>
      <c r="AE621" s="54"/>
      <c r="AF621" s="54"/>
      <c r="AG621" s="54"/>
      <c r="AH621" s="54"/>
      <c r="AI621" s="54"/>
    </row>
    <row r="622" spans="1:37">
      <c r="A622" s="149" t="s">
        <v>187</v>
      </c>
      <c r="B622" s="136"/>
      <c r="C622" s="205">
        <f t="shared" si="94"/>
        <v>181</v>
      </c>
      <c r="D622" s="178">
        <v>3.88</v>
      </c>
      <c r="E622" s="262" t="s">
        <v>0</v>
      </c>
      <c r="F622" s="207">
        <f t="shared" si="95"/>
        <v>-7</v>
      </c>
      <c r="G622" s="178">
        <v>4.4400000000000004</v>
      </c>
      <c r="H622" s="167"/>
      <c r="I622" s="207">
        <f t="shared" si="96"/>
        <v>-8</v>
      </c>
      <c r="J622" s="178">
        <f>J606</f>
        <v>5.15</v>
      </c>
      <c r="K622" s="167"/>
      <c r="L622" s="207">
        <f t="shared" si="97"/>
        <v>-9</v>
      </c>
      <c r="N622" s="128" t="e">
        <f>-(J622*#REF!)/100</f>
        <v>#REF!</v>
      </c>
      <c r="AC622" s="54"/>
      <c r="AD622" s="54"/>
      <c r="AE622" s="54"/>
      <c r="AF622" s="54"/>
      <c r="AG622" s="54"/>
      <c r="AH622" s="54"/>
      <c r="AI622" s="54"/>
    </row>
    <row r="623" spans="1:37">
      <c r="A623" s="209" t="s">
        <v>173</v>
      </c>
      <c r="B623" s="136"/>
      <c r="C623" s="205">
        <f t="shared" si="94"/>
        <v>5105859.333333333</v>
      </c>
      <c r="D623" s="188">
        <v>4.6340000000000003</v>
      </c>
      <c r="E623" s="207" t="s">
        <v>99</v>
      </c>
      <c r="F623" s="207">
        <f t="shared" si="95"/>
        <v>-2366</v>
      </c>
      <c r="G623" s="188">
        <v>5.2919999999999998</v>
      </c>
      <c r="H623" s="209" t="s">
        <v>99</v>
      </c>
      <c r="I623" s="207">
        <f t="shared" si="96"/>
        <v>-2703</v>
      </c>
      <c r="J623" s="188">
        <f>J608</f>
        <v>2.4660000000000002</v>
      </c>
      <c r="K623" s="209" t="s">
        <v>99</v>
      </c>
      <c r="L623" s="207">
        <f t="shared" si="97"/>
        <v>-1259</v>
      </c>
      <c r="N623" s="128" t="e">
        <f>-((J623*#REF!)/100)/100</f>
        <v>#REF!</v>
      </c>
      <c r="AC623" s="54"/>
      <c r="AD623" s="54"/>
      <c r="AE623" s="54"/>
      <c r="AF623" s="54"/>
      <c r="AG623" s="54"/>
      <c r="AH623" s="54"/>
      <c r="AI623" s="54"/>
    </row>
    <row r="624" spans="1:37">
      <c r="A624" s="209" t="s">
        <v>140</v>
      </c>
      <c r="B624" s="136"/>
      <c r="C624" s="205">
        <f t="shared" si="94"/>
        <v>11112061.666666668</v>
      </c>
      <c r="D624" s="188">
        <v>4.2469999999999999</v>
      </c>
      <c r="E624" s="207" t="s">
        <v>99</v>
      </c>
      <c r="F624" s="207">
        <f t="shared" si="95"/>
        <v>-4719</v>
      </c>
      <c r="G624" s="188">
        <v>4.8499999999999996</v>
      </c>
      <c r="H624" s="209" t="s">
        <v>99</v>
      </c>
      <c r="I624" s="207">
        <f t="shared" si="96"/>
        <v>-5392</v>
      </c>
      <c r="J624" s="188">
        <f>J609</f>
        <v>2.2569999999999997</v>
      </c>
      <c r="K624" s="209" t="s">
        <v>99</v>
      </c>
      <c r="L624" s="207">
        <f t="shared" si="97"/>
        <v>-2508</v>
      </c>
      <c r="N624" s="128" t="e">
        <f>-((J624*#REF!)/100)/100</f>
        <v>#REF!</v>
      </c>
      <c r="AC624" s="54"/>
      <c r="AD624" s="54"/>
      <c r="AE624" s="54"/>
      <c r="AF624" s="54"/>
      <c r="AG624" s="54"/>
      <c r="AH624" s="54"/>
      <c r="AI624" s="54"/>
    </row>
    <row r="625" spans="1:37">
      <c r="A625" s="209" t="s">
        <v>141</v>
      </c>
      <c r="B625" s="136"/>
      <c r="C625" s="205">
        <f t="shared" si="94"/>
        <v>8803.6</v>
      </c>
      <c r="D625" s="260">
        <v>50</v>
      </c>
      <c r="E625" s="207" t="s">
        <v>99</v>
      </c>
      <c r="F625" s="207">
        <f t="shared" si="95"/>
        <v>-44</v>
      </c>
      <c r="G625" s="260">
        <v>56</v>
      </c>
      <c r="H625" s="209" t="s">
        <v>99</v>
      </c>
      <c r="I625" s="207">
        <f t="shared" si="96"/>
        <v>-49</v>
      </c>
      <c r="J625" s="260">
        <f>J610</f>
        <v>62</v>
      </c>
      <c r="K625" s="209" t="s">
        <v>99</v>
      </c>
      <c r="L625" s="207">
        <f t="shared" si="97"/>
        <v>-55</v>
      </c>
      <c r="N625" s="128" t="e">
        <f>-((J625*#REF!)/100)/100</f>
        <v>#REF!</v>
      </c>
      <c r="AC625" s="54"/>
      <c r="AD625" s="54"/>
      <c r="AE625" s="54"/>
      <c r="AF625" s="54"/>
      <c r="AG625" s="54"/>
      <c r="AH625" s="54"/>
      <c r="AI625" s="54"/>
    </row>
    <row r="626" spans="1:37">
      <c r="A626" s="209" t="s">
        <v>190</v>
      </c>
      <c r="B626" s="136"/>
      <c r="C626" s="205">
        <f t="shared" si="94"/>
        <v>143</v>
      </c>
      <c r="D626" s="172">
        <v>60</v>
      </c>
      <c r="E626" s="262" t="s">
        <v>0</v>
      </c>
      <c r="F626" s="207">
        <f t="shared" si="95"/>
        <v>8580</v>
      </c>
      <c r="G626" s="172">
        <v>60</v>
      </c>
      <c r="H626" s="136"/>
      <c r="I626" s="207">
        <f t="shared" si="96"/>
        <v>8580</v>
      </c>
      <c r="J626" s="172">
        <v>60</v>
      </c>
      <c r="K626" s="136"/>
      <c r="L626" s="207">
        <f t="shared" si="97"/>
        <v>8580</v>
      </c>
      <c r="N626" s="128" t="e">
        <f>J626*#REF!</f>
        <v>#REF!</v>
      </c>
      <c r="AC626" s="54"/>
      <c r="AD626" s="54"/>
      <c r="AE626" s="54"/>
      <c r="AF626" s="54"/>
      <c r="AG626" s="54"/>
      <c r="AH626" s="54"/>
      <c r="AI626" s="54"/>
    </row>
    <row r="627" spans="1:37">
      <c r="A627" s="209" t="s">
        <v>191</v>
      </c>
      <c r="B627" s="136"/>
      <c r="C627" s="205">
        <f t="shared" si="94"/>
        <v>64453</v>
      </c>
      <c r="D627" s="226">
        <v>-30</v>
      </c>
      <c r="E627" s="207" t="s">
        <v>99</v>
      </c>
      <c r="F627" s="207">
        <f t="shared" si="95"/>
        <v>-19336</v>
      </c>
      <c r="G627" s="226">
        <v>-30</v>
      </c>
      <c r="H627" s="207" t="s">
        <v>99</v>
      </c>
      <c r="I627" s="207">
        <f t="shared" si="96"/>
        <v>-19336</v>
      </c>
      <c r="J627" s="226">
        <v>-30</v>
      </c>
      <c r="K627" s="207" t="s">
        <v>99</v>
      </c>
      <c r="L627" s="207">
        <f t="shared" si="97"/>
        <v>-19336</v>
      </c>
      <c r="N627" s="128" t="e">
        <f>(J627/100)*#REF!</f>
        <v>#REF!</v>
      </c>
      <c r="AC627" s="54"/>
      <c r="AD627" s="54"/>
      <c r="AE627" s="54"/>
      <c r="AF627" s="54"/>
      <c r="AG627" s="54"/>
      <c r="AH627" s="54"/>
      <c r="AI627" s="54"/>
    </row>
    <row r="628" spans="1:37">
      <c r="A628" s="134" t="s">
        <v>175</v>
      </c>
      <c r="C628" s="205">
        <f t="shared" si="94"/>
        <v>5105859.333333333</v>
      </c>
      <c r="D628" s="133"/>
      <c r="E628" s="54"/>
      <c r="F628" s="127"/>
      <c r="G628" s="133"/>
      <c r="H628" s="54"/>
      <c r="I628" s="127"/>
      <c r="J628" s="135">
        <f>J611</f>
        <v>3.4170000000000003</v>
      </c>
      <c r="K628" s="207" t="s">
        <v>99</v>
      </c>
      <c r="L628" s="207">
        <f t="shared" si="97"/>
        <v>-1745</v>
      </c>
      <c r="N628" s="128"/>
      <c r="P628" s="93"/>
      <c r="Q628" s="108"/>
      <c r="R628" s="108"/>
      <c r="S628" s="129"/>
      <c r="T628" s="129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K628" s="128"/>
    </row>
    <row r="629" spans="1:37">
      <c r="A629" s="134" t="s">
        <v>176</v>
      </c>
      <c r="C629" s="205">
        <f t="shared" si="94"/>
        <v>11112061.666666668</v>
      </c>
      <c r="D629" s="133"/>
      <c r="E629" s="54"/>
      <c r="F629" s="127"/>
      <c r="G629" s="133"/>
      <c r="H629" s="54"/>
      <c r="I629" s="127"/>
      <c r="J629" s="135">
        <f>J612</f>
        <v>3.1339999999999999</v>
      </c>
      <c r="K629" s="207" t="s">
        <v>99</v>
      </c>
      <c r="L629" s="207">
        <f t="shared" si="97"/>
        <v>-3483</v>
      </c>
      <c r="N629" s="128"/>
      <c r="P629" s="93"/>
      <c r="Q629" s="108"/>
      <c r="R629" s="108"/>
      <c r="S629" s="129"/>
      <c r="T629" s="129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K629" s="128"/>
    </row>
    <row r="630" spans="1:37">
      <c r="A630" s="136" t="s">
        <v>122</v>
      </c>
      <c r="B630" s="273"/>
      <c r="C630" s="205">
        <f t="shared" si="94"/>
        <v>861138439</v>
      </c>
      <c r="D630" s="215"/>
      <c r="E630" s="127"/>
      <c r="F630" s="127">
        <f>F668+F706</f>
        <v>53671050</v>
      </c>
      <c r="G630" s="210"/>
      <c r="H630" s="136"/>
      <c r="I630" s="127">
        <f>I668+I706</f>
        <v>61320232</v>
      </c>
      <c r="J630" s="127"/>
      <c r="K630" s="136"/>
      <c r="L630" s="127">
        <f t="shared" si="97"/>
        <v>68767922</v>
      </c>
      <c r="N630" s="128" t="e">
        <f>SUM(N598:N627)</f>
        <v>#REF!</v>
      </c>
      <c r="Q630" s="274"/>
      <c r="R630" s="274"/>
      <c r="AC630" s="54"/>
      <c r="AD630" s="54"/>
      <c r="AE630" s="54"/>
      <c r="AF630" s="54"/>
      <c r="AG630" s="54"/>
      <c r="AH630" s="54"/>
      <c r="AI630" s="54"/>
    </row>
    <row r="631" spans="1:37">
      <c r="A631" s="136" t="s">
        <v>102</v>
      </c>
      <c r="B631" s="202"/>
      <c r="C631" s="228">
        <f t="shared" si="94"/>
        <v>-434048.61387258163</v>
      </c>
      <c r="D631" s="149"/>
      <c r="E631" s="149"/>
      <c r="F631" s="192" t="e">
        <f>F669+F707</f>
        <v>#REF!</v>
      </c>
      <c r="G631" s="149"/>
      <c r="H631" s="149"/>
      <c r="I631" s="192">
        <f>I669+I707</f>
        <v>-22821.496526031377</v>
      </c>
      <c r="J631" s="149"/>
      <c r="K631" s="149"/>
      <c r="L631" s="192">
        <f>I631</f>
        <v>-22821.496526031377</v>
      </c>
      <c r="N631" s="230"/>
      <c r="O631" s="230"/>
      <c r="P631" s="275"/>
      <c r="AC631" s="54"/>
      <c r="AD631" s="54"/>
      <c r="AE631" s="54"/>
      <c r="AF631" s="54"/>
      <c r="AG631" s="54"/>
      <c r="AH631" s="54"/>
      <c r="AI631" s="54"/>
    </row>
    <row r="632" spans="1:37" ht="16.5" thickBot="1">
      <c r="A632" s="136" t="s">
        <v>123</v>
      </c>
      <c r="B632" s="136"/>
      <c r="C632" s="263">
        <f>SUM(C630)+C631</f>
        <v>860704390.38612747</v>
      </c>
      <c r="D632" s="231"/>
      <c r="E632" s="232"/>
      <c r="F632" s="233" t="e">
        <f>F630+F631</f>
        <v>#REF!</v>
      </c>
      <c r="G632" s="231"/>
      <c r="H632" s="235"/>
      <c r="I632" s="233">
        <f>I630+I631</f>
        <v>61297410.503473967</v>
      </c>
      <c r="J632" s="231"/>
      <c r="K632" s="235"/>
      <c r="L632" s="233">
        <f>L630+L631</f>
        <v>68745100.503473967</v>
      </c>
      <c r="N632" s="237"/>
      <c r="O632" s="144" t="s">
        <v>154</v>
      </c>
      <c r="P632" s="194">
        <v>68745045.879646063</v>
      </c>
      <c r="Q632" s="146">
        <v>0.12121999999999999</v>
      </c>
      <c r="R632" s="147"/>
      <c r="S632" s="64" t="s">
        <v>0</v>
      </c>
      <c r="AC632" s="54"/>
      <c r="AD632" s="54"/>
      <c r="AE632" s="54"/>
      <c r="AF632" s="54"/>
      <c r="AG632" s="54"/>
      <c r="AH632" s="54"/>
      <c r="AI632" s="54"/>
    </row>
    <row r="633" spans="1:37" ht="16.5" thickTop="1">
      <c r="A633" s="136"/>
      <c r="B633" s="136"/>
      <c r="C633" s="168"/>
      <c r="D633" s="225"/>
      <c r="E633" s="127"/>
      <c r="F633" s="127"/>
      <c r="G633" s="225" t="s">
        <v>0</v>
      </c>
      <c r="H633" s="136"/>
      <c r="I633" s="127" t="s">
        <v>0</v>
      </c>
      <c r="J633" s="251" t="s">
        <v>0</v>
      </c>
      <c r="K633" s="136"/>
      <c r="L633" s="127" t="s">
        <v>0</v>
      </c>
      <c r="O633" s="150" t="s">
        <v>105</v>
      </c>
      <c r="P633" s="151">
        <f>P632-L632</f>
        <v>-54.623827904462814</v>
      </c>
      <c r="Q633" s="240" t="s">
        <v>0</v>
      </c>
      <c r="R633" s="241"/>
      <c r="AC633" s="54"/>
      <c r="AD633" s="54"/>
      <c r="AE633" s="54"/>
      <c r="AF633" s="54"/>
      <c r="AG633" s="54"/>
      <c r="AH633" s="54"/>
      <c r="AI633" s="54"/>
    </row>
    <row r="634" spans="1:37" hidden="1">
      <c r="A634" s="167" t="s">
        <v>185</v>
      </c>
      <c r="B634" s="136"/>
      <c r="C634" s="136"/>
      <c r="D634" s="127"/>
      <c r="E634" s="127"/>
      <c r="F634" s="136" t="s">
        <v>0</v>
      </c>
      <c r="G634" s="127"/>
      <c r="H634" s="136"/>
      <c r="I634" s="136"/>
      <c r="J634" s="127"/>
      <c r="K634" s="136"/>
      <c r="L634" s="136"/>
      <c r="AC634" s="54"/>
      <c r="AD634" s="54"/>
      <c r="AE634" s="54"/>
      <c r="AF634" s="54"/>
      <c r="AG634" s="54"/>
      <c r="AH634" s="54"/>
      <c r="AI634" s="54"/>
    </row>
    <row r="635" spans="1:37" hidden="1">
      <c r="A635" s="149" t="s">
        <v>192</v>
      </c>
      <c r="B635" s="136"/>
      <c r="C635" s="136"/>
      <c r="D635" s="127"/>
      <c r="E635" s="127"/>
      <c r="F635" s="136"/>
      <c r="G635" s="127"/>
      <c r="H635" s="136"/>
      <c r="I635" s="136"/>
      <c r="J635" s="127"/>
      <c r="K635" s="136"/>
      <c r="L635" s="136"/>
      <c r="P635" s="153" t="s">
        <v>0</v>
      </c>
      <c r="AC635" s="54"/>
      <c r="AD635" s="54"/>
      <c r="AE635" s="54"/>
      <c r="AF635" s="54"/>
      <c r="AG635" s="54"/>
      <c r="AH635" s="54"/>
      <c r="AI635" s="54"/>
    </row>
    <row r="636" spans="1:37" hidden="1">
      <c r="A636" s="209"/>
      <c r="B636" s="136"/>
      <c r="C636" s="136"/>
      <c r="D636" s="127"/>
      <c r="E636" s="127"/>
      <c r="F636" s="136"/>
      <c r="G636" s="127"/>
      <c r="H636" s="136"/>
      <c r="I636" s="136"/>
      <c r="J636" s="127"/>
      <c r="K636" s="136"/>
      <c r="L636" s="136"/>
      <c r="N636" s="54"/>
      <c r="O636" s="54"/>
      <c r="P636" s="109"/>
      <c r="Q636" s="109"/>
      <c r="R636" s="109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</row>
    <row r="637" spans="1:37" hidden="1">
      <c r="A637" s="209" t="s">
        <v>135</v>
      </c>
      <c r="B637" s="136"/>
      <c r="C637" s="205"/>
      <c r="D637" s="127"/>
      <c r="E637" s="127"/>
      <c r="F637" s="136"/>
      <c r="G637" s="127"/>
      <c r="H637" s="136"/>
      <c r="I637" s="136"/>
      <c r="J637" s="127"/>
      <c r="K637" s="136"/>
      <c r="L637" s="136"/>
      <c r="N637" s="54"/>
      <c r="O637" s="54"/>
      <c r="P637" s="109"/>
      <c r="Q637" s="109"/>
      <c r="R637" s="109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</row>
    <row r="638" spans="1:37" hidden="1">
      <c r="A638" s="209" t="s">
        <v>167</v>
      </c>
      <c r="B638" s="136"/>
      <c r="C638" s="205">
        <f>281</f>
        <v>281</v>
      </c>
      <c r="D638" s="172">
        <v>227</v>
      </c>
      <c r="E638" s="209"/>
      <c r="F638" s="207">
        <f>ROUND(D638*$C638,0)</f>
        <v>63787</v>
      </c>
      <c r="G638" s="172">
        <v>259</v>
      </c>
      <c r="H638" s="209"/>
      <c r="I638" s="207">
        <f>ROUND(G638*C638,0)</f>
        <v>72779</v>
      </c>
      <c r="J638" s="172">
        <f>$J$598</f>
        <v>292</v>
      </c>
      <c r="K638" s="209"/>
      <c r="L638" s="207">
        <f>ROUND(J638*$C638,0)</f>
        <v>82052</v>
      </c>
      <c r="N638" s="54"/>
      <c r="Q638" s="109"/>
      <c r="R638" s="109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</row>
    <row r="639" spans="1:37" hidden="1">
      <c r="A639" s="209" t="s">
        <v>168</v>
      </c>
      <c r="B639" s="136"/>
      <c r="C639" s="205">
        <f>57+7534</f>
        <v>7591</v>
      </c>
      <c r="D639" s="172">
        <v>84</v>
      </c>
      <c r="E639" s="209"/>
      <c r="F639" s="207">
        <f>ROUND(D639*$C639,0)</f>
        <v>637644</v>
      </c>
      <c r="G639" s="172">
        <v>96</v>
      </c>
      <c r="H639" s="209"/>
      <c r="I639" s="207">
        <f>ROUND(G639*C639,0)</f>
        <v>728736</v>
      </c>
      <c r="J639" s="172">
        <f>$J$599</f>
        <v>108</v>
      </c>
      <c r="K639" s="209"/>
      <c r="L639" s="207">
        <f>ROUND(J639*$C639,0)</f>
        <v>819828</v>
      </c>
      <c r="N639" s="54"/>
      <c r="Q639" s="109"/>
      <c r="R639" s="109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</row>
    <row r="640" spans="1:37" hidden="1">
      <c r="A640" s="209" t="s">
        <v>169</v>
      </c>
      <c r="B640" s="136"/>
      <c r="C640" s="205">
        <v>2998.9333333333334</v>
      </c>
      <c r="D640" s="172">
        <v>168</v>
      </c>
      <c r="E640" s="211"/>
      <c r="F640" s="207">
        <f>ROUND(D640*$C640,0)</f>
        <v>503821</v>
      </c>
      <c r="G640" s="172">
        <v>192</v>
      </c>
      <c r="H640" s="211"/>
      <c r="I640" s="207">
        <f>ROUND(G640*C640,0)</f>
        <v>575795</v>
      </c>
      <c r="J640" s="172">
        <f>$J$600</f>
        <v>215</v>
      </c>
      <c r="K640" s="211"/>
      <c r="L640" s="207">
        <f>ROUND(J640*$C640,0)</f>
        <v>644771</v>
      </c>
      <c r="N640" s="54"/>
      <c r="Q640" s="109"/>
      <c r="R640" s="109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</row>
    <row r="641" spans="1:37" hidden="1">
      <c r="A641" s="209" t="s">
        <v>136</v>
      </c>
      <c r="B641" s="136"/>
      <c r="C641" s="205">
        <f>SUM(C638:C640)</f>
        <v>10870.933333333334</v>
      </c>
      <c r="D641" s="172"/>
      <c r="E641" s="209"/>
      <c r="F641" s="207"/>
      <c r="G641" s="172"/>
      <c r="H641" s="209"/>
      <c r="I641" s="207"/>
      <c r="J641" s="172"/>
      <c r="K641" s="209"/>
      <c r="L641" s="207"/>
      <c r="N641" s="54"/>
      <c r="Q641" s="109"/>
      <c r="R641" s="109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</row>
    <row r="642" spans="1:37" hidden="1">
      <c r="A642" s="209" t="s">
        <v>168</v>
      </c>
      <c r="B642" s="136"/>
      <c r="C642" s="205">
        <f>11751+1300323</f>
        <v>1312074</v>
      </c>
      <c r="D642" s="172">
        <v>1.48</v>
      </c>
      <c r="E642" s="209" t="s">
        <v>0</v>
      </c>
      <c r="F642" s="207">
        <f>ROUND(D642*$C642,0)</f>
        <v>1941870</v>
      </c>
      <c r="G642" s="172">
        <v>1.7</v>
      </c>
      <c r="H642" s="209" t="s">
        <v>0</v>
      </c>
      <c r="I642" s="207">
        <f t="shared" ref="I642:I643" si="98">ROUND(G642*C642,0)</f>
        <v>2230526</v>
      </c>
      <c r="J642" s="172">
        <f>$J$602</f>
        <v>1.91</v>
      </c>
      <c r="K642" s="209" t="s">
        <v>0</v>
      </c>
      <c r="L642" s="207">
        <f>ROUND(J642*$C642,0)</f>
        <v>2506061</v>
      </c>
      <c r="N642" s="54"/>
      <c r="Q642" s="109"/>
      <c r="R642" s="109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</row>
    <row r="643" spans="1:37" hidden="1">
      <c r="A643" s="209" t="s">
        <v>169</v>
      </c>
      <c r="B643" s="136"/>
      <c r="C643" s="205">
        <v>1471768</v>
      </c>
      <c r="D643" s="172">
        <v>1.22</v>
      </c>
      <c r="E643" s="209" t="s">
        <v>0</v>
      </c>
      <c r="F643" s="207">
        <f>ROUND(D643*$C643,0)</f>
        <v>1795557</v>
      </c>
      <c r="G643" s="172">
        <v>1.39</v>
      </c>
      <c r="H643" s="209" t="s">
        <v>0</v>
      </c>
      <c r="I643" s="207">
        <f t="shared" si="98"/>
        <v>2045758</v>
      </c>
      <c r="J643" s="172">
        <f>$J$603</f>
        <v>1.56</v>
      </c>
      <c r="K643" s="209" t="s">
        <v>0</v>
      </c>
      <c r="L643" s="207">
        <f>ROUND(J643*$C643,0)</f>
        <v>2295958</v>
      </c>
      <c r="N643" s="54"/>
      <c r="Q643" s="109"/>
      <c r="R643" s="109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</row>
    <row r="644" spans="1:37" hidden="1">
      <c r="A644" s="149" t="s">
        <v>170</v>
      </c>
      <c r="B644" s="136"/>
      <c r="C644" s="205"/>
      <c r="D644" s="178"/>
      <c r="E644" s="209"/>
      <c r="F644" s="207"/>
      <c r="G644" s="178"/>
      <c r="H644" s="209"/>
      <c r="I644" s="207"/>
      <c r="J644" s="178"/>
      <c r="K644" s="209"/>
      <c r="L644" s="207"/>
      <c r="N644" s="54"/>
      <c r="Q644" s="109"/>
      <c r="R644" s="109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</row>
    <row r="645" spans="1:37" hidden="1">
      <c r="A645" s="149" t="s">
        <v>171</v>
      </c>
      <c r="B645" s="136"/>
      <c r="C645" s="205">
        <v>2091816</v>
      </c>
      <c r="D645" s="172">
        <v>3.88</v>
      </c>
      <c r="E645" s="209"/>
      <c r="F645" s="207">
        <f>ROUND(D645*$C645,0)</f>
        <v>8116246</v>
      </c>
      <c r="G645" s="172">
        <v>4.4400000000000004</v>
      </c>
      <c r="H645" s="209"/>
      <c r="I645" s="207">
        <f t="shared" ref="I645:I646" si="99">ROUND(G645*C645,0)</f>
        <v>9287663</v>
      </c>
      <c r="J645" s="172">
        <f>$J$605</f>
        <v>5.15</v>
      </c>
      <c r="K645" s="209"/>
      <c r="L645" s="207">
        <f>ROUND(J645*$C645,0)</f>
        <v>10772852</v>
      </c>
      <c r="N645" s="54"/>
      <c r="Q645" s="109"/>
      <c r="R645" s="109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</row>
    <row r="646" spans="1:37" hidden="1">
      <c r="A646" s="149" t="s">
        <v>187</v>
      </c>
      <c r="B646" s="136"/>
      <c r="C646" s="205">
        <f>250+210+1624+950</f>
        <v>3034</v>
      </c>
      <c r="D646" s="266">
        <v>3.88</v>
      </c>
      <c r="E646" s="209"/>
      <c r="F646" s="207">
        <f>ROUND(D646*$C646,0)</f>
        <v>11772</v>
      </c>
      <c r="G646" s="266">
        <v>4.4400000000000004</v>
      </c>
      <c r="H646" s="209"/>
      <c r="I646" s="207">
        <f t="shared" si="99"/>
        <v>13471</v>
      </c>
      <c r="J646" s="266">
        <f>J645</f>
        <v>5.15</v>
      </c>
      <c r="K646" s="209"/>
      <c r="L646" s="207">
        <f>ROUND(J646*$C646,0)</f>
        <v>15625</v>
      </c>
      <c r="N646" s="54"/>
      <c r="Q646" s="109"/>
      <c r="R646" s="109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</row>
    <row r="647" spans="1:37" hidden="1">
      <c r="A647" s="209" t="s">
        <v>172</v>
      </c>
      <c r="B647" s="136"/>
      <c r="C647" s="205"/>
      <c r="D647" s="172"/>
      <c r="E647" s="209"/>
      <c r="F647" s="207"/>
      <c r="G647" s="172"/>
      <c r="H647" s="209"/>
      <c r="I647" s="207"/>
      <c r="J647" s="172"/>
      <c r="K647" s="209"/>
      <c r="L647" s="207"/>
      <c r="N647" s="54"/>
      <c r="Q647" s="109"/>
      <c r="R647" s="109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</row>
    <row r="648" spans="1:37" hidden="1">
      <c r="A648" s="209" t="s">
        <v>173</v>
      </c>
      <c r="B648" s="205"/>
      <c r="C648" s="205">
        <v>345535492.33333331</v>
      </c>
      <c r="D648" s="276">
        <v>4.6340000000000003</v>
      </c>
      <c r="E648" s="209" t="s">
        <v>99</v>
      </c>
      <c r="F648" s="207">
        <f>ROUND(D648*$C648/100,0)</f>
        <v>16012115</v>
      </c>
      <c r="G648" s="277">
        <v>5.2919999999999998</v>
      </c>
      <c r="H648" s="209" t="s">
        <v>99</v>
      </c>
      <c r="I648" s="207">
        <f>ROUND(G648*C648/100,0)</f>
        <v>18285738</v>
      </c>
      <c r="J648" s="267">
        <f>$J$608</f>
        <v>2.4660000000000002</v>
      </c>
      <c r="K648" s="209" t="s">
        <v>99</v>
      </c>
      <c r="L648" s="207">
        <f>ROUND(J648*$C648/100,0)</f>
        <v>8520905</v>
      </c>
      <c r="N648" s="54"/>
      <c r="Q648" s="109"/>
      <c r="R648" s="109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</row>
    <row r="649" spans="1:37" hidden="1">
      <c r="A649" s="209" t="s">
        <v>140</v>
      </c>
      <c r="B649" s="205"/>
      <c r="C649" s="205">
        <v>406010762.66666669</v>
      </c>
      <c r="D649" s="276">
        <v>4.2469999999999999</v>
      </c>
      <c r="E649" s="209" t="s">
        <v>99</v>
      </c>
      <c r="F649" s="207">
        <f>ROUND(D649*$C649/100,0)</f>
        <v>17243277</v>
      </c>
      <c r="G649" s="277">
        <v>4.8499999999999996</v>
      </c>
      <c r="H649" s="209" t="s">
        <v>99</v>
      </c>
      <c r="I649" s="207">
        <f t="shared" ref="I649:I650" si="100">ROUND(G649*C649/100,0)</f>
        <v>19691522</v>
      </c>
      <c r="J649" s="267">
        <f>$J$609</f>
        <v>2.2569999999999997</v>
      </c>
      <c r="K649" s="209" t="s">
        <v>99</v>
      </c>
      <c r="L649" s="207">
        <f>ROUND(J649*$C649/100,0)</f>
        <v>9163663</v>
      </c>
      <c r="N649" s="54"/>
      <c r="Q649" s="109"/>
      <c r="R649" s="109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</row>
    <row r="650" spans="1:37" hidden="1">
      <c r="A650" s="209" t="s">
        <v>141</v>
      </c>
      <c r="B650" s="136"/>
      <c r="C650" s="205">
        <v>379182.6</v>
      </c>
      <c r="D650" s="226">
        <v>50</v>
      </c>
      <c r="E650" s="209" t="s">
        <v>99</v>
      </c>
      <c r="F650" s="207">
        <f>ROUND(D650*$C650/100,0)</f>
        <v>189591</v>
      </c>
      <c r="G650" s="278">
        <v>56</v>
      </c>
      <c r="H650" s="209" t="s">
        <v>99</v>
      </c>
      <c r="I650" s="207">
        <f t="shared" si="100"/>
        <v>212342</v>
      </c>
      <c r="J650" s="279">
        <f>$J$610</f>
        <v>62</v>
      </c>
      <c r="K650" s="209" t="s">
        <v>99</v>
      </c>
      <c r="L650" s="207">
        <f>ROUND(J650*$C650/100,0)</f>
        <v>235093</v>
      </c>
      <c r="N650" s="54"/>
      <c r="Q650" s="109"/>
      <c r="R650" s="109"/>
      <c r="S650" s="199" t="s">
        <v>0</v>
      </c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</row>
    <row r="651" spans="1:37" hidden="1">
      <c r="A651" s="134" t="s">
        <v>175</v>
      </c>
      <c r="C651" s="125">
        <f>C648</f>
        <v>345535492.33333331</v>
      </c>
      <c r="D651" s="133"/>
      <c r="E651" s="54"/>
      <c r="F651" s="127"/>
      <c r="G651" s="133"/>
      <c r="H651" s="54"/>
      <c r="I651" s="127"/>
      <c r="J651" s="135">
        <f>J611</f>
        <v>3.4170000000000003</v>
      </c>
      <c r="K651" s="207" t="s">
        <v>99</v>
      </c>
      <c r="L651" s="207">
        <f t="shared" ref="L651:L652" si="101">ROUND(J651*$C651/100,0)</f>
        <v>11806948</v>
      </c>
      <c r="N651" s="128"/>
      <c r="Q651" s="243"/>
      <c r="R651" s="109"/>
      <c r="S651" s="129"/>
      <c r="T651" s="129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K651" s="128"/>
    </row>
    <row r="652" spans="1:37" hidden="1">
      <c r="A652" s="134" t="s">
        <v>176</v>
      </c>
      <c r="C652" s="125">
        <f>C649</f>
        <v>406010762.66666669</v>
      </c>
      <c r="D652" s="133"/>
      <c r="E652" s="54"/>
      <c r="F652" s="127"/>
      <c r="G652" s="133"/>
      <c r="H652" s="54"/>
      <c r="I652" s="127"/>
      <c r="J652" s="135">
        <f>J612</f>
        <v>3.1339999999999999</v>
      </c>
      <c r="K652" s="207" t="s">
        <v>99</v>
      </c>
      <c r="L652" s="207">
        <f t="shared" si="101"/>
        <v>12724377</v>
      </c>
      <c r="N652" s="128"/>
      <c r="Q652" s="243"/>
      <c r="R652" s="109"/>
      <c r="S652" s="129"/>
      <c r="T652" s="129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K652" s="128"/>
    </row>
    <row r="653" spans="1:37" hidden="1">
      <c r="A653" s="257" t="s">
        <v>148</v>
      </c>
      <c r="B653" s="136"/>
      <c r="C653" s="205"/>
      <c r="D653" s="220">
        <v>-0.01</v>
      </c>
      <c r="E653" s="127"/>
      <c r="F653" s="207"/>
      <c r="G653" s="220">
        <v>-0.01</v>
      </c>
      <c r="H653" s="136"/>
      <c r="I653" s="207"/>
      <c r="J653" s="220">
        <v>-0.01</v>
      </c>
      <c r="K653" s="136"/>
      <c r="L653" s="207"/>
      <c r="N653" s="54"/>
      <c r="Q653" s="243"/>
      <c r="R653" s="109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</row>
    <row r="654" spans="1:37" hidden="1">
      <c r="A654" s="209" t="s">
        <v>167</v>
      </c>
      <c r="B654" s="168"/>
      <c r="C654" s="205">
        <v>0</v>
      </c>
      <c r="D654" s="178">
        <v>227</v>
      </c>
      <c r="E654" s="262"/>
      <c r="F654" s="207">
        <f>ROUND(D654*$C654*D653,0)</f>
        <v>0</v>
      </c>
      <c r="G654" s="178">
        <v>259</v>
      </c>
      <c r="H654" s="167"/>
      <c r="I654" s="207">
        <f>ROUND(G654*C654*$G$653,0)</f>
        <v>0</v>
      </c>
      <c r="J654" s="178">
        <f>J638</f>
        <v>292</v>
      </c>
      <c r="K654" s="167"/>
      <c r="L654" s="207">
        <f>ROUND(J654*$C654*J653,0)</f>
        <v>0</v>
      </c>
      <c r="N654" s="54"/>
      <c r="Q654" s="243"/>
      <c r="R654" s="109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</row>
    <row r="655" spans="1:37" hidden="1">
      <c r="A655" s="209" t="s">
        <v>168</v>
      </c>
      <c r="B655" s="136"/>
      <c r="C655" s="205">
        <f>57</f>
        <v>57</v>
      </c>
      <c r="D655" s="178">
        <v>84</v>
      </c>
      <c r="E655" s="262"/>
      <c r="F655" s="207">
        <f>ROUND(D655*$C655*D653,0)</f>
        <v>-48</v>
      </c>
      <c r="G655" s="178">
        <v>96</v>
      </c>
      <c r="H655" s="167"/>
      <c r="I655" s="207">
        <f t="shared" ref="I655:I660" si="102">ROUND(G655*C655*$G$653,0)</f>
        <v>-55</v>
      </c>
      <c r="J655" s="178">
        <f>J639</f>
        <v>108</v>
      </c>
      <c r="K655" s="167"/>
      <c r="L655" s="207">
        <f>ROUND(J655*$C655*J653,0)</f>
        <v>-62</v>
      </c>
      <c r="N655" s="54"/>
      <c r="Q655" s="243"/>
      <c r="R655" s="109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</row>
    <row r="656" spans="1:37" hidden="1">
      <c r="A656" s="209" t="s">
        <v>169</v>
      </c>
      <c r="B656" s="136"/>
      <c r="C656" s="205">
        <v>72.933333333333294</v>
      </c>
      <c r="D656" s="178">
        <v>168</v>
      </c>
      <c r="E656" s="271"/>
      <c r="F656" s="207">
        <f>ROUND(D656*$C656*D653,0)</f>
        <v>-123</v>
      </c>
      <c r="G656" s="178">
        <v>192</v>
      </c>
      <c r="H656" s="272"/>
      <c r="I656" s="207">
        <f t="shared" si="102"/>
        <v>-140</v>
      </c>
      <c r="J656" s="178">
        <f>J640</f>
        <v>215</v>
      </c>
      <c r="K656" s="272"/>
      <c r="L656" s="207">
        <f>ROUND(J656*$C656*J653,0)</f>
        <v>-157</v>
      </c>
      <c r="N656" s="54"/>
      <c r="Q656" s="243"/>
      <c r="R656" s="109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</row>
    <row r="657" spans="1:37" hidden="1">
      <c r="A657" s="209" t="s">
        <v>168</v>
      </c>
      <c r="B657" s="136"/>
      <c r="C657" s="205">
        <f>11751</f>
        <v>11751</v>
      </c>
      <c r="D657" s="178">
        <v>1.48</v>
      </c>
      <c r="E657" s="262"/>
      <c r="F657" s="207">
        <f>ROUND(D657*$C657*D653,0)</f>
        <v>-174</v>
      </c>
      <c r="G657" s="178">
        <v>1.7</v>
      </c>
      <c r="H657" s="167"/>
      <c r="I657" s="207">
        <f t="shared" si="102"/>
        <v>-200</v>
      </c>
      <c r="J657" s="178">
        <f>J642</f>
        <v>1.91</v>
      </c>
      <c r="K657" s="167"/>
      <c r="L657" s="207">
        <f>ROUND(J657*$C657*J653,0)</f>
        <v>-224</v>
      </c>
      <c r="N657" s="54"/>
      <c r="Q657" s="243"/>
      <c r="R657" s="109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</row>
    <row r="658" spans="1:37" hidden="1">
      <c r="A658" s="209" t="s">
        <v>169</v>
      </c>
      <c r="B658" s="136"/>
      <c r="C658" s="205">
        <v>47276</v>
      </c>
      <c r="D658" s="178">
        <v>1.22</v>
      </c>
      <c r="E658" s="262" t="s">
        <v>0</v>
      </c>
      <c r="F658" s="207">
        <f>ROUND(D658*$C658*D653,0)</f>
        <v>-577</v>
      </c>
      <c r="G658" s="178">
        <v>1.39</v>
      </c>
      <c r="H658" s="167"/>
      <c r="I658" s="207">
        <f t="shared" si="102"/>
        <v>-657</v>
      </c>
      <c r="J658" s="178">
        <f>J643</f>
        <v>1.56</v>
      </c>
      <c r="K658" s="167"/>
      <c r="L658" s="207">
        <f>ROUND(J658*$C658*J653,0)</f>
        <v>-738</v>
      </c>
      <c r="N658" s="54"/>
      <c r="Q658" s="243"/>
      <c r="R658" s="109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</row>
    <row r="659" spans="1:37" hidden="1">
      <c r="A659" s="149" t="s">
        <v>171</v>
      </c>
      <c r="B659" s="136"/>
      <c r="C659" s="205">
        <v>41771</v>
      </c>
      <c r="D659" s="178">
        <v>3.88</v>
      </c>
      <c r="E659" s="262" t="s">
        <v>0</v>
      </c>
      <c r="F659" s="207">
        <f>ROUND(D659*$C659*D653,0)</f>
        <v>-1621</v>
      </c>
      <c r="G659" s="178">
        <v>4.4400000000000004</v>
      </c>
      <c r="H659" s="167"/>
      <c r="I659" s="207">
        <f t="shared" si="102"/>
        <v>-1855</v>
      </c>
      <c r="J659" s="178">
        <f>J645</f>
        <v>5.15</v>
      </c>
      <c r="K659" s="167"/>
      <c r="L659" s="207">
        <f>ROUND(J659*$C659*J653,0)</f>
        <v>-2151</v>
      </c>
      <c r="N659" s="54"/>
      <c r="Q659" s="243"/>
      <c r="R659" s="109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</row>
    <row r="660" spans="1:37" hidden="1">
      <c r="A660" s="149" t="s">
        <v>187</v>
      </c>
      <c r="B660" s="136"/>
      <c r="C660" s="205">
        <f>250</f>
        <v>250</v>
      </c>
      <c r="D660" s="178">
        <v>3.88</v>
      </c>
      <c r="E660" s="262" t="s">
        <v>0</v>
      </c>
      <c r="F660" s="207">
        <f>ROUND(D660*$C660*D653,0)</f>
        <v>-10</v>
      </c>
      <c r="G660" s="178">
        <v>4.4400000000000004</v>
      </c>
      <c r="H660" s="167"/>
      <c r="I660" s="207">
        <f t="shared" si="102"/>
        <v>-11</v>
      </c>
      <c r="J660" s="178">
        <f>J646</f>
        <v>5.15</v>
      </c>
      <c r="K660" s="167"/>
      <c r="L660" s="207">
        <f>ROUND(J660*$C660*J653,0)</f>
        <v>-13</v>
      </c>
      <c r="N660" s="54"/>
      <c r="Q660" s="243"/>
      <c r="R660" s="109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</row>
    <row r="661" spans="1:37" hidden="1">
      <c r="A661" s="209" t="s">
        <v>173</v>
      </c>
      <c r="B661" s="136"/>
      <c r="C661" s="205">
        <v>4646126.333333333</v>
      </c>
      <c r="D661" s="188">
        <v>4.6340000000000003</v>
      </c>
      <c r="E661" s="207" t="s">
        <v>99</v>
      </c>
      <c r="F661" s="207">
        <f>ROUND(D661*$C661/100*D653,0)</f>
        <v>-2153</v>
      </c>
      <c r="G661" s="188">
        <v>5.2939999999999996</v>
      </c>
      <c r="H661" s="209" t="s">
        <v>99</v>
      </c>
      <c r="I661" s="207">
        <f>ROUND(G661*C661/100*$G$653,0)</f>
        <v>-2460</v>
      </c>
      <c r="J661" s="188">
        <f>J648</f>
        <v>2.4660000000000002</v>
      </c>
      <c r="K661" s="209" t="s">
        <v>99</v>
      </c>
      <c r="L661" s="207">
        <f>ROUND(J661*$C661/100*J653,0)</f>
        <v>-1146</v>
      </c>
      <c r="N661" s="243"/>
      <c r="Q661" s="243"/>
      <c r="R661" s="109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</row>
    <row r="662" spans="1:37" hidden="1">
      <c r="A662" s="209" t="s">
        <v>140</v>
      </c>
      <c r="B662" s="136"/>
      <c r="C662" s="205">
        <v>9903194.6666666679</v>
      </c>
      <c r="D662" s="188">
        <v>4.2469999999999999</v>
      </c>
      <c r="E662" s="207" t="s">
        <v>99</v>
      </c>
      <c r="F662" s="207">
        <f>ROUND(D662*$C662/100*D653,0)</f>
        <v>-4206</v>
      </c>
      <c r="G662" s="188">
        <v>4.8520000000000003</v>
      </c>
      <c r="H662" s="209" t="s">
        <v>99</v>
      </c>
      <c r="I662" s="207">
        <f>ROUND(G662*C662/100*$G$653,0)</f>
        <v>-4805</v>
      </c>
      <c r="J662" s="188">
        <f>J649</f>
        <v>2.2569999999999997</v>
      </c>
      <c r="K662" s="209" t="s">
        <v>99</v>
      </c>
      <c r="L662" s="207">
        <f>ROUND(J662*$C662/100*J653,0)</f>
        <v>-2235</v>
      </c>
      <c r="N662" s="54"/>
      <c r="Q662" s="243"/>
      <c r="R662" s="109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</row>
    <row r="663" spans="1:37" hidden="1">
      <c r="A663" s="209" t="s">
        <v>141</v>
      </c>
      <c r="B663" s="136"/>
      <c r="C663" s="205">
        <v>7733.6</v>
      </c>
      <c r="D663" s="260">
        <v>50</v>
      </c>
      <c r="E663" s="207" t="s">
        <v>99</v>
      </c>
      <c r="F663" s="207">
        <f>ROUND(D663*$C663/100*D653,0)</f>
        <v>-39</v>
      </c>
      <c r="G663" s="260">
        <v>56</v>
      </c>
      <c r="H663" s="209" t="s">
        <v>99</v>
      </c>
      <c r="I663" s="207">
        <f>ROUND(G663*C663/100*$G$653,0)</f>
        <v>-43</v>
      </c>
      <c r="J663" s="260">
        <f>J650</f>
        <v>62</v>
      </c>
      <c r="K663" s="209" t="s">
        <v>99</v>
      </c>
      <c r="L663" s="207">
        <f>ROUND(J663*$C663/100*J653,0)</f>
        <v>-48</v>
      </c>
      <c r="N663" s="54"/>
      <c r="Q663" s="243"/>
      <c r="R663" s="109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</row>
    <row r="664" spans="1:37" hidden="1">
      <c r="A664" s="209" t="s">
        <v>190</v>
      </c>
      <c r="B664" s="136"/>
      <c r="C664" s="205">
        <v>130</v>
      </c>
      <c r="D664" s="172">
        <v>60</v>
      </c>
      <c r="E664" s="262" t="s">
        <v>0</v>
      </c>
      <c r="F664" s="207">
        <f>ROUND(D664*$C664,0)</f>
        <v>7800</v>
      </c>
      <c r="G664" s="172">
        <v>60</v>
      </c>
      <c r="H664" s="136"/>
      <c r="I664" s="207">
        <f>ROUND(G664*C664,0)</f>
        <v>7800</v>
      </c>
      <c r="J664" s="172">
        <f>$J$626</f>
        <v>60</v>
      </c>
      <c r="K664" s="136"/>
      <c r="L664" s="207">
        <f>ROUND(J664*$C664,0)</f>
        <v>7800</v>
      </c>
      <c r="N664" s="54"/>
      <c r="Q664" s="108"/>
      <c r="R664" s="93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</row>
    <row r="665" spans="1:37" hidden="1">
      <c r="A665" s="209" t="s">
        <v>191</v>
      </c>
      <c r="B665" s="187"/>
      <c r="C665" s="205">
        <v>59027</v>
      </c>
      <c r="D665" s="226">
        <v>-30</v>
      </c>
      <c r="E665" s="207" t="s">
        <v>99</v>
      </c>
      <c r="F665" s="207">
        <f>ROUND(D665*$C665/100,0)</f>
        <v>-17708</v>
      </c>
      <c r="G665" s="226">
        <v>-30</v>
      </c>
      <c r="H665" s="207" t="s">
        <v>99</v>
      </c>
      <c r="I665" s="207">
        <f>-ROUND(G665*C665*$G$653,0)</f>
        <v>-17708</v>
      </c>
      <c r="J665" s="226">
        <f>$J$627</f>
        <v>-30</v>
      </c>
      <c r="K665" s="207" t="s">
        <v>99</v>
      </c>
      <c r="L665" s="207">
        <f>ROUND(J665*$C665/100,0)</f>
        <v>-17708</v>
      </c>
      <c r="N665" s="54"/>
      <c r="Q665" s="108"/>
      <c r="R665" s="93"/>
      <c r="S665" s="199" t="s">
        <v>0</v>
      </c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</row>
    <row r="666" spans="1:37" hidden="1">
      <c r="A666" s="134" t="s">
        <v>175</v>
      </c>
      <c r="C666" s="125">
        <f>C661</f>
        <v>4646126.333333333</v>
      </c>
      <c r="D666" s="133"/>
      <c r="E666" s="54"/>
      <c r="F666" s="127"/>
      <c r="G666" s="133"/>
      <c r="H666" s="54"/>
      <c r="I666" s="127"/>
      <c r="J666" s="135">
        <f>J651</f>
        <v>3.4170000000000003</v>
      </c>
      <c r="K666" s="207" t="s">
        <v>99</v>
      </c>
      <c r="L666" s="207">
        <f>ROUND(J666*$C666/100*J653,0)</f>
        <v>-1588</v>
      </c>
      <c r="N666" s="128"/>
      <c r="Q666" s="243"/>
      <c r="R666" s="109"/>
      <c r="S666" s="129"/>
      <c r="T666" s="129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K666" s="128"/>
    </row>
    <row r="667" spans="1:37" hidden="1">
      <c r="A667" s="134" t="s">
        <v>176</v>
      </c>
      <c r="C667" s="125">
        <f>C662</f>
        <v>9903194.6666666679</v>
      </c>
      <c r="D667" s="133"/>
      <c r="E667" s="54"/>
      <c r="F667" s="127"/>
      <c r="G667" s="133"/>
      <c r="H667" s="54"/>
      <c r="I667" s="127"/>
      <c r="J667" s="135">
        <f>J652</f>
        <v>3.1339999999999999</v>
      </c>
      <c r="K667" s="207" t="s">
        <v>99</v>
      </c>
      <c r="L667" s="207">
        <f>ROUND(J667*$C667/100*J653,0)</f>
        <v>-3104</v>
      </c>
      <c r="N667" s="128"/>
      <c r="Q667" s="243"/>
      <c r="R667" s="109"/>
      <c r="S667" s="129"/>
      <c r="T667" s="129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K667" s="128"/>
    </row>
    <row r="668" spans="1:37" hidden="1">
      <c r="A668" s="136" t="s">
        <v>122</v>
      </c>
      <c r="B668" s="190"/>
      <c r="C668" s="205">
        <f>SUM(C648:C649)</f>
        <v>751546255</v>
      </c>
      <c r="D668" s="215"/>
      <c r="E668" s="127"/>
      <c r="F668" s="127">
        <f>SUM(F638:F665)</f>
        <v>46496821</v>
      </c>
      <c r="G668" s="215"/>
      <c r="H668" s="136"/>
      <c r="I668" s="127">
        <f>SUM(I638:I665)</f>
        <v>53124196</v>
      </c>
      <c r="J668" s="215"/>
      <c r="K668" s="136"/>
      <c r="L668" s="127">
        <f>SUM(L638:L667)</f>
        <v>59566759</v>
      </c>
      <c r="N668" s="54"/>
      <c r="Q668" s="243"/>
      <c r="R668" s="109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</row>
    <row r="669" spans="1:37" hidden="1">
      <c r="A669" s="136" t="s">
        <v>102</v>
      </c>
      <c r="B669" s="136"/>
      <c r="C669" s="246">
        <v>-1937617.861591337</v>
      </c>
      <c r="D669" s="149"/>
      <c r="E669" s="149"/>
      <c r="F669" s="192" t="e">
        <f>#REF!</f>
        <v>#REF!</v>
      </c>
      <c r="G669" s="149"/>
      <c r="H669" s="149"/>
      <c r="I669" s="192">
        <v>-154956.56153473366</v>
      </c>
      <c r="J669" s="149"/>
      <c r="K669" s="149"/>
      <c r="L669" s="192">
        <f>I669</f>
        <v>-154956.56153473366</v>
      </c>
      <c r="N669" s="164"/>
      <c r="O669" s="164"/>
      <c r="P669" s="162"/>
      <c r="Q669" s="243"/>
      <c r="R669" s="109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</row>
    <row r="670" spans="1:37" ht="16.5" hidden="1" thickBot="1">
      <c r="A670" s="136" t="s">
        <v>123</v>
      </c>
      <c r="B670" s="136"/>
      <c r="C670" s="263">
        <f>SUM(C668)+C669</f>
        <v>749608637.13840866</v>
      </c>
      <c r="D670" s="231"/>
      <c r="E670" s="232"/>
      <c r="F670" s="233" t="e">
        <f>F668+F669</f>
        <v>#REF!</v>
      </c>
      <c r="G670" s="231"/>
      <c r="H670" s="235"/>
      <c r="I670" s="233">
        <f>I668+I669</f>
        <v>52969239.438465267</v>
      </c>
      <c r="J670" s="231"/>
      <c r="K670" s="235"/>
      <c r="L670" s="233">
        <f>L668+L669</f>
        <v>59411802.438465267</v>
      </c>
      <c r="N670" s="165"/>
      <c r="O670" s="165"/>
      <c r="P670" s="166"/>
      <c r="Q670" s="243"/>
      <c r="R670" s="109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</row>
    <row r="671" spans="1:37" hidden="1">
      <c r="A671" s="136"/>
      <c r="B671" s="136"/>
      <c r="C671" s="168"/>
      <c r="D671" s="225"/>
      <c r="E671" s="127"/>
      <c r="F671" s="127"/>
      <c r="G671" s="225" t="s">
        <v>0</v>
      </c>
      <c r="H671" s="136"/>
      <c r="I671" s="127"/>
      <c r="J671" s="251" t="s">
        <v>0</v>
      </c>
      <c r="K671" s="136"/>
      <c r="L671" s="127" t="s">
        <v>0</v>
      </c>
      <c r="N671" s="54"/>
      <c r="O671" s="54"/>
      <c r="P671" s="109"/>
      <c r="Q671" s="243"/>
      <c r="R671" s="109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</row>
    <row r="672" spans="1:37" hidden="1">
      <c r="A672" s="167" t="s">
        <v>185</v>
      </c>
      <c r="B672" s="136"/>
      <c r="C672" s="136"/>
      <c r="D672" s="127"/>
      <c r="E672" s="127"/>
      <c r="F672" s="136" t="s">
        <v>0</v>
      </c>
      <c r="G672" s="127"/>
      <c r="H672" s="136"/>
      <c r="I672" s="136"/>
      <c r="J672" s="127"/>
      <c r="K672" s="136"/>
      <c r="L672" s="136"/>
      <c r="N672" s="54"/>
      <c r="O672" s="54"/>
      <c r="P672" s="109"/>
      <c r="Q672" s="243"/>
      <c r="R672" s="109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</row>
    <row r="673" spans="1:35" hidden="1">
      <c r="A673" s="149" t="s">
        <v>193</v>
      </c>
      <c r="B673" s="136"/>
      <c r="C673" s="136"/>
      <c r="D673" s="127"/>
      <c r="E673" s="127"/>
      <c r="F673" s="136"/>
      <c r="G673" s="127"/>
      <c r="H673" s="136"/>
      <c r="I673" s="136"/>
      <c r="J673" s="127"/>
      <c r="K673" s="136"/>
      <c r="L673" s="136"/>
      <c r="N673" s="54"/>
      <c r="O673" s="54"/>
      <c r="P673" s="109"/>
      <c r="Q673" s="243"/>
      <c r="R673" s="109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</row>
    <row r="674" spans="1:35" hidden="1">
      <c r="A674" s="209"/>
      <c r="B674" s="136"/>
      <c r="C674" s="136"/>
      <c r="D674" s="127"/>
      <c r="E674" s="127"/>
      <c r="F674" s="136"/>
      <c r="G674" s="127"/>
      <c r="H674" s="136"/>
      <c r="I674" s="136"/>
      <c r="J674" s="127"/>
      <c r="K674" s="136"/>
      <c r="L674" s="136"/>
      <c r="N674" s="54"/>
      <c r="O674" s="54"/>
      <c r="P674" s="109"/>
      <c r="Q674" s="243"/>
      <c r="R674" s="109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</row>
    <row r="675" spans="1:35" hidden="1">
      <c r="A675" s="209" t="s">
        <v>135</v>
      </c>
      <c r="B675" s="168"/>
      <c r="C675" s="205"/>
      <c r="D675" s="127"/>
      <c r="E675" s="127"/>
      <c r="F675" s="136"/>
      <c r="G675" s="127"/>
      <c r="H675" s="136"/>
      <c r="I675" s="136"/>
      <c r="J675" s="127"/>
      <c r="K675" s="136"/>
      <c r="L675" s="136"/>
      <c r="N675" s="54"/>
      <c r="O675" s="54"/>
      <c r="P675" s="109"/>
      <c r="Q675" s="243"/>
      <c r="R675" s="109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</row>
    <row r="676" spans="1:35" hidden="1">
      <c r="A676" s="209" t="s">
        <v>167</v>
      </c>
      <c r="B676" s="136"/>
      <c r="C676" s="205">
        <f>51</f>
        <v>51</v>
      </c>
      <c r="D676" s="172">
        <v>227</v>
      </c>
      <c r="E676" s="209"/>
      <c r="F676" s="207">
        <f>ROUND(D676*$C676,0)</f>
        <v>11577</v>
      </c>
      <c r="G676" s="172">
        <v>259</v>
      </c>
      <c r="H676" s="209"/>
      <c r="I676" s="207">
        <f>ROUND(G676*C676,0)</f>
        <v>13209</v>
      </c>
      <c r="J676" s="172">
        <f>$J$598</f>
        <v>292</v>
      </c>
      <c r="K676" s="209"/>
      <c r="L676" s="207">
        <f>ROUND(J676*$C676,0)</f>
        <v>14892</v>
      </c>
      <c r="N676" s="54"/>
      <c r="O676" s="54"/>
      <c r="P676" s="109"/>
      <c r="Q676" s="243"/>
      <c r="R676" s="109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</row>
    <row r="677" spans="1:35" hidden="1">
      <c r="A677" s="209" t="s">
        <v>168</v>
      </c>
      <c r="B677" s="136"/>
      <c r="C677" s="205">
        <f>9+1060</f>
        <v>1069</v>
      </c>
      <c r="D677" s="172">
        <v>84</v>
      </c>
      <c r="E677" s="209"/>
      <c r="F677" s="207">
        <f>ROUND(D677*$C677,0)</f>
        <v>89796</v>
      </c>
      <c r="G677" s="172">
        <v>96</v>
      </c>
      <c r="H677" s="209"/>
      <c r="I677" s="207">
        <f>ROUND(G677*C677,0)</f>
        <v>102624</v>
      </c>
      <c r="J677" s="172">
        <f>$J$599</f>
        <v>108</v>
      </c>
      <c r="K677" s="209"/>
      <c r="L677" s="207">
        <f>ROUND(J677*$C677,0)</f>
        <v>115452</v>
      </c>
      <c r="N677" s="54"/>
      <c r="O677" s="54"/>
      <c r="P677" s="109"/>
      <c r="Q677" s="243"/>
      <c r="R677" s="109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</row>
    <row r="678" spans="1:35" hidden="1">
      <c r="A678" s="209" t="s">
        <v>169</v>
      </c>
      <c r="B678" s="136"/>
      <c r="C678" s="205">
        <f>4+539</f>
        <v>543</v>
      </c>
      <c r="D678" s="172">
        <v>168</v>
      </c>
      <c r="E678" s="211"/>
      <c r="F678" s="207">
        <f>ROUND(D678*$C678,0)</f>
        <v>91224</v>
      </c>
      <c r="G678" s="172">
        <v>192</v>
      </c>
      <c r="H678" s="211"/>
      <c r="I678" s="207">
        <f>ROUND(G678*C678,0)</f>
        <v>104256</v>
      </c>
      <c r="J678" s="172">
        <f>$J$600</f>
        <v>215</v>
      </c>
      <c r="K678" s="211"/>
      <c r="L678" s="207">
        <f>ROUND(J678*$C678,0)</f>
        <v>116745</v>
      </c>
      <c r="N678" s="54"/>
      <c r="O678" s="54"/>
      <c r="P678" s="109"/>
      <c r="Q678" s="243"/>
      <c r="R678" s="109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</row>
    <row r="679" spans="1:35" hidden="1">
      <c r="A679" s="209" t="s">
        <v>136</v>
      </c>
      <c r="B679" s="136"/>
      <c r="C679" s="205">
        <f>SUM(C676:C678)</f>
        <v>1663</v>
      </c>
      <c r="D679" s="172"/>
      <c r="E679" s="209"/>
      <c r="F679" s="207"/>
      <c r="G679" s="172"/>
      <c r="H679" s="209"/>
      <c r="I679" s="207"/>
      <c r="J679" s="172"/>
      <c r="K679" s="209"/>
      <c r="L679" s="207"/>
      <c r="N679" s="54"/>
      <c r="O679" s="54"/>
      <c r="P679" s="109"/>
      <c r="Q679" s="108"/>
      <c r="R679" s="93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</row>
    <row r="680" spans="1:35" hidden="1">
      <c r="A680" s="209" t="s">
        <v>168</v>
      </c>
      <c r="B680" s="136"/>
      <c r="C680" s="205">
        <f>1424+179546</f>
        <v>180970</v>
      </c>
      <c r="D680" s="172">
        <v>1.48</v>
      </c>
      <c r="E680" s="209" t="s">
        <v>0</v>
      </c>
      <c r="F680" s="207">
        <f>ROUND(D680*$C680,0)</f>
        <v>267836</v>
      </c>
      <c r="G680" s="172">
        <v>1.7</v>
      </c>
      <c r="H680" s="209" t="s">
        <v>0</v>
      </c>
      <c r="I680" s="207">
        <f t="shared" ref="I680:I681" si="103">ROUND(G680*C680,0)</f>
        <v>307649</v>
      </c>
      <c r="J680" s="172">
        <f>$J$602</f>
        <v>1.91</v>
      </c>
      <c r="K680" s="209" t="s">
        <v>0</v>
      </c>
      <c r="L680" s="207">
        <f>ROUND(J680*$C680,0)</f>
        <v>345653</v>
      </c>
      <c r="N680" s="54"/>
      <c r="O680" s="54"/>
      <c r="P680" s="109"/>
      <c r="Q680" s="108"/>
      <c r="R680" s="93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</row>
    <row r="681" spans="1:35" hidden="1">
      <c r="A681" s="209" t="s">
        <v>169</v>
      </c>
      <c r="B681" s="136"/>
      <c r="C681" s="205">
        <f>4002+303334</f>
        <v>307336</v>
      </c>
      <c r="D681" s="172">
        <v>1.22</v>
      </c>
      <c r="E681" s="209" t="s">
        <v>0</v>
      </c>
      <c r="F681" s="207">
        <f>ROUND(D681*$C681,0)</f>
        <v>374950</v>
      </c>
      <c r="G681" s="172">
        <v>1.39</v>
      </c>
      <c r="H681" s="209" t="s">
        <v>0</v>
      </c>
      <c r="I681" s="207">
        <f t="shared" si="103"/>
        <v>427197</v>
      </c>
      <c r="J681" s="172">
        <f>$J$603</f>
        <v>1.56</v>
      </c>
      <c r="K681" s="209" t="s">
        <v>0</v>
      </c>
      <c r="L681" s="207">
        <f>ROUND(J681*$C681,0)</f>
        <v>479444</v>
      </c>
      <c r="N681" s="54"/>
      <c r="O681" s="54"/>
      <c r="P681" s="109"/>
      <c r="Q681" s="243"/>
      <c r="R681" s="109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</row>
    <row r="682" spans="1:35" hidden="1">
      <c r="A682" s="149" t="s">
        <v>170</v>
      </c>
      <c r="B682" s="136"/>
      <c r="C682" s="205"/>
      <c r="D682" s="178"/>
      <c r="E682" s="209"/>
      <c r="F682" s="207"/>
      <c r="G682" s="178"/>
      <c r="H682" s="209"/>
      <c r="I682" s="207"/>
      <c r="J682" s="178"/>
      <c r="K682" s="209"/>
      <c r="L682" s="207"/>
      <c r="N682" s="54"/>
      <c r="O682" s="54"/>
      <c r="P682" s="109"/>
      <c r="Q682" s="109"/>
      <c r="R682" s="109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</row>
    <row r="683" spans="1:35" hidden="1">
      <c r="A683" s="149" t="s">
        <v>171</v>
      </c>
      <c r="B683" s="136"/>
      <c r="C683" s="205">
        <f>41+721+4015+3207+129389+234826</f>
        <v>372199</v>
      </c>
      <c r="D683" s="172">
        <v>3.88</v>
      </c>
      <c r="E683" s="209"/>
      <c r="F683" s="207">
        <f>ROUND(D683*$C683,0)</f>
        <v>1444132</v>
      </c>
      <c r="G683" s="172">
        <v>4.4400000000000004</v>
      </c>
      <c r="H683" s="209"/>
      <c r="I683" s="207">
        <f t="shared" ref="I683:I684" si="104">ROUND(G683*C683,0)</f>
        <v>1652564</v>
      </c>
      <c r="J683" s="172">
        <f>$J$605</f>
        <v>5.15</v>
      </c>
      <c r="K683" s="209"/>
      <c r="L683" s="207">
        <f>ROUND(J683*$C683,0)</f>
        <v>1916825</v>
      </c>
      <c r="N683" s="54"/>
      <c r="O683" s="54"/>
      <c r="P683" s="109"/>
      <c r="Q683" s="109"/>
      <c r="R683" s="109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</row>
    <row r="684" spans="1:35" hidden="1">
      <c r="A684" s="149" t="s">
        <v>187</v>
      </c>
      <c r="B684" s="136"/>
      <c r="C684" s="205">
        <f>-69+-51+638</f>
        <v>518</v>
      </c>
      <c r="D684" s="266">
        <v>3.88</v>
      </c>
      <c r="E684" s="209"/>
      <c r="F684" s="207">
        <f>ROUND(D684*$C684,0)</f>
        <v>2010</v>
      </c>
      <c r="G684" s="266">
        <v>4.4400000000000004</v>
      </c>
      <c r="H684" s="209"/>
      <c r="I684" s="207">
        <f t="shared" si="104"/>
        <v>2300</v>
      </c>
      <c r="J684" s="266">
        <f>J683</f>
        <v>5.15</v>
      </c>
      <c r="K684" s="209"/>
      <c r="L684" s="207">
        <f>ROUND(J684*$C684,0)</f>
        <v>2668</v>
      </c>
      <c r="N684" s="54"/>
      <c r="O684" s="54"/>
      <c r="P684" s="109"/>
      <c r="Q684" s="109"/>
      <c r="R684" s="109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</row>
    <row r="685" spans="1:35" hidden="1">
      <c r="A685" s="209" t="s">
        <v>172</v>
      </c>
      <c r="B685" s="136"/>
      <c r="C685" s="205"/>
      <c r="D685" s="172"/>
      <c r="E685" s="209"/>
      <c r="F685" s="207"/>
      <c r="G685" s="172"/>
      <c r="H685" s="209"/>
      <c r="I685" s="207"/>
      <c r="J685" s="172"/>
      <c r="K685" s="209"/>
      <c r="L685" s="207"/>
      <c r="N685" s="54"/>
      <c r="O685" s="54"/>
      <c r="P685" s="109"/>
      <c r="Q685" s="109"/>
      <c r="R685" s="109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</row>
    <row r="686" spans="1:35" hidden="1">
      <c r="A686" s="209" t="s">
        <v>173</v>
      </c>
      <c r="B686" s="136"/>
      <c r="C686" s="205">
        <f>9333+294400+156000+594867+25753476+20120380</f>
        <v>46928456</v>
      </c>
      <c r="D686" s="276">
        <v>4.6340000000000003</v>
      </c>
      <c r="E686" s="209" t="s">
        <v>99</v>
      </c>
      <c r="F686" s="207">
        <f>ROUND(D686*$C686/100,0)</f>
        <v>2174665</v>
      </c>
      <c r="G686" s="277">
        <v>5.2919999999999998</v>
      </c>
      <c r="H686" s="209" t="s">
        <v>99</v>
      </c>
      <c r="I686" s="207">
        <f>ROUND(G686*C686/100,0)</f>
        <v>2483454</v>
      </c>
      <c r="J686" s="267">
        <f>$J$608</f>
        <v>2.4660000000000002</v>
      </c>
      <c r="K686" s="209" t="s">
        <v>99</v>
      </c>
      <c r="L686" s="207">
        <f>ROUND(J686*$C686/100,0)</f>
        <v>1157256</v>
      </c>
      <c r="N686" s="54"/>
      <c r="O686" s="54"/>
      <c r="P686" s="109"/>
      <c r="Q686" s="109"/>
      <c r="R686" s="109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</row>
    <row r="687" spans="1:35" hidden="1">
      <c r="A687" s="209" t="s">
        <v>140</v>
      </c>
      <c r="B687" s="136"/>
      <c r="C687" s="205">
        <f>12600+297600+1358400+747880+33430363+73745341-C686</f>
        <v>62663728</v>
      </c>
      <c r="D687" s="276">
        <v>4.2469999999999999</v>
      </c>
      <c r="E687" s="209" t="s">
        <v>99</v>
      </c>
      <c r="F687" s="207">
        <f>ROUND(D687*$C687/100,0)</f>
        <v>2661329</v>
      </c>
      <c r="G687" s="277">
        <v>4.8499999999999996</v>
      </c>
      <c r="H687" s="209" t="s">
        <v>99</v>
      </c>
      <c r="I687" s="207">
        <f t="shared" ref="I687:I688" si="105">ROUND(G687*C687/100,0)</f>
        <v>3039191</v>
      </c>
      <c r="J687" s="267">
        <f>$J$609</f>
        <v>2.2569999999999997</v>
      </c>
      <c r="K687" s="209" t="s">
        <v>99</v>
      </c>
      <c r="L687" s="207">
        <f>ROUND(J687*$C687/100,0)</f>
        <v>1414320</v>
      </c>
      <c r="N687" s="54"/>
      <c r="O687" s="54"/>
      <c r="P687" s="109"/>
      <c r="Q687" s="109"/>
      <c r="R687" s="109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</row>
    <row r="688" spans="1:35" hidden="1">
      <c r="A688" s="209" t="s">
        <v>141</v>
      </c>
      <c r="B688" s="136"/>
      <c r="C688" s="205">
        <f>28+1042+308+41191+74542</f>
        <v>117111</v>
      </c>
      <c r="D688" s="226">
        <v>50</v>
      </c>
      <c r="E688" s="209" t="s">
        <v>99</v>
      </c>
      <c r="F688" s="207">
        <f>ROUND(D688*$C688/100,0)</f>
        <v>58556</v>
      </c>
      <c r="G688" s="278">
        <v>56</v>
      </c>
      <c r="H688" s="209" t="s">
        <v>99</v>
      </c>
      <c r="I688" s="207">
        <f t="shared" si="105"/>
        <v>65582</v>
      </c>
      <c r="J688" s="279">
        <f>$J$610</f>
        <v>62</v>
      </c>
      <c r="K688" s="209" t="s">
        <v>99</v>
      </c>
      <c r="L688" s="207">
        <f>ROUND(J688*$C688/100,0)</f>
        <v>72609</v>
      </c>
      <c r="N688" s="54"/>
      <c r="O688" s="54"/>
      <c r="P688" s="109"/>
      <c r="Q688" s="109"/>
      <c r="R688" s="109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</row>
    <row r="689" spans="1:37" hidden="1">
      <c r="A689" s="134" t="s">
        <v>175</v>
      </c>
      <c r="C689" s="125">
        <f>C686</f>
        <v>46928456</v>
      </c>
      <c r="D689" s="133"/>
      <c r="E689" s="54"/>
      <c r="F689" s="127"/>
      <c r="G689" s="133"/>
      <c r="H689" s="54"/>
      <c r="I689" s="127"/>
      <c r="J689" s="135">
        <f>J611</f>
        <v>3.4170000000000003</v>
      </c>
      <c r="K689" s="207" t="s">
        <v>99</v>
      </c>
      <c r="L689" s="207">
        <f t="shared" ref="L689:L690" si="106">ROUND(J689*$C689/100,0)</f>
        <v>1603545</v>
      </c>
      <c r="N689" s="128"/>
      <c r="P689" s="93"/>
      <c r="Q689" s="108"/>
      <c r="R689" s="108"/>
      <c r="S689" s="129"/>
      <c r="T689" s="129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K689" s="128"/>
    </row>
    <row r="690" spans="1:37" hidden="1">
      <c r="A690" s="134" t="s">
        <v>176</v>
      </c>
      <c r="C690" s="125">
        <f>C687</f>
        <v>62663728</v>
      </c>
      <c r="D690" s="133"/>
      <c r="E690" s="54"/>
      <c r="F690" s="127"/>
      <c r="G690" s="133"/>
      <c r="H690" s="54"/>
      <c r="I690" s="127"/>
      <c r="J690" s="135">
        <f>J612</f>
        <v>3.1339999999999999</v>
      </c>
      <c r="K690" s="207" t="s">
        <v>99</v>
      </c>
      <c r="L690" s="207">
        <f t="shared" si="106"/>
        <v>1963881</v>
      </c>
      <c r="N690" s="128"/>
      <c r="P690" s="93"/>
      <c r="Q690" s="108"/>
      <c r="R690" s="108"/>
      <c r="S690" s="129"/>
      <c r="T690" s="129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K690" s="128"/>
    </row>
    <row r="691" spans="1:37" hidden="1">
      <c r="A691" s="257" t="s">
        <v>148</v>
      </c>
      <c r="B691" s="136"/>
      <c r="C691" s="205"/>
      <c r="D691" s="220">
        <v>-0.01</v>
      </c>
      <c r="E691" s="127"/>
      <c r="F691" s="207"/>
      <c r="G691" s="220">
        <v>-0.01</v>
      </c>
      <c r="H691" s="136"/>
      <c r="I691" s="207"/>
      <c r="J691" s="220">
        <v>-0.01</v>
      </c>
      <c r="K691" s="136"/>
      <c r="L691" s="207"/>
      <c r="N691" s="54"/>
      <c r="O691" s="54"/>
      <c r="P691" s="109"/>
      <c r="Q691" s="109"/>
      <c r="R691" s="109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</row>
    <row r="692" spans="1:37" hidden="1">
      <c r="A692" s="209" t="s">
        <v>167</v>
      </c>
      <c r="B692" s="136"/>
      <c r="C692" s="205">
        <v>0</v>
      </c>
      <c r="D692" s="178">
        <v>227</v>
      </c>
      <c r="E692" s="262"/>
      <c r="F692" s="207">
        <f>ROUND(D692*$C692*D691,0)</f>
        <v>0</v>
      </c>
      <c r="G692" s="178">
        <v>259</v>
      </c>
      <c r="H692" s="167"/>
      <c r="I692" s="207">
        <f>ROUND(G692*C692*$G$653,0)</f>
        <v>0</v>
      </c>
      <c r="J692" s="178">
        <f>J676</f>
        <v>292</v>
      </c>
      <c r="K692" s="167"/>
      <c r="L692" s="207">
        <f>ROUND(J692*$C692*J691,0)</f>
        <v>0</v>
      </c>
      <c r="N692" s="54"/>
      <c r="O692" s="54"/>
      <c r="P692" s="109"/>
      <c r="Q692" s="109"/>
      <c r="R692" s="109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</row>
    <row r="693" spans="1:37" hidden="1">
      <c r="A693" s="209" t="s">
        <v>168</v>
      </c>
      <c r="B693" s="136"/>
      <c r="C693" s="205">
        <f>9</f>
        <v>9</v>
      </c>
      <c r="D693" s="178">
        <v>84</v>
      </c>
      <c r="E693" s="262"/>
      <c r="F693" s="207">
        <f>ROUND(D693*$C693*D691,0)</f>
        <v>-8</v>
      </c>
      <c r="G693" s="178">
        <v>96</v>
      </c>
      <c r="H693" s="167"/>
      <c r="I693" s="207">
        <f t="shared" ref="I693:I698" si="107">ROUND(G693*C693*$G$653,0)</f>
        <v>-9</v>
      </c>
      <c r="J693" s="178">
        <f>J677</f>
        <v>108</v>
      </c>
      <c r="K693" s="167"/>
      <c r="L693" s="207">
        <f>ROUND(J693*$C693*J691,0)</f>
        <v>-10</v>
      </c>
      <c r="N693" s="54"/>
      <c r="O693" s="54"/>
      <c r="P693" s="109"/>
      <c r="Q693" s="109"/>
      <c r="R693" s="109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</row>
    <row r="694" spans="1:37" hidden="1">
      <c r="A694" s="209" t="s">
        <v>169</v>
      </c>
      <c r="B694" s="136"/>
      <c r="C694" s="205">
        <f>4</f>
        <v>4</v>
      </c>
      <c r="D694" s="178">
        <v>168</v>
      </c>
      <c r="E694" s="271"/>
      <c r="F694" s="207">
        <f>ROUND(D694*$C694*D691,0)</f>
        <v>-7</v>
      </c>
      <c r="G694" s="178">
        <v>192</v>
      </c>
      <c r="H694" s="272"/>
      <c r="I694" s="207">
        <f t="shared" si="107"/>
        <v>-8</v>
      </c>
      <c r="J694" s="178">
        <f>J678</f>
        <v>215</v>
      </c>
      <c r="K694" s="272"/>
      <c r="L694" s="207">
        <f>ROUND(J694*$C694*J691,0)</f>
        <v>-9</v>
      </c>
      <c r="N694" s="54"/>
      <c r="O694" s="54"/>
      <c r="P694" s="109"/>
      <c r="Q694" s="109"/>
      <c r="R694" s="109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</row>
    <row r="695" spans="1:37" hidden="1">
      <c r="A695" s="209" t="s">
        <v>168</v>
      </c>
      <c r="B695" s="136"/>
      <c r="C695" s="205">
        <f>1424</f>
        <v>1424</v>
      </c>
      <c r="D695" s="178">
        <v>1.48</v>
      </c>
      <c r="E695" s="262"/>
      <c r="F695" s="207">
        <f>ROUND(D695*$C695*D691,0)</f>
        <v>-21</v>
      </c>
      <c r="G695" s="178">
        <v>1.7</v>
      </c>
      <c r="H695" s="167"/>
      <c r="I695" s="207">
        <f t="shared" si="107"/>
        <v>-24</v>
      </c>
      <c r="J695" s="178">
        <f>J680</f>
        <v>1.91</v>
      </c>
      <c r="K695" s="167"/>
      <c r="L695" s="207">
        <f>ROUND(J695*$C695*J691,0)</f>
        <v>-27</v>
      </c>
      <c r="N695" s="54"/>
      <c r="O695" s="54"/>
      <c r="P695" s="109"/>
      <c r="Q695" s="109"/>
      <c r="R695" s="109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</row>
    <row r="696" spans="1:37" hidden="1">
      <c r="A696" s="209" t="s">
        <v>169</v>
      </c>
      <c r="B696" s="136"/>
      <c r="C696" s="205">
        <f>4002</f>
        <v>4002</v>
      </c>
      <c r="D696" s="178">
        <v>1.22</v>
      </c>
      <c r="E696" s="262" t="s">
        <v>0</v>
      </c>
      <c r="F696" s="207">
        <f>ROUND(D696*$C696*D691,0)</f>
        <v>-49</v>
      </c>
      <c r="G696" s="178">
        <v>1.39</v>
      </c>
      <c r="H696" s="167"/>
      <c r="I696" s="207">
        <f t="shared" si="107"/>
        <v>-56</v>
      </c>
      <c r="J696" s="178">
        <f>J681</f>
        <v>1.56</v>
      </c>
      <c r="K696" s="167"/>
      <c r="L696" s="207">
        <f>ROUND(J696*$C696*J691,0)</f>
        <v>-62</v>
      </c>
      <c r="N696" s="54"/>
      <c r="O696" s="54"/>
      <c r="P696" s="109"/>
      <c r="Q696" s="109"/>
      <c r="R696" s="109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</row>
    <row r="697" spans="1:37" hidden="1">
      <c r="A697" s="149" t="s">
        <v>171</v>
      </c>
      <c r="B697" s="136"/>
      <c r="C697" s="205">
        <f>41+721+4015</f>
        <v>4777</v>
      </c>
      <c r="D697" s="178">
        <v>3.88</v>
      </c>
      <c r="E697" s="262" t="s">
        <v>0</v>
      </c>
      <c r="F697" s="207">
        <f>ROUND(D697*$C697*D691,0)</f>
        <v>-185</v>
      </c>
      <c r="G697" s="178">
        <v>4.4400000000000004</v>
      </c>
      <c r="H697" s="167"/>
      <c r="I697" s="207">
        <f t="shared" si="107"/>
        <v>-212</v>
      </c>
      <c r="J697" s="178">
        <f>J683</f>
        <v>5.15</v>
      </c>
      <c r="K697" s="167"/>
      <c r="L697" s="207">
        <f>ROUND(J697*$C697*J691,0)</f>
        <v>-246</v>
      </c>
      <c r="N697" s="54"/>
      <c r="O697" s="54"/>
      <c r="P697" s="109"/>
      <c r="Q697" s="109"/>
      <c r="R697" s="109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</row>
    <row r="698" spans="1:37" hidden="1">
      <c r="A698" s="149" t="s">
        <v>187</v>
      </c>
      <c r="B698" s="136"/>
      <c r="C698" s="205">
        <f>-69</f>
        <v>-69</v>
      </c>
      <c r="D698" s="178">
        <v>3.88</v>
      </c>
      <c r="E698" s="262" t="s">
        <v>0</v>
      </c>
      <c r="F698" s="207">
        <f>ROUND(D698*$C698*D691,0)</f>
        <v>3</v>
      </c>
      <c r="G698" s="178">
        <v>4.4400000000000004</v>
      </c>
      <c r="H698" s="167"/>
      <c r="I698" s="207">
        <f t="shared" si="107"/>
        <v>3</v>
      </c>
      <c r="J698" s="178">
        <f>J684</f>
        <v>5.15</v>
      </c>
      <c r="K698" s="167"/>
      <c r="L698" s="207">
        <f>ROUND(J698*$C698*J691,0)</f>
        <v>4</v>
      </c>
      <c r="N698" s="54"/>
      <c r="O698" s="54"/>
      <c r="P698" s="109"/>
      <c r="Q698" s="109"/>
      <c r="R698" s="109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</row>
    <row r="699" spans="1:37" hidden="1">
      <c r="A699" s="209" t="s">
        <v>173</v>
      </c>
      <c r="B699" s="136"/>
      <c r="C699" s="205">
        <f>9333+294400+156000</f>
        <v>459733</v>
      </c>
      <c r="D699" s="188">
        <v>4.6340000000000003</v>
      </c>
      <c r="E699" s="207" t="s">
        <v>99</v>
      </c>
      <c r="F699" s="207">
        <f>ROUND(D699*$C699/100*D691,0)</f>
        <v>-213</v>
      </c>
      <c r="G699" s="188">
        <v>5.2939999999999996</v>
      </c>
      <c r="H699" s="209" t="s">
        <v>99</v>
      </c>
      <c r="I699" s="207">
        <f>ROUND(G699*C699/100*$G$653,0)</f>
        <v>-243</v>
      </c>
      <c r="J699" s="188">
        <f>J686</f>
        <v>2.4660000000000002</v>
      </c>
      <c r="K699" s="209" t="s">
        <v>99</v>
      </c>
      <c r="L699" s="207">
        <f>ROUND(J699*$C699/100*J691,0)</f>
        <v>-113</v>
      </c>
      <c r="N699" s="54"/>
      <c r="O699" s="54"/>
      <c r="P699" s="109"/>
      <c r="Q699" s="109"/>
      <c r="R699" s="109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</row>
    <row r="700" spans="1:37" hidden="1">
      <c r="A700" s="209" t="s">
        <v>140</v>
      </c>
      <c r="B700" s="136"/>
      <c r="C700" s="205">
        <f>12600+297600+1358400-C699</f>
        <v>1208867</v>
      </c>
      <c r="D700" s="188">
        <v>4.2469999999999999</v>
      </c>
      <c r="E700" s="207" t="s">
        <v>99</v>
      </c>
      <c r="F700" s="207">
        <f>ROUND(D700*$C700/100*D691,0)</f>
        <v>-513</v>
      </c>
      <c r="G700" s="188">
        <v>4.8520000000000003</v>
      </c>
      <c r="H700" s="209" t="s">
        <v>99</v>
      </c>
      <c r="I700" s="207">
        <f>ROUND(G700*C700/100*$G$653,0)</f>
        <v>-587</v>
      </c>
      <c r="J700" s="188">
        <f>J687</f>
        <v>2.2569999999999997</v>
      </c>
      <c r="K700" s="209" t="s">
        <v>99</v>
      </c>
      <c r="L700" s="207">
        <f>ROUND(J700*$C700/100*J691,0)</f>
        <v>-273</v>
      </c>
      <c r="N700" s="54"/>
      <c r="O700" s="54"/>
      <c r="P700" s="109"/>
      <c r="Q700" s="109"/>
      <c r="R700" s="109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</row>
    <row r="701" spans="1:37" hidden="1">
      <c r="A701" s="209" t="s">
        <v>141</v>
      </c>
      <c r="B701" s="136"/>
      <c r="C701" s="205">
        <f>28+1042</f>
        <v>1070</v>
      </c>
      <c r="D701" s="260">
        <v>50</v>
      </c>
      <c r="E701" s="207" t="s">
        <v>99</v>
      </c>
      <c r="F701" s="207">
        <f>ROUND(D701*$C701/100*D691,0)</f>
        <v>-5</v>
      </c>
      <c r="G701" s="260">
        <v>56</v>
      </c>
      <c r="H701" s="209" t="s">
        <v>99</v>
      </c>
      <c r="I701" s="207">
        <f>ROUND(G701*C701/100*$G$653,0)</f>
        <v>-6</v>
      </c>
      <c r="J701" s="260">
        <f>J688</f>
        <v>62</v>
      </c>
      <c r="K701" s="209" t="s">
        <v>99</v>
      </c>
      <c r="L701" s="207">
        <f>ROUND(J701*$C701/100*J691,0)</f>
        <v>-7</v>
      </c>
      <c r="N701" s="54"/>
      <c r="O701" s="54"/>
      <c r="P701" s="109"/>
      <c r="Q701" s="109"/>
      <c r="R701" s="109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</row>
    <row r="702" spans="1:37" hidden="1">
      <c r="A702" s="209" t="s">
        <v>190</v>
      </c>
      <c r="B702" s="136"/>
      <c r="C702" s="205">
        <f>9+4</f>
        <v>13</v>
      </c>
      <c r="D702" s="172">
        <v>60</v>
      </c>
      <c r="E702" s="262" t="s">
        <v>0</v>
      </c>
      <c r="F702" s="207">
        <f>ROUND(D702*$C702,0)</f>
        <v>780</v>
      </c>
      <c r="G702" s="172">
        <v>60</v>
      </c>
      <c r="H702" s="136"/>
      <c r="I702" s="207">
        <f>ROUND(G702*C702,0)</f>
        <v>780</v>
      </c>
      <c r="J702" s="172">
        <f>$J$626</f>
        <v>60</v>
      </c>
      <c r="K702" s="136"/>
      <c r="L702" s="207">
        <f>ROUND(J702*$C702,0)</f>
        <v>780</v>
      </c>
      <c r="N702" s="54"/>
      <c r="O702" s="54"/>
      <c r="P702" s="109"/>
      <c r="Q702" s="109"/>
      <c r="R702" s="109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</row>
    <row r="703" spans="1:37" hidden="1">
      <c r="A703" s="209" t="s">
        <v>191</v>
      </c>
      <c r="B703" s="136"/>
      <c r="C703" s="205">
        <f>C695+C696</f>
        <v>5426</v>
      </c>
      <c r="D703" s="226">
        <v>-30</v>
      </c>
      <c r="E703" s="207" t="s">
        <v>99</v>
      </c>
      <c r="F703" s="207">
        <f>ROUND(D703*$C703/100,0)</f>
        <v>-1628</v>
      </c>
      <c r="G703" s="226">
        <v>-30</v>
      </c>
      <c r="H703" s="207" t="s">
        <v>99</v>
      </c>
      <c r="I703" s="207">
        <f>-ROUND(G703*C703*$G$653,0)</f>
        <v>-1628</v>
      </c>
      <c r="J703" s="226">
        <f>$J$627</f>
        <v>-30</v>
      </c>
      <c r="K703" s="207" t="s">
        <v>99</v>
      </c>
      <c r="L703" s="207">
        <f>ROUND(J703*$C703/100,0)</f>
        <v>-1628</v>
      </c>
      <c r="N703" s="54"/>
      <c r="O703" s="54"/>
      <c r="P703" s="109"/>
      <c r="Q703" s="109"/>
      <c r="R703" s="109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</row>
    <row r="704" spans="1:37" hidden="1">
      <c r="A704" s="134" t="s">
        <v>175</v>
      </c>
      <c r="C704" s="125">
        <f>C699</f>
        <v>459733</v>
      </c>
      <c r="D704" s="133"/>
      <c r="E704" s="54"/>
      <c r="F704" s="127"/>
      <c r="G704" s="133"/>
      <c r="H704" s="54"/>
      <c r="I704" s="127"/>
      <c r="J704" s="135">
        <f>J689</f>
        <v>3.4170000000000003</v>
      </c>
      <c r="K704" s="207" t="s">
        <v>99</v>
      </c>
      <c r="L704" s="207">
        <f>ROUND(J704*$C704/100*J691,0)</f>
        <v>-157</v>
      </c>
      <c r="N704" s="128"/>
      <c r="P704" s="93"/>
      <c r="Q704" s="108"/>
      <c r="R704" s="108"/>
      <c r="S704" s="129"/>
      <c r="T704" s="129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K704" s="128"/>
    </row>
    <row r="705" spans="1:37" hidden="1">
      <c r="A705" s="134" t="s">
        <v>176</v>
      </c>
      <c r="C705" s="125">
        <f>C700</f>
        <v>1208867</v>
      </c>
      <c r="D705" s="133"/>
      <c r="E705" s="54"/>
      <c r="F705" s="127"/>
      <c r="G705" s="133"/>
      <c r="H705" s="54"/>
      <c r="I705" s="127"/>
      <c r="J705" s="135">
        <f>J690</f>
        <v>3.1339999999999999</v>
      </c>
      <c r="K705" s="207" t="s">
        <v>99</v>
      </c>
      <c r="L705" s="207">
        <f>ROUND(J705*$C705/100*J691,0)</f>
        <v>-379</v>
      </c>
      <c r="N705" s="128"/>
      <c r="P705" s="93"/>
      <c r="Q705" s="108"/>
      <c r="R705" s="108"/>
      <c r="S705" s="129"/>
      <c r="T705" s="129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K705" s="128"/>
    </row>
    <row r="706" spans="1:37" hidden="1">
      <c r="A706" s="136" t="s">
        <v>122</v>
      </c>
      <c r="B706" s="136"/>
      <c r="C706" s="205">
        <f>SUM(C686:C687)</f>
        <v>109592184</v>
      </c>
      <c r="D706" s="215"/>
      <c r="E706" s="127"/>
      <c r="F706" s="127">
        <f>SUM(F676:F703)</f>
        <v>7174229</v>
      </c>
      <c r="G706" s="215"/>
      <c r="H706" s="136"/>
      <c r="I706" s="127">
        <f>SUM(I676:I703)</f>
        <v>8196036</v>
      </c>
      <c r="J706" s="215"/>
      <c r="K706" s="136"/>
      <c r="L706" s="127">
        <f>SUM(L676:L705)</f>
        <v>9201163</v>
      </c>
      <c r="N706" s="54"/>
      <c r="O706" s="54"/>
      <c r="P706" s="109"/>
      <c r="Q706" s="109"/>
      <c r="R706" s="109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</row>
    <row r="707" spans="1:37" hidden="1">
      <c r="A707" s="136" t="s">
        <v>102</v>
      </c>
      <c r="B707" s="136"/>
      <c r="C707" s="246">
        <v>1503569.2477187554</v>
      </c>
      <c r="D707" s="149"/>
      <c r="E707" s="149"/>
      <c r="F707" s="192" t="e">
        <f>#REF!</f>
        <v>#REF!</v>
      </c>
      <c r="G707" s="149"/>
      <c r="H707" s="149"/>
      <c r="I707" s="192">
        <v>132135.06500870228</v>
      </c>
      <c r="J707" s="149"/>
      <c r="K707" s="149"/>
      <c r="L707" s="192">
        <f>I707</f>
        <v>132135.06500870228</v>
      </c>
      <c r="N707" s="164"/>
      <c r="O707" s="164"/>
      <c r="P707" s="162"/>
      <c r="Q707" s="109"/>
      <c r="R707" s="109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</row>
    <row r="708" spans="1:37" ht="16.5" hidden="1" thickBot="1">
      <c r="A708" s="136" t="s">
        <v>123</v>
      </c>
      <c r="B708" s="136"/>
      <c r="C708" s="263">
        <f>SUM(C706)+C707</f>
        <v>111095753.24771875</v>
      </c>
      <c r="D708" s="231"/>
      <c r="E708" s="232"/>
      <c r="F708" s="233" t="e">
        <f>F706+F707</f>
        <v>#REF!</v>
      </c>
      <c r="G708" s="231"/>
      <c r="H708" s="235"/>
      <c r="I708" s="233">
        <f>I706+I707</f>
        <v>8328171.0650087027</v>
      </c>
      <c r="J708" s="231"/>
      <c r="K708" s="235"/>
      <c r="L708" s="233">
        <f>L706+L707</f>
        <v>9333298.0650087018</v>
      </c>
      <c r="N708" s="165"/>
      <c r="O708" s="165"/>
      <c r="P708" s="166"/>
      <c r="Q708" s="109"/>
      <c r="R708" s="109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</row>
    <row r="709" spans="1:37" hidden="1">
      <c r="A709" s="177"/>
      <c r="B709" s="280"/>
      <c r="C709" s="177"/>
      <c r="D709" s="168"/>
      <c r="E709" s="168"/>
      <c r="F709" s="281"/>
      <c r="G709" s="136"/>
      <c r="H709" s="177"/>
      <c r="I709" s="281"/>
      <c r="J709" s="177"/>
      <c r="K709" s="177"/>
      <c r="L709" s="177"/>
      <c r="N709" s="54"/>
      <c r="O709" s="54"/>
      <c r="P709" s="109"/>
      <c r="Q709" s="109"/>
      <c r="R709" s="109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</row>
    <row r="710" spans="1:37">
      <c r="A710" s="340" t="s">
        <v>194</v>
      </c>
      <c r="B710" s="136"/>
      <c r="C710" s="168"/>
      <c r="D710" s="225"/>
      <c r="E710" s="127"/>
      <c r="F710" s="127"/>
      <c r="G710" s="225"/>
      <c r="H710" s="136"/>
      <c r="I710" s="127"/>
      <c r="J710" s="225"/>
      <c r="K710" s="136"/>
      <c r="L710" s="127"/>
      <c r="N710" s="54"/>
      <c r="O710" s="54"/>
      <c r="P710" s="109"/>
      <c r="Q710" s="109"/>
      <c r="R710" s="109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</row>
    <row r="711" spans="1:37">
      <c r="A711" s="149" t="s">
        <v>195</v>
      </c>
      <c r="B711" s="136"/>
      <c r="C711" s="168"/>
      <c r="D711" s="225"/>
      <c r="E711" s="127"/>
      <c r="F711" s="127"/>
      <c r="G711" s="225"/>
      <c r="H711" s="136"/>
      <c r="I711" s="127"/>
      <c r="J711" s="225"/>
      <c r="K711" s="136"/>
      <c r="L711" s="127"/>
      <c r="N711" s="54"/>
      <c r="O711" s="54"/>
      <c r="P711" s="109"/>
      <c r="Q711" s="109"/>
      <c r="R711" s="109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</row>
    <row r="712" spans="1:37">
      <c r="A712" s="209"/>
      <c r="B712" s="136"/>
      <c r="C712" s="168"/>
      <c r="D712" s="225"/>
      <c r="E712" s="127"/>
      <c r="F712" s="282"/>
      <c r="G712" s="225"/>
      <c r="H712" s="136"/>
      <c r="I712" s="282"/>
      <c r="J712" s="225"/>
      <c r="K712" s="136"/>
      <c r="L712" s="283"/>
      <c r="N712" s="54"/>
      <c r="O712" s="54"/>
      <c r="P712" s="109"/>
      <c r="Q712" s="109"/>
      <c r="R712" s="109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</row>
    <row r="713" spans="1:37">
      <c r="A713" s="149" t="s">
        <v>196</v>
      </c>
      <c r="B713" s="136"/>
      <c r="C713" s="205"/>
      <c r="D713" s="127" t="s">
        <v>0</v>
      </c>
      <c r="E713" s="127"/>
      <c r="F713" s="136"/>
      <c r="G713" s="127" t="s">
        <v>0</v>
      </c>
      <c r="H713" s="136"/>
      <c r="I713" s="136"/>
      <c r="J713" s="127" t="s">
        <v>0</v>
      </c>
      <c r="K713" s="136"/>
      <c r="L713" s="136"/>
      <c r="N713" s="54"/>
      <c r="O713" s="54"/>
      <c r="P713" s="109"/>
      <c r="Q713" s="54"/>
      <c r="R713" s="54"/>
      <c r="S713" s="54"/>
      <c r="T713" s="54"/>
      <c r="U713" s="54"/>
      <c r="V713" s="54"/>
      <c r="W713" s="54"/>
      <c r="X713" s="54"/>
      <c r="Y713" s="54"/>
      <c r="AC713" s="54"/>
      <c r="AD713" s="54"/>
      <c r="AE713" s="54"/>
      <c r="AF713" s="54"/>
      <c r="AG713" s="54"/>
      <c r="AH713" s="54"/>
      <c r="AI713" s="54"/>
    </row>
    <row r="714" spans="1:37">
      <c r="A714" s="149" t="s">
        <v>197</v>
      </c>
      <c r="B714" s="136"/>
      <c r="C714" s="205">
        <f>C768+C821</f>
        <v>1049</v>
      </c>
      <c r="D714" s="225">
        <v>0</v>
      </c>
      <c r="E714" s="210"/>
      <c r="F714" s="207">
        <f>F768+F821</f>
        <v>0</v>
      </c>
      <c r="G714" s="225">
        <v>0</v>
      </c>
      <c r="H714" s="210"/>
      <c r="I714" s="207">
        <f>I768+I821</f>
        <v>0</v>
      </c>
      <c r="J714" s="225">
        <f>D714</f>
        <v>0</v>
      </c>
      <c r="K714" s="210"/>
      <c r="L714" s="207">
        <f>L768+L821</f>
        <v>0</v>
      </c>
      <c r="N714" s="128" t="e">
        <f>J714*#REF!</f>
        <v>#REF!</v>
      </c>
      <c r="Q714" s="64"/>
      <c r="R714" s="64"/>
      <c r="AD714" s="54"/>
      <c r="AE714" s="54"/>
      <c r="AF714" s="54"/>
      <c r="AG714" s="54"/>
      <c r="AH714" s="54"/>
      <c r="AI714" s="54"/>
    </row>
    <row r="715" spans="1:37">
      <c r="A715" s="149" t="s">
        <v>198</v>
      </c>
      <c r="B715" s="136"/>
      <c r="C715" s="205"/>
      <c r="D715" s="225"/>
      <c r="E715" s="210"/>
      <c r="F715" s="207"/>
      <c r="G715" s="225"/>
      <c r="H715" s="210"/>
      <c r="I715" s="207"/>
      <c r="J715" s="225"/>
      <c r="K715" s="210"/>
      <c r="L715" s="207"/>
      <c r="T715" s="128"/>
      <c r="U715" s="284"/>
      <c r="V715" s="128"/>
      <c r="W715" s="284"/>
      <c r="X715" s="128"/>
      <c r="Y715" s="128"/>
      <c r="Z715" s="96"/>
      <c r="AD715" s="54"/>
      <c r="AE715" s="54"/>
      <c r="AF715" s="54"/>
      <c r="AG715" s="54"/>
      <c r="AH715" s="54"/>
      <c r="AI715" s="54"/>
    </row>
    <row r="716" spans="1:37">
      <c r="A716" s="149" t="s">
        <v>199</v>
      </c>
      <c r="B716" s="136"/>
      <c r="C716" s="205">
        <f t="shared" ref="C716:C721" si="108">C770+C823</f>
        <v>3806</v>
      </c>
      <c r="D716" s="225">
        <v>0</v>
      </c>
      <c r="E716" s="210"/>
      <c r="F716" s="207">
        <f>F770+F823</f>
        <v>0</v>
      </c>
      <c r="G716" s="225">
        <v>0</v>
      </c>
      <c r="H716" s="210"/>
      <c r="I716" s="207">
        <f>I770+I823</f>
        <v>0</v>
      </c>
      <c r="J716" s="225">
        <v>0</v>
      </c>
      <c r="K716" s="210"/>
      <c r="L716" s="207">
        <f>L770+L823</f>
        <v>0</v>
      </c>
      <c r="N716" s="128" t="e">
        <f>J716*#REF!</f>
        <v>#REF!</v>
      </c>
      <c r="O716" s="203"/>
      <c r="Q716" s="140" t="s">
        <v>111</v>
      </c>
      <c r="R716" s="140"/>
      <c r="T716" s="128"/>
      <c r="U716" s="284"/>
      <c r="V716" s="128"/>
      <c r="W716" s="284"/>
      <c r="X716" s="128"/>
      <c r="Y716" s="128"/>
      <c r="Z716" s="96"/>
      <c r="AD716" s="54"/>
      <c r="AE716" s="54"/>
      <c r="AF716" s="54"/>
      <c r="AG716" s="54"/>
      <c r="AH716" s="54"/>
      <c r="AI716" s="54"/>
    </row>
    <row r="717" spans="1:37">
      <c r="A717" s="149" t="s">
        <v>200</v>
      </c>
      <c r="B717" s="136"/>
      <c r="C717" s="205">
        <f t="shared" si="108"/>
        <v>405</v>
      </c>
      <c r="D717" s="225">
        <v>312</v>
      </c>
      <c r="E717" s="210"/>
      <c r="F717" s="207">
        <f>F771+F824</f>
        <v>126360</v>
      </c>
      <c r="G717" s="225">
        <v>357</v>
      </c>
      <c r="H717" s="210"/>
      <c r="I717" s="207">
        <f>I771+I824</f>
        <v>144585</v>
      </c>
      <c r="J717" s="225">
        <f>ROUND(G717+(G717*$Q$762),0)</f>
        <v>395</v>
      </c>
      <c r="K717" s="210"/>
      <c r="L717" s="207">
        <f>L771+L824</f>
        <v>159975</v>
      </c>
      <c r="N717" s="128" t="e">
        <f>J717*#REF!</f>
        <v>#REF!</v>
      </c>
      <c r="O717" s="113"/>
      <c r="Q717" s="64">
        <f>(J717-G717)/G717</f>
        <v>0.10644257703081232</v>
      </c>
      <c r="R717" s="64"/>
      <c r="S717" s="214"/>
      <c r="T717" s="128"/>
      <c r="U717" s="206"/>
      <c r="V717" s="128"/>
      <c r="W717" s="206"/>
      <c r="X717" s="128"/>
      <c r="Y717" s="128"/>
      <c r="Z717" s="285"/>
      <c r="AD717" s="54"/>
      <c r="AE717" s="54"/>
      <c r="AF717" s="54"/>
      <c r="AG717" s="54"/>
      <c r="AH717" s="54"/>
      <c r="AI717" s="54"/>
    </row>
    <row r="718" spans="1:37">
      <c r="A718" s="149" t="s">
        <v>201</v>
      </c>
      <c r="B718" s="136"/>
      <c r="C718" s="205">
        <f t="shared" si="108"/>
        <v>0</v>
      </c>
      <c r="D718" s="225">
        <v>1268</v>
      </c>
      <c r="E718" s="210"/>
      <c r="F718" s="207">
        <f>F772+F825</f>
        <v>0</v>
      </c>
      <c r="G718" s="225">
        <v>1457</v>
      </c>
      <c r="H718" s="210"/>
      <c r="I718" s="207">
        <f>I772+I825</f>
        <v>0</v>
      </c>
      <c r="J718" s="225">
        <f>ROUND(G718+(G718*$Q$762),0)</f>
        <v>1611</v>
      </c>
      <c r="K718" s="210"/>
      <c r="L718" s="207">
        <f>L772+L825</f>
        <v>0</v>
      </c>
      <c r="N718" s="128" t="e">
        <f>J718*#REF!</f>
        <v>#REF!</v>
      </c>
      <c r="O718" s="113"/>
      <c r="Q718" s="64">
        <f>(J718-G718)/G718</f>
        <v>0.10569663692518874</v>
      </c>
      <c r="R718" s="64"/>
      <c r="T718" s="128"/>
      <c r="U718" s="128"/>
      <c r="Z718" s="54"/>
      <c r="AC718" s="54"/>
      <c r="AD718" s="54"/>
      <c r="AE718" s="54"/>
      <c r="AF718" s="54"/>
      <c r="AG718" s="54"/>
      <c r="AH718" s="54"/>
      <c r="AI718" s="54"/>
    </row>
    <row r="719" spans="1:37">
      <c r="A719" s="149" t="s">
        <v>100</v>
      </c>
      <c r="B719" s="136"/>
      <c r="C719" s="205">
        <f t="shared" si="108"/>
        <v>5260</v>
      </c>
      <c r="D719" s="225"/>
      <c r="E719" s="210"/>
      <c r="F719" s="207"/>
      <c r="G719" s="225"/>
      <c r="H719" s="210"/>
      <c r="I719" s="207"/>
      <c r="J719" s="225"/>
      <c r="K719" s="210"/>
      <c r="L719" s="207"/>
      <c r="N719" s="113"/>
      <c r="O719" s="113"/>
      <c r="Q719" s="206"/>
      <c r="R719" s="206"/>
      <c r="S719" s="113"/>
      <c r="Z719" s="214"/>
      <c r="AA719" s="214"/>
      <c r="AB719" s="54"/>
      <c r="AC719" s="54"/>
      <c r="AD719" s="54"/>
      <c r="AE719" s="54"/>
      <c r="AF719" s="54"/>
      <c r="AG719" s="54"/>
      <c r="AH719" s="54"/>
      <c r="AI719" s="54"/>
    </row>
    <row r="720" spans="1:37">
      <c r="A720" s="149" t="s">
        <v>202</v>
      </c>
      <c r="B720" s="136"/>
      <c r="C720" s="205">
        <f t="shared" si="108"/>
        <v>39861</v>
      </c>
      <c r="D720" s="225"/>
      <c r="E720" s="210"/>
      <c r="F720" s="207"/>
      <c r="G720" s="225"/>
      <c r="H720" s="210"/>
      <c r="I720" s="207"/>
      <c r="J720" s="225"/>
      <c r="K720" s="210"/>
      <c r="L720" s="207"/>
      <c r="N720" s="113"/>
      <c r="O720" s="113"/>
      <c r="S720" s="113"/>
      <c r="AB720" s="54"/>
      <c r="AC720" s="54"/>
      <c r="AD720" s="54"/>
      <c r="AE720" s="54"/>
      <c r="AF720" s="54"/>
      <c r="AG720" s="54"/>
      <c r="AH720" s="54"/>
      <c r="AI720" s="54"/>
    </row>
    <row r="721" spans="1:37">
      <c r="A721" s="149" t="s">
        <v>203</v>
      </c>
      <c r="B721" s="136"/>
      <c r="C721" s="205">
        <f t="shared" si="108"/>
        <v>5907</v>
      </c>
      <c r="D721" s="225"/>
      <c r="E721" s="207"/>
      <c r="F721" s="207"/>
      <c r="G721" s="225"/>
      <c r="H721" s="207"/>
      <c r="I721" s="207"/>
      <c r="J721" s="225"/>
      <c r="K721" s="207"/>
      <c r="L721" s="286" t="s">
        <v>0</v>
      </c>
      <c r="N721" s="113"/>
      <c r="O721" s="113"/>
      <c r="Q721" s="206"/>
      <c r="R721" s="206"/>
      <c r="S721" s="227"/>
      <c r="AB721" s="54"/>
      <c r="AC721" s="54"/>
      <c r="AD721" s="54"/>
      <c r="AE721" s="54"/>
      <c r="AF721" s="54"/>
      <c r="AG721" s="54"/>
      <c r="AH721" s="54"/>
      <c r="AI721" s="54"/>
    </row>
    <row r="722" spans="1:37">
      <c r="A722" s="149" t="s">
        <v>204</v>
      </c>
      <c r="B722" s="136"/>
      <c r="C722" s="205"/>
      <c r="D722" s="225"/>
      <c r="E722" s="210"/>
      <c r="F722" s="207"/>
      <c r="G722" s="225"/>
      <c r="H722" s="210"/>
      <c r="I722" s="207"/>
      <c r="J722" s="225"/>
      <c r="K722" s="210"/>
      <c r="L722" s="207"/>
      <c r="N722" s="113"/>
      <c r="O722" s="113"/>
      <c r="Q722" s="206"/>
      <c r="R722" s="206"/>
      <c r="S722" s="113"/>
      <c r="AB722" s="54"/>
      <c r="AC722" s="54"/>
      <c r="AD722" s="54"/>
      <c r="AE722" s="54"/>
      <c r="AF722" s="54"/>
      <c r="AG722" s="54"/>
      <c r="AH722" s="54"/>
      <c r="AI722" s="54"/>
    </row>
    <row r="723" spans="1:37">
      <c r="A723" s="149" t="s">
        <v>205</v>
      </c>
      <c r="B723" s="136"/>
      <c r="C723" s="205">
        <f>C777+C830</f>
        <v>2990</v>
      </c>
      <c r="D723" s="225">
        <v>20.86</v>
      </c>
      <c r="E723" s="210"/>
      <c r="F723" s="207">
        <f>F777+F830</f>
        <v>62371</v>
      </c>
      <c r="G723" s="225">
        <v>23.87</v>
      </c>
      <c r="H723" s="210"/>
      <c r="I723" s="207">
        <f>I777+I830</f>
        <v>71371</v>
      </c>
      <c r="J723" s="225">
        <f>ROUND(G723+(G723*$Q$762),2)</f>
        <v>26.39</v>
      </c>
      <c r="K723" s="210"/>
      <c r="L723" s="207">
        <f>L777+L830</f>
        <v>78906</v>
      </c>
      <c r="N723" s="128" t="e">
        <f>J723*#REF!</f>
        <v>#REF!</v>
      </c>
      <c r="O723" s="287"/>
      <c r="Q723" s="64">
        <f>(J723-G723)/G723</f>
        <v>0.10557184750733135</v>
      </c>
      <c r="R723" s="64"/>
      <c r="S723" s="113"/>
      <c r="AD723" s="54"/>
      <c r="AE723" s="54"/>
      <c r="AF723" s="54"/>
      <c r="AG723" s="54"/>
      <c r="AH723" s="54"/>
      <c r="AI723" s="54"/>
    </row>
    <row r="724" spans="1:37">
      <c r="A724" s="149" t="s">
        <v>206</v>
      </c>
      <c r="B724" s="136"/>
      <c r="C724" s="205"/>
      <c r="D724" s="225"/>
      <c r="E724" s="210"/>
      <c r="F724" s="207"/>
      <c r="G724" s="225"/>
      <c r="H724" s="210"/>
      <c r="I724" s="207"/>
      <c r="J724" s="225"/>
      <c r="K724" s="210"/>
      <c r="L724" s="207"/>
      <c r="N724" s="287"/>
      <c r="O724" s="287"/>
      <c r="Q724" s="206"/>
      <c r="R724" s="206"/>
      <c r="S724" s="113"/>
      <c r="AD724" s="54"/>
      <c r="AE724" s="54"/>
      <c r="AF724" s="54"/>
      <c r="AG724" s="54"/>
      <c r="AH724" s="54"/>
      <c r="AI724" s="54"/>
    </row>
    <row r="725" spans="1:37">
      <c r="A725" s="149" t="s">
        <v>199</v>
      </c>
      <c r="B725" s="136"/>
      <c r="C725" s="205">
        <f>C779+C832</f>
        <v>50496</v>
      </c>
      <c r="D725" s="225">
        <v>20.860000000000003</v>
      </c>
      <c r="E725" s="210"/>
      <c r="F725" s="207">
        <f>F779+F832</f>
        <v>1053346</v>
      </c>
      <c r="G725" s="225">
        <v>23.79</v>
      </c>
      <c r="H725" s="210"/>
      <c r="I725" s="207">
        <f>I779+I832</f>
        <v>1201300</v>
      </c>
      <c r="J725" s="225">
        <f>ROUND(G725+(G725*$Q$762),2)</f>
        <v>26.3</v>
      </c>
      <c r="K725" s="210"/>
      <c r="L725" s="207">
        <f>L779+L832</f>
        <v>1328044</v>
      </c>
      <c r="N725" s="128" t="e">
        <f>J725*#REF!</f>
        <v>#REF!</v>
      </c>
      <c r="O725" s="287"/>
      <c r="Q725" s="64">
        <f>(J725-G725)/G725</f>
        <v>0.10550651534258099</v>
      </c>
      <c r="R725" s="64"/>
      <c r="S725" s="113"/>
      <c r="AD725" s="54"/>
      <c r="AE725" s="54"/>
      <c r="AF725" s="54"/>
      <c r="AG725" s="54"/>
      <c r="AH725" s="54"/>
      <c r="AI725" s="54"/>
    </row>
    <row r="726" spans="1:37">
      <c r="A726" s="149" t="s">
        <v>200</v>
      </c>
      <c r="B726" s="136"/>
      <c r="C726" s="205">
        <f>C780+C833</f>
        <v>38906</v>
      </c>
      <c r="D726" s="225">
        <v>14.53</v>
      </c>
      <c r="E726" s="210"/>
      <c r="F726" s="207">
        <f>F780+F833</f>
        <v>565305</v>
      </c>
      <c r="G726" s="225">
        <v>16.559999999999999</v>
      </c>
      <c r="H726" s="210"/>
      <c r="I726" s="207">
        <f>I780+I833</f>
        <v>644284</v>
      </c>
      <c r="J726" s="225">
        <f>ROUND(G726+(G726*$Q$762),2)</f>
        <v>18.309999999999999</v>
      </c>
      <c r="K726" s="210"/>
      <c r="L726" s="207">
        <f>L780+L833</f>
        <v>712369</v>
      </c>
      <c r="N726" s="128" t="e">
        <f>J726*#REF!</f>
        <v>#REF!</v>
      </c>
      <c r="O726" s="287"/>
      <c r="Q726" s="64">
        <f>(J726-G726)/G726</f>
        <v>0.10567632850241547</v>
      </c>
      <c r="R726" s="64"/>
      <c r="S726" s="113"/>
      <c r="V726" s="128"/>
      <c r="W726" s="128"/>
      <c r="X726" s="128"/>
      <c r="Y726" s="128"/>
      <c r="Z726" s="128"/>
      <c r="AA726" s="96"/>
      <c r="AB726" s="54" t="s">
        <v>0</v>
      </c>
      <c r="AC726" s="54"/>
      <c r="AD726" s="54"/>
      <c r="AE726" s="54"/>
      <c r="AF726" s="54"/>
      <c r="AG726" s="54"/>
      <c r="AH726" s="54"/>
      <c r="AI726" s="54"/>
    </row>
    <row r="727" spans="1:37">
      <c r="A727" s="149" t="s">
        <v>201</v>
      </c>
      <c r="B727" s="136" t="s">
        <v>0</v>
      </c>
      <c r="C727" s="205">
        <f>C781+C834</f>
        <v>0</v>
      </c>
      <c r="D727" s="225">
        <v>11.340000000000002</v>
      </c>
      <c r="E727" s="210"/>
      <c r="F727" s="207">
        <f>F781+F834</f>
        <v>0</v>
      </c>
      <c r="G727" s="225">
        <v>12.96</v>
      </c>
      <c r="H727" s="210"/>
      <c r="I727" s="207">
        <f>I781+I834</f>
        <v>0</v>
      </c>
      <c r="J727" s="225">
        <f>ROUND(G727+(G727*$Q$762),2)</f>
        <v>14.33</v>
      </c>
      <c r="K727" s="210"/>
      <c r="L727" s="207">
        <f>L781+L834</f>
        <v>0</v>
      </c>
      <c r="N727" s="128" t="e">
        <f>J727*#REF!</f>
        <v>#REF!</v>
      </c>
      <c r="O727" s="287"/>
      <c r="Q727" s="64">
        <f>(J727-G727)/G727</f>
        <v>0.1057098765432098</v>
      </c>
      <c r="R727" s="64"/>
      <c r="S727" s="113"/>
      <c r="AB727" s="54" t="s">
        <v>0</v>
      </c>
      <c r="AC727" s="54"/>
      <c r="AD727" s="54"/>
      <c r="AE727" s="54"/>
      <c r="AF727" s="54"/>
      <c r="AG727" s="54"/>
      <c r="AH727" s="54"/>
      <c r="AI727" s="54"/>
    </row>
    <row r="728" spans="1:37">
      <c r="A728" s="149" t="s">
        <v>207</v>
      </c>
      <c r="B728" s="136"/>
      <c r="C728" s="205">
        <f>C782+C835</f>
        <v>608</v>
      </c>
      <c r="D728" s="225">
        <v>62.58</v>
      </c>
      <c r="E728" s="210"/>
      <c r="F728" s="207">
        <f>F782+F835</f>
        <v>38049</v>
      </c>
      <c r="G728" s="225">
        <v>71.61</v>
      </c>
      <c r="H728" s="210"/>
      <c r="I728" s="207">
        <f>I782+I835</f>
        <v>43539</v>
      </c>
      <c r="J728" s="225">
        <f>3*J723</f>
        <v>79.17</v>
      </c>
      <c r="K728" s="210"/>
      <c r="L728" s="207">
        <f>L782+L835</f>
        <v>48135</v>
      </c>
      <c r="N728" s="128" t="e">
        <f>J728*#REF!</f>
        <v>#REF!</v>
      </c>
      <c r="O728" s="113"/>
      <c r="Q728" s="64">
        <f>(J728-G728)/G728</f>
        <v>0.10557184750733141</v>
      </c>
      <c r="R728" s="64"/>
      <c r="S728" s="113"/>
      <c r="AB728" s="54"/>
      <c r="AC728" s="54"/>
      <c r="AD728" s="54"/>
      <c r="AE728" s="54"/>
      <c r="AF728" s="54"/>
      <c r="AG728" s="54"/>
      <c r="AH728" s="54"/>
      <c r="AI728" s="54"/>
    </row>
    <row r="729" spans="1:37">
      <c r="A729" s="149" t="s">
        <v>208</v>
      </c>
      <c r="B729" s="136"/>
      <c r="C729" s="205">
        <f>C783+C836</f>
        <v>1116</v>
      </c>
      <c r="D729" s="225">
        <v>125.16000000000003</v>
      </c>
      <c r="E729" s="210"/>
      <c r="F729" s="207">
        <f>F783+F836</f>
        <v>139679</v>
      </c>
      <c r="G729" s="225">
        <v>142.74</v>
      </c>
      <c r="H729" s="210"/>
      <c r="I729" s="207">
        <f>I783+I836</f>
        <v>159298</v>
      </c>
      <c r="J729" s="225">
        <f>6*J725</f>
        <v>157.80000000000001</v>
      </c>
      <c r="K729" s="210"/>
      <c r="L729" s="207">
        <f>L783+L836</f>
        <v>176105</v>
      </c>
      <c r="N729" s="128" t="e">
        <f>J729*#REF!</f>
        <v>#REF!</v>
      </c>
      <c r="O729" s="113"/>
      <c r="Q729" s="64">
        <f>(J729-G729)/G729</f>
        <v>0.10550651534258093</v>
      </c>
      <c r="R729" s="64"/>
      <c r="S729" s="113"/>
      <c r="AB729" s="54"/>
      <c r="AC729" s="54"/>
      <c r="AD729" s="54"/>
      <c r="AE729" s="54"/>
      <c r="AF729" s="54"/>
      <c r="AG729" s="54"/>
      <c r="AH729" s="54"/>
      <c r="AI729" s="54"/>
    </row>
    <row r="730" spans="1:37">
      <c r="A730" s="149" t="s">
        <v>209</v>
      </c>
      <c r="B730" s="136"/>
      <c r="C730" s="205"/>
      <c r="D730" s="225"/>
      <c r="E730" s="210"/>
      <c r="F730" s="207"/>
      <c r="G730" s="225"/>
      <c r="H730" s="210"/>
      <c r="I730" s="207"/>
      <c r="J730" s="225"/>
      <c r="K730" s="210"/>
      <c r="L730" s="207"/>
      <c r="N730" s="113"/>
      <c r="O730" s="113"/>
      <c r="Q730" s="108"/>
      <c r="R730" s="108"/>
      <c r="S730" s="113"/>
      <c r="AB730" s="54"/>
      <c r="AC730" s="54"/>
      <c r="AD730" s="54"/>
      <c r="AE730" s="54"/>
      <c r="AF730" s="54"/>
      <c r="AG730" s="54"/>
      <c r="AH730" s="54"/>
      <c r="AI730" s="54"/>
    </row>
    <row r="731" spans="1:37">
      <c r="A731" s="149" t="s">
        <v>205</v>
      </c>
      <c r="B731" s="136"/>
      <c r="C731" s="205">
        <f t="shared" ref="C731:C736" si="109">C785+C838</f>
        <v>50</v>
      </c>
      <c r="D731" s="251">
        <v>-20.86</v>
      </c>
      <c r="E731" s="210"/>
      <c r="F731" s="207">
        <f>F785+F838</f>
        <v>-1043</v>
      </c>
      <c r="G731" s="251">
        <v>-23.87</v>
      </c>
      <c r="H731" s="210"/>
      <c r="I731" s="207">
        <f>I785+I838</f>
        <v>-1194</v>
      </c>
      <c r="J731" s="251">
        <f>-J723</f>
        <v>-26.39</v>
      </c>
      <c r="K731" s="210"/>
      <c r="L731" s="207">
        <f>L785+L838</f>
        <v>-1320</v>
      </c>
      <c r="N731" s="128" t="e">
        <f>J731*#REF!</f>
        <v>#REF!</v>
      </c>
      <c r="O731" s="113"/>
      <c r="Q731" s="108"/>
      <c r="R731" s="108"/>
      <c r="S731" s="113"/>
      <c r="AB731" s="54"/>
      <c r="AC731" s="54"/>
      <c r="AD731" s="54"/>
      <c r="AE731" s="54"/>
      <c r="AF731" s="54"/>
      <c r="AG731" s="54"/>
      <c r="AH731" s="54"/>
      <c r="AI731" s="54"/>
    </row>
    <row r="732" spans="1:37">
      <c r="A732" s="149" t="s">
        <v>210</v>
      </c>
      <c r="B732" s="136"/>
      <c r="C732" s="205">
        <f t="shared" si="109"/>
        <v>574</v>
      </c>
      <c r="D732" s="251">
        <v>-20.860000000000003</v>
      </c>
      <c r="E732" s="210"/>
      <c r="F732" s="207">
        <f>F786+F839</f>
        <v>-11973</v>
      </c>
      <c r="G732" s="251">
        <v>-23.79</v>
      </c>
      <c r="H732" s="210"/>
      <c r="I732" s="207">
        <f>I786+I839</f>
        <v>-13655</v>
      </c>
      <c r="J732" s="251">
        <f>-J725</f>
        <v>-26.3</v>
      </c>
      <c r="K732" s="210"/>
      <c r="L732" s="207">
        <f>L786+L839</f>
        <v>-15096</v>
      </c>
      <c r="N732" s="128" t="e">
        <f>J732*#REF!</f>
        <v>#REF!</v>
      </c>
      <c r="O732" s="113"/>
      <c r="Q732" s="108"/>
      <c r="R732" s="108"/>
      <c r="S732" s="113"/>
      <c r="AB732" s="54"/>
      <c r="AC732" s="54"/>
      <c r="AD732" s="54"/>
      <c r="AE732" s="54"/>
      <c r="AF732" s="54"/>
      <c r="AG732" s="54"/>
      <c r="AH732" s="54"/>
      <c r="AI732" s="54"/>
    </row>
    <row r="733" spans="1:37">
      <c r="A733" s="209" t="s">
        <v>172</v>
      </c>
      <c r="B733" s="136"/>
      <c r="C733" s="205">
        <f t="shared" si="109"/>
        <v>145798478.36433661</v>
      </c>
      <c r="D733" s="225"/>
      <c r="E733" s="207"/>
      <c r="F733" s="207"/>
      <c r="G733" s="225"/>
      <c r="H733" s="207"/>
      <c r="I733" s="207"/>
      <c r="J733" s="225"/>
      <c r="K733" s="207"/>
      <c r="L733" s="207"/>
      <c r="N733" s="113"/>
      <c r="O733" s="113"/>
      <c r="Q733" s="108"/>
      <c r="R733" s="108"/>
      <c r="S733" s="113"/>
      <c r="T733" s="108" t="s">
        <v>0</v>
      </c>
      <c r="AB733" s="54"/>
      <c r="AC733" s="54"/>
      <c r="AD733" s="54"/>
      <c r="AE733" s="54"/>
      <c r="AF733" s="54"/>
      <c r="AG733" s="54"/>
      <c r="AH733" s="54"/>
      <c r="AI733" s="54"/>
    </row>
    <row r="734" spans="1:37">
      <c r="A734" s="149" t="s">
        <v>211</v>
      </c>
      <c r="B734" s="136"/>
      <c r="C734" s="205">
        <f t="shared" si="109"/>
        <v>151200065.36433661</v>
      </c>
      <c r="D734" s="288">
        <v>5.6469999999999994</v>
      </c>
      <c r="E734" s="207" t="s">
        <v>99</v>
      </c>
      <c r="F734" s="207">
        <f>F788+F841</f>
        <v>8538268</v>
      </c>
      <c r="G734" s="288">
        <v>6.4390000000000001</v>
      </c>
      <c r="H734" s="207" t="s">
        <v>99</v>
      </c>
      <c r="I734" s="207">
        <f>I788+I841</f>
        <v>9735772</v>
      </c>
      <c r="J734" s="288">
        <f>ROUND(G734-J736+(G734*$Q$762),3)</f>
        <v>4.0259999999999998</v>
      </c>
      <c r="K734" s="207" t="s">
        <v>99</v>
      </c>
      <c r="L734" s="207">
        <f>L788+L841</f>
        <v>6087315</v>
      </c>
      <c r="N734" s="128" t="e">
        <f>(J734/100)*#REF!</f>
        <v>#REF!</v>
      </c>
      <c r="O734" s="289"/>
      <c r="Q734" s="64">
        <f>(J734+J736-G734)/G734</f>
        <v>0.10576176424910687</v>
      </c>
      <c r="R734" s="64"/>
      <c r="S734" s="113"/>
      <c r="AB734" s="54"/>
      <c r="AC734" s="54"/>
      <c r="AD734" s="54"/>
      <c r="AE734" s="54"/>
      <c r="AF734" s="54"/>
      <c r="AG734" s="54"/>
      <c r="AH734" s="54"/>
      <c r="AI734" s="54"/>
    </row>
    <row r="735" spans="1:37">
      <c r="A735" s="209" t="s">
        <v>141</v>
      </c>
      <c r="B735" s="136"/>
      <c r="C735" s="205">
        <f t="shared" si="109"/>
        <v>46531</v>
      </c>
      <c r="D735" s="290">
        <v>50</v>
      </c>
      <c r="E735" s="209" t="s">
        <v>99</v>
      </c>
      <c r="F735" s="207">
        <f>F789+F842</f>
        <v>23266</v>
      </c>
      <c r="G735" s="290">
        <v>56</v>
      </c>
      <c r="H735" s="209" t="s">
        <v>99</v>
      </c>
      <c r="I735" s="207">
        <f>I789+I842</f>
        <v>26057</v>
      </c>
      <c r="J735" s="290">
        <f>ROUND(G735+(G735*$Q$762),0)</f>
        <v>62</v>
      </c>
      <c r="K735" s="209" t="s">
        <v>99</v>
      </c>
      <c r="L735" s="207">
        <f>L789+L842</f>
        <v>28849</v>
      </c>
      <c r="N735" s="128" t="e">
        <f>(J735/100)*#REF!</f>
        <v>#REF!</v>
      </c>
      <c r="Q735" s="64">
        <f>(J735-G735)/G735</f>
        <v>0.10714285714285714</v>
      </c>
      <c r="R735" s="64"/>
      <c r="S735" s="113"/>
      <c r="AB735" s="54"/>
      <c r="AC735" s="54"/>
      <c r="AD735" s="54"/>
      <c r="AE735" s="54"/>
      <c r="AF735" s="54"/>
      <c r="AG735" s="54"/>
      <c r="AH735" s="54"/>
      <c r="AI735" s="54"/>
    </row>
    <row r="736" spans="1:37">
      <c r="A736" s="134" t="s">
        <v>212</v>
      </c>
      <c r="C736" s="205">
        <f t="shared" si="109"/>
        <v>151200065.36433661</v>
      </c>
      <c r="D736" s="133"/>
      <c r="E736" s="54"/>
      <c r="F736" s="127"/>
      <c r="G736" s="133"/>
      <c r="H736" s="54"/>
      <c r="I736" s="127"/>
      <c r="J736" s="135">
        <f>ROUND(O736/C736*100,3)</f>
        <v>3.0939999999999999</v>
      </c>
      <c r="K736" s="209" t="s">
        <v>99</v>
      </c>
      <c r="L736" s="207">
        <f>L790+L843</f>
        <v>4678130</v>
      </c>
      <c r="N736" s="128"/>
      <c r="O736" s="128">
        <v>4678251.4035535157</v>
      </c>
      <c r="P736" s="93" t="s">
        <v>18</v>
      </c>
      <c r="Q736" s="108"/>
      <c r="R736" s="108"/>
      <c r="S736" s="129"/>
      <c r="T736" s="129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K736" s="128"/>
    </row>
    <row r="737" spans="1:37">
      <c r="A737" s="179" t="s">
        <v>213</v>
      </c>
      <c r="B737" s="180"/>
      <c r="C737" s="216"/>
      <c r="D737" s="182"/>
      <c r="E737" s="183"/>
      <c r="F737" s="184"/>
      <c r="G737" s="291">
        <f>G734</f>
        <v>6.4390000000000001</v>
      </c>
      <c r="H737" s="217" t="s">
        <v>99</v>
      </c>
      <c r="I737" s="184"/>
      <c r="J737" s="185">
        <f>J734+J736</f>
        <v>7.1199999999999992</v>
      </c>
      <c r="K737" s="217" t="s">
        <v>99</v>
      </c>
      <c r="L737" s="269"/>
      <c r="N737" s="128"/>
      <c r="O737" s="128"/>
      <c r="P737" s="93"/>
      <c r="Q737" s="64">
        <f>(J737-G737)/G737</f>
        <v>0.10576176424910687</v>
      </c>
      <c r="R737" s="108"/>
      <c r="S737" s="129"/>
      <c r="T737" s="129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K737" s="128"/>
    </row>
    <row r="738" spans="1:37">
      <c r="A738" s="257" t="s">
        <v>148</v>
      </c>
      <c r="B738" s="136"/>
      <c r="C738" s="205"/>
      <c r="D738" s="220">
        <v>-0.01</v>
      </c>
      <c r="E738" s="127"/>
      <c r="F738" s="207"/>
      <c r="G738" s="220">
        <v>-0.01</v>
      </c>
      <c r="H738" s="136"/>
      <c r="I738" s="207"/>
      <c r="J738" s="220">
        <v>-0.01</v>
      </c>
      <c r="K738" s="136"/>
      <c r="L738" s="207"/>
      <c r="AB738" s="54"/>
      <c r="AC738" s="54"/>
      <c r="AD738" s="54"/>
      <c r="AE738" s="54"/>
      <c r="AF738" s="54"/>
      <c r="AG738" s="54"/>
      <c r="AH738" s="54"/>
      <c r="AI738" s="54"/>
    </row>
    <row r="739" spans="1:37">
      <c r="A739" s="149" t="s">
        <v>132</v>
      </c>
      <c r="B739" s="136"/>
      <c r="C739" s="205">
        <f>C792+C845</f>
        <v>0</v>
      </c>
      <c r="D739" s="282">
        <v>0</v>
      </c>
      <c r="E739" s="210"/>
      <c r="F739" s="207">
        <f>F792+F845</f>
        <v>0</v>
      </c>
      <c r="G739" s="282">
        <v>0</v>
      </c>
      <c r="H739" s="210"/>
      <c r="I739" s="207">
        <f>I792+I845</f>
        <v>0</v>
      </c>
      <c r="J739" s="282">
        <f>J714</f>
        <v>0</v>
      </c>
      <c r="K739" s="210"/>
      <c r="L739" s="207">
        <f>L792+L845</f>
        <v>0</v>
      </c>
      <c r="N739" s="128" t="e">
        <f>-(J739/100)*#REF!</f>
        <v>#REF!</v>
      </c>
      <c r="AB739" s="54"/>
      <c r="AC739" s="54"/>
      <c r="AD739" s="54"/>
      <c r="AE739" s="54"/>
      <c r="AF739" s="54"/>
      <c r="AG739" s="54"/>
      <c r="AH739" s="54"/>
      <c r="AI739" s="54"/>
    </row>
    <row r="740" spans="1:37">
      <c r="A740" s="149" t="s">
        <v>133</v>
      </c>
      <c r="B740" s="136"/>
      <c r="C740" s="205"/>
      <c r="D740" s="282"/>
      <c r="E740" s="210"/>
      <c r="F740" s="207"/>
      <c r="G740" s="282"/>
      <c r="H740" s="210"/>
      <c r="I740" s="207"/>
      <c r="J740" s="282"/>
      <c r="K740" s="210"/>
      <c r="L740" s="207"/>
      <c r="AB740" s="54"/>
      <c r="AC740" s="54"/>
      <c r="AD740" s="54"/>
      <c r="AE740" s="54"/>
      <c r="AF740" s="54"/>
      <c r="AG740" s="54"/>
      <c r="AH740" s="54"/>
      <c r="AI740" s="54"/>
    </row>
    <row r="741" spans="1:37">
      <c r="A741" s="149" t="s">
        <v>199</v>
      </c>
      <c r="B741" s="136"/>
      <c r="C741" s="205">
        <f>C794+C847</f>
        <v>0</v>
      </c>
      <c r="D741" s="282">
        <v>0</v>
      </c>
      <c r="E741" s="210"/>
      <c r="F741" s="207">
        <f>F794+F847</f>
        <v>0</v>
      </c>
      <c r="G741" s="282">
        <v>0</v>
      </c>
      <c r="H741" s="210"/>
      <c r="I741" s="207">
        <f>I794+I847</f>
        <v>0</v>
      </c>
      <c r="J741" s="282">
        <f>J716</f>
        <v>0</v>
      </c>
      <c r="K741" s="210"/>
      <c r="L741" s="207">
        <f>L794+L847</f>
        <v>0</v>
      </c>
      <c r="N741" s="128" t="e">
        <f>-(J741/100)*#REF!</f>
        <v>#REF!</v>
      </c>
      <c r="AB741" s="54"/>
      <c r="AC741" s="54"/>
      <c r="AD741" s="54"/>
      <c r="AE741" s="54"/>
      <c r="AF741" s="54"/>
      <c r="AG741" s="54"/>
      <c r="AH741" s="54"/>
      <c r="AI741" s="54"/>
    </row>
    <row r="742" spans="1:37">
      <c r="A742" s="149" t="s">
        <v>200</v>
      </c>
      <c r="B742" s="136"/>
      <c r="C742" s="205">
        <f>C795+C848</f>
        <v>0</v>
      </c>
      <c r="D742" s="282">
        <v>312</v>
      </c>
      <c r="E742" s="210"/>
      <c r="F742" s="207">
        <f>F795+F848</f>
        <v>0</v>
      </c>
      <c r="G742" s="282">
        <v>357</v>
      </c>
      <c r="H742" s="210"/>
      <c r="I742" s="207">
        <f>I795+I848</f>
        <v>0</v>
      </c>
      <c r="J742" s="282">
        <f>J717</f>
        <v>395</v>
      </c>
      <c r="K742" s="210"/>
      <c r="L742" s="207">
        <f>L795+L848</f>
        <v>0</v>
      </c>
      <c r="N742" s="128" t="e">
        <f>-(J742/100)*#REF!</f>
        <v>#REF!</v>
      </c>
      <c r="AB742" s="54"/>
      <c r="AC742" s="54"/>
      <c r="AD742" s="54"/>
      <c r="AE742" s="54"/>
      <c r="AF742" s="54"/>
      <c r="AG742" s="54"/>
      <c r="AH742" s="54"/>
      <c r="AI742" s="54"/>
    </row>
    <row r="743" spans="1:37">
      <c r="A743" s="149" t="s">
        <v>201</v>
      </c>
      <c r="B743" s="136"/>
      <c r="C743" s="205">
        <f>C796+C849</f>
        <v>0</v>
      </c>
      <c r="D743" s="282">
        <v>1268</v>
      </c>
      <c r="E743" s="210"/>
      <c r="F743" s="207">
        <f>F796+F849</f>
        <v>0</v>
      </c>
      <c r="G743" s="282">
        <v>1457</v>
      </c>
      <c r="H743" s="210"/>
      <c r="I743" s="207">
        <f>I796+I849</f>
        <v>0</v>
      </c>
      <c r="J743" s="282">
        <f>J718</f>
        <v>1611</v>
      </c>
      <c r="K743" s="210"/>
      <c r="L743" s="207">
        <f>L796+L849</f>
        <v>0</v>
      </c>
      <c r="N743" s="128" t="e">
        <f>-(J743/100)*#REF!</f>
        <v>#REF!</v>
      </c>
      <c r="AB743" s="54"/>
      <c r="AC743" s="54"/>
      <c r="AD743" s="54"/>
      <c r="AE743" s="54"/>
      <c r="AF743" s="54"/>
      <c r="AG743" s="54"/>
      <c r="AH743" s="54"/>
      <c r="AI743" s="54"/>
    </row>
    <row r="744" spans="1:37">
      <c r="A744" s="149" t="s">
        <v>132</v>
      </c>
      <c r="B744" s="136"/>
      <c r="C744" s="205">
        <f>C797+C850</f>
        <v>0</v>
      </c>
      <c r="D744" s="282">
        <v>20.86</v>
      </c>
      <c r="E744" s="210"/>
      <c r="F744" s="207">
        <f>F797+F850</f>
        <v>0</v>
      </c>
      <c r="G744" s="282">
        <v>23.87</v>
      </c>
      <c r="H744" s="210"/>
      <c r="I744" s="207">
        <f>I797+I850</f>
        <v>0</v>
      </c>
      <c r="J744" s="282">
        <f>J723</f>
        <v>26.39</v>
      </c>
      <c r="K744" s="210"/>
      <c r="L744" s="207">
        <f>L797+L850</f>
        <v>0</v>
      </c>
      <c r="N744" s="128" t="e">
        <f>-(J744/100)*#REF!</f>
        <v>#REF!</v>
      </c>
      <c r="AB744" s="54"/>
      <c r="AC744" s="54"/>
      <c r="AD744" s="54"/>
      <c r="AE744" s="54"/>
      <c r="AF744" s="54"/>
      <c r="AG744" s="54"/>
      <c r="AH744" s="54"/>
      <c r="AI744" s="54"/>
    </row>
    <row r="745" spans="1:37">
      <c r="A745" s="149" t="s">
        <v>133</v>
      </c>
      <c r="B745" s="136"/>
      <c r="C745" s="205"/>
      <c r="D745" s="282"/>
      <c r="E745" s="210"/>
      <c r="F745" s="207"/>
      <c r="G745" s="282"/>
      <c r="H745" s="210"/>
      <c r="I745" s="207"/>
      <c r="J745" s="282"/>
      <c r="K745" s="210"/>
      <c r="L745" s="207"/>
      <c r="AB745" s="54"/>
      <c r="AC745" s="54"/>
      <c r="AD745" s="54"/>
      <c r="AE745" s="54"/>
      <c r="AF745" s="54"/>
      <c r="AG745" s="54"/>
      <c r="AH745" s="54"/>
      <c r="AI745" s="54"/>
    </row>
    <row r="746" spans="1:37">
      <c r="A746" s="149" t="s">
        <v>199</v>
      </c>
      <c r="B746" s="136"/>
      <c r="C746" s="205">
        <f>C799+C852</f>
        <v>39</v>
      </c>
      <c r="D746" s="282">
        <v>20.860000000000003</v>
      </c>
      <c r="E746" s="210"/>
      <c r="F746" s="207">
        <f>F799+F852</f>
        <v>-8</v>
      </c>
      <c r="G746" s="282">
        <v>23.79</v>
      </c>
      <c r="H746" s="210"/>
      <c r="I746" s="207">
        <f>I799+I852</f>
        <v>-9</v>
      </c>
      <c r="J746" s="282">
        <f>J725</f>
        <v>26.3</v>
      </c>
      <c r="K746" s="210"/>
      <c r="L746" s="207">
        <f>L799+L852</f>
        <v>-10</v>
      </c>
      <c r="N746" s="128" t="e">
        <f>-(J746/100)*#REF!</f>
        <v>#REF!</v>
      </c>
      <c r="AB746" s="54"/>
      <c r="AC746" s="54"/>
      <c r="AD746" s="54"/>
      <c r="AE746" s="54"/>
      <c r="AF746" s="54"/>
      <c r="AG746" s="54"/>
      <c r="AH746" s="54"/>
      <c r="AI746" s="54"/>
    </row>
    <row r="747" spans="1:37">
      <c r="A747" s="149" t="s">
        <v>200</v>
      </c>
      <c r="B747" s="136"/>
      <c r="C747" s="205">
        <f>C800+C853</f>
        <v>0</v>
      </c>
      <c r="D747" s="282">
        <v>14.53</v>
      </c>
      <c r="E747" s="210"/>
      <c r="F747" s="207">
        <f>F800+F853</f>
        <v>0</v>
      </c>
      <c r="G747" s="282">
        <v>16.559999999999999</v>
      </c>
      <c r="H747" s="210"/>
      <c r="I747" s="207">
        <f>I800+I853</f>
        <v>0</v>
      </c>
      <c r="J747" s="282">
        <f>J726</f>
        <v>18.309999999999999</v>
      </c>
      <c r="K747" s="210"/>
      <c r="L747" s="207">
        <f>L800+L853</f>
        <v>0</v>
      </c>
      <c r="N747" s="128" t="e">
        <f>-(J747/100)*#REF!</f>
        <v>#REF!</v>
      </c>
      <c r="AB747" s="54"/>
      <c r="AC747" s="54"/>
      <c r="AD747" s="54"/>
      <c r="AE747" s="54"/>
      <c r="AF747" s="54"/>
      <c r="AG747" s="54"/>
      <c r="AH747" s="54"/>
      <c r="AI747" s="54"/>
    </row>
    <row r="748" spans="1:37">
      <c r="A748" s="149" t="s">
        <v>201</v>
      </c>
      <c r="B748" s="136"/>
      <c r="C748" s="205">
        <f>C801+C854</f>
        <v>0</v>
      </c>
      <c r="D748" s="282">
        <v>11.340000000000002</v>
      </c>
      <c r="E748" s="210"/>
      <c r="F748" s="207">
        <f>F801+F854</f>
        <v>0</v>
      </c>
      <c r="G748" s="282">
        <v>12.96</v>
      </c>
      <c r="H748" s="210"/>
      <c r="I748" s="207">
        <f>I801+I854</f>
        <v>0</v>
      </c>
      <c r="J748" s="282">
        <f>J727</f>
        <v>14.33</v>
      </c>
      <c r="K748" s="210"/>
      <c r="L748" s="207">
        <f>L801+L854</f>
        <v>0</v>
      </c>
      <c r="N748" s="128" t="e">
        <f>-(J748/100)*#REF!</f>
        <v>#REF!</v>
      </c>
      <c r="AB748" s="54"/>
      <c r="AC748" s="54"/>
      <c r="AD748" s="54"/>
      <c r="AE748" s="54"/>
      <c r="AF748" s="54"/>
      <c r="AG748" s="54"/>
      <c r="AH748" s="54"/>
      <c r="AI748" s="54"/>
    </row>
    <row r="749" spans="1:37">
      <c r="A749" s="149" t="s">
        <v>214</v>
      </c>
      <c r="B749" s="136"/>
      <c r="C749" s="205">
        <f>C802+C855</f>
        <v>0</v>
      </c>
      <c r="D749" s="251">
        <v>62.58</v>
      </c>
      <c r="E749" s="210"/>
      <c r="F749" s="207">
        <f>F802+F855</f>
        <v>0</v>
      </c>
      <c r="G749" s="251">
        <v>71.61</v>
      </c>
      <c r="H749" s="210"/>
      <c r="I749" s="207">
        <f>I802+I855</f>
        <v>0</v>
      </c>
      <c r="J749" s="251">
        <f>J728</f>
        <v>79.17</v>
      </c>
      <c r="K749" s="210"/>
      <c r="L749" s="207">
        <f>L802+L855</f>
        <v>0</v>
      </c>
      <c r="N749" s="128" t="e">
        <f>-(J749/100)*#REF!</f>
        <v>#REF!</v>
      </c>
      <c r="AB749" s="54"/>
      <c r="AC749" s="54"/>
      <c r="AD749" s="54"/>
      <c r="AE749" s="54"/>
      <c r="AF749" s="54"/>
      <c r="AG749" s="54"/>
      <c r="AH749" s="54"/>
      <c r="AI749" s="54"/>
    </row>
    <row r="750" spans="1:37">
      <c r="A750" s="149" t="s">
        <v>215</v>
      </c>
      <c r="B750" s="136"/>
      <c r="C750" s="205">
        <f>C803+C856</f>
        <v>0</v>
      </c>
      <c r="D750" s="251">
        <v>125.16000000000003</v>
      </c>
      <c r="E750" s="210"/>
      <c r="F750" s="207">
        <f>F803+F856</f>
        <v>0</v>
      </c>
      <c r="G750" s="251">
        <v>142.74</v>
      </c>
      <c r="H750" s="210"/>
      <c r="I750" s="207">
        <f>I803+I856</f>
        <v>0</v>
      </c>
      <c r="J750" s="251">
        <f>J729</f>
        <v>157.80000000000001</v>
      </c>
      <c r="K750" s="210"/>
      <c r="L750" s="207">
        <f>L803+L856</f>
        <v>0</v>
      </c>
      <c r="N750" s="128" t="e">
        <f>-(J750/100)*#REF!</f>
        <v>#REF!</v>
      </c>
      <c r="AB750" s="54"/>
      <c r="AC750" s="54"/>
      <c r="AD750" s="54"/>
      <c r="AE750" s="54"/>
      <c r="AF750" s="54"/>
      <c r="AG750" s="54"/>
      <c r="AH750" s="54"/>
      <c r="AI750" s="54"/>
    </row>
    <row r="751" spans="1:37">
      <c r="A751" s="149" t="s">
        <v>209</v>
      </c>
      <c r="B751" s="136"/>
      <c r="C751" s="205"/>
      <c r="D751" s="225"/>
      <c r="E751" s="210"/>
      <c r="F751" s="207"/>
      <c r="G751" s="225"/>
      <c r="H751" s="210"/>
      <c r="I751" s="207"/>
      <c r="J751" s="225"/>
      <c r="K751" s="210"/>
      <c r="L751" s="207"/>
      <c r="AB751" s="54"/>
      <c r="AC751" s="54"/>
      <c r="AD751" s="54"/>
      <c r="AE751" s="54"/>
      <c r="AF751" s="54"/>
      <c r="AG751" s="54"/>
      <c r="AH751" s="54"/>
      <c r="AI751" s="54"/>
    </row>
    <row r="752" spans="1:37">
      <c r="A752" s="149" t="s">
        <v>205</v>
      </c>
      <c r="B752" s="136"/>
      <c r="C752" s="205">
        <f>C805+C858</f>
        <v>0</v>
      </c>
      <c r="D752" s="251">
        <v>-20.86</v>
      </c>
      <c r="E752" s="210"/>
      <c r="F752" s="207">
        <f>F805+F858</f>
        <v>0</v>
      </c>
      <c r="G752" s="251">
        <v>-23.87</v>
      </c>
      <c r="H752" s="210"/>
      <c r="I752" s="207">
        <f>I805+I858</f>
        <v>0</v>
      </c>
      <c r="J752" s="251">
        <f>J731</f>
        <v>-26.39</v>
      </c>
      <c r="K752" s="210"/>
      <c r="L752" s="207">
        <f>L805+L858</f>
        <v>0</v>
      </c>
      <c r="N752" s="128" t="e">
        <f>-(J752/100)*#REF!</f>
        <v>#REF!</v>
      </c>
      <c r="AB752" s="54"/>
      <c r="AC752" s="54"/>
      <c r="AD752" s="54"/>
      <c r="AE752" s="54"/>
      <c r="AF752" s="54"/>
      <c r="AG752" s="54"/>
      <c r="AH752" s="54"/>
      <c r="AI752" s="54"/>
    </row>
    <row r="753" spans="1:37">
      <c r="A753" s="149" t="s">
        <v>210</v>
      </c>
      <c r="B753" s="136"/>
      <c r="C753" s="205">
        <f>C806+C859</f>
        <v>0</v>
      </c>
      <c r="D753" s="251">
        <v>-20.860000000000003</v>
      </c>
      <c r="E753" s="210"/>
      <c r="F753" s="207">
        <f>F806+F859</f>
        <v>0</v>
      </c>
      <c r="G753" s="251">
        <v>-23.79</v>
      </c>
      <c r="H753" s="210"/>
      <c r="I753" s="207">
        <f>I806+I859</f>
        <v>0</v>
      </c>
      <c r="J753" s="251">
        <f>J732</f>
        <v>-26.3</v>
      </c>
      <c r="K753" s="210"/>
      <c r="L753" s="207">
        <f>L806+L859</f>
        <v>0</v>
      </c>
      <c r="N753" s="128" t="e">
        <f>-(J753/100)*#REF!</f>
        <v>#REF!</v>
      </c>
      <c r="AB753" s="54"/>
      <c r="AC753" s="54"/>
      <c r="AD753" s="54"/>
      <c r="AE753" s="54"/>
      <c r="AF753" s="54"/>
      <c r="AG753" s="54"/>
      <c r="AH753" s="54"/>
      <c r="AI753" s="54"/>
    </row>
    <row r="754" spans="1:37">
      <c r="A754" s="209" t="s">
        <v>172</v>
      </c>
      <c r="B754" s="136"/>
      <c r="C754" s="205"/>
      <c r="D754" s="282"/>
      <c r="E754" s="207"/>
      <c r="F754" s="207"/>
      <c r="G754" s="282"/>
      <c r="H754" s="207"/>
      <c r="I754" s="207"/>
      <c r="J754" s="282"/>
      <c r="K754" s="207"/>
      <c r="L754" s="207"/>
      <c r="AB754" s="54"/>
      <c r="AC754" s="54"/>
      <c r="AD754" s="54"/>
      <c r="AE754" s="54"/>
      <c r="AF754" s="54"/>
      <c r="AG754" s="54"/>
      <c r="AH754" s="54"/>
      <c r="AI754" s="54"/>
    </row>
    <row r="755" spans="1:37">
      <c r="A755" s="149" t="s">
        <v>211</v>
      </c>
      <c r="B755" s="136"/>
      <c r="C755" s="205">
        <f t="shared" ref="C755:C761" si="110">C808+C861</f>
        <v>0</v>
      </c>
      <c r="D755" s="292">
        <v>5.6469999999999994</v>
      </c>
      <c r="E755" s="207" t="s">
        <v>99</v>
      </c>
      <c r="F755" s="207">
        <f>F808+F861</f>
        <v>0</v>
      </c>
      <c r="G755" s="292">
        <v>6.4390000000000001</v>
      </c>
      <c r="H755" s="207" t="s">
        <v>99</v>
      </c>
      <c r="I755" s="207">
        <f>I808+I861</f>
        <v>0</v>
      </c>
      <c r="J755" s="292">
        <f>J734</f>
        <v>4.0259999999999998</v>
      </c>
      <c r="K755" s="207" t="s">
        <v>99</v>
      </c>
      <c r="L755" s="207">
        <f t="shared" ref="L755:L760" si="111">L808+L861</f>
        <v>0</v>
      </c>
      <c r="N755" s="128" t="e">
        <f>-((J755/100)*#REF!)/100</f>
        <v>#REF!</v>
      </c>
      <c r="AB755" s="54"/>
      <c r="AC755" s="54"/>
      <c r="AD755" s="54"/>
      <c r="AE755" s="54"/>
      <c r="AF755" s="54"/>
      <c r="AG755" s="54"/>
      <c r="AH755" s="54"/>
      <c r="AI755" s="54"/>
    </row>
    <row r="756" spans="1:37">
      <c r="A756" s="209" t="s">
        <v>141</v>
      </c>
      <c r="B756" s="136"/>
      <c r="C756" s="205">
        <f t="shared" si="110"/>
        <v>0</v>
      </c>
      <c r="D756" s="260">
        <v>50</v>
      </c>
      <c r="E756" s="207" t="s">
        <v>99</v>
      </c>
      <c r="F756" s="207">
        <f>F809+F862</f>
        <v>0</v>
      </c>
      <c r="G756" s="260">
        <v>56</v>
      </c>
      <c r="H756" s="209" t="s">
        <v>99</v>
      </c>
      <c r="I756" s="207">
        <f>I809+I862</f>
        <v>0</v>
      </c>
      <c r="J756" s="260">
        <f>J735</f>
        <v>62</v>
      </c>
      <c r="K756" s="209" t="s">
        <v>99</v>
      </c>
      <c r="L756" s="207">
        <f t="shared" si="111"/>
        <v>0</v>
      </c>
      <c r="N756" s="128" t="e">
        <f>-((J756/100)*#REF!)/100</f>
        <v>#REF!</v>
      </c>
      <c r="AB756" s="54"/>
      <c r="AC756" s="54"/>
      <c r="AD756" s="54"/>
      <c r="AE756" s="54"/>
      <c r="AF756" s="54"/>
      <c r="AG756" s="54"/>
      <c r="AH756" s="54"/>
      <c r="AI756" s="54"/>
    </row>
    <row r="757" spans="1:37">
      <c r="A757" s="209" t="s">
        <v>190</v>
      </c>
      <c r="B757" s="136"/>
      <c r="C757" s="205">
        <f t="shared" si="110"/>
        <v>0</v>
      </c>
      <c r="D757" s="225">
        <v>60</v>
      </c>
      <c r="E757" s="262" t="s">
        <v>0</v>
      </c>
      <c r="F757" s="207">
        <f>F810+F863</f>
        <v>0</v>
      </c>
      <c r="G757" s="225">
        <v>60</v>
      </c>
      <c r="H757" s="136"/>
      <c r="I757" s="207">
        <f>I810+I863</f>
        <v>0</v>
      </c>
      <c r="J757" s="225">
        <v>60</v>
      </c>
      <c r="K757" s="136"/>
      <c r="L757" s="207">
        <f t="shared" si="111"/>
        <v>0</v>
      </c>
      <c r="N757" s="128" t="e">
        <f>J757*#REF!</f>
        <v>#REF!</v>
      </c>
      <c r="AB757" s="54"/>
      <c r="AC757" s="54"/>
      <c r="AD757" s="54"/>
      <c r="AE757" s="54"/>
      <c r="AF757" s="54"/>
      <c r="AG757" s="54"/>
      <c r="AH757" s="54"/>
      <c r="AI757" s="54"/>
    </row>
    <row r="758" spans="1:37">
      <c r="A758" s="209" t="s">
        <v>191</v>
      </c>
      <c r="B758" s="136"/>
      <c r="C758" s="205">
        <f t="shared" si="110"/>
        <v>0</v>
      </c>
      <c r="D758" s="290">
        <v>-30</v>
      </c>
      <c r="E758" s="207" t="s">
        <v>99</v>
      </c>
      <c r="F758" s="207">
        <f>F811+F864</f>
        <v>0</v>
      </c>
      <c r="G758" s="290">
        <v>-30</v>
      </c>
      <c r="H758" s="207" t="s">
        <v>99</v>
      </c>
      <c r="I758" s="207">
        <f>I811+I864</f>
        <v>0</v>
      </c>
      <c r="J758" s="293">
        <v>-30</v>
      </c>
      <c r="K758" s="207" t="s">
        <v>99</v>
      </c>
      <c r="L758" s="207">
        <f t="shared" si="111"/>
        <v>0</v>
      </c>
      <c r="N758" s="128" t="e">
        <f>(J758/100)*#REF!</f>
        <v>#REF!</v>
      </c>
      <c r="AB758" s="54"/>
      <c r="AC758" s="54"/>
      <c r="AD758" s="54"/>
      <c r="AE758" s="54"/>
      <c r="AF758" s="54"/>
      <c r="AG758" s="54"/>
      <c r="AH758" s="54"/>
      <c r="AI758" s="54"/>
    </row>
    <row r="759" spans="1:37">
      <c r="A759" s="134" t="s">
        <v>212</v>
      </c>
      <c r="C759" s="205">
        <f t="shared" si="110"/>
        <v>0</v>
      </c>
      <c r="D759" s="133"/>
      <c r="E759" s="54"/>
      <c r="F759" s="127"/>
      <c r="G759" s="133"/>
      <c r="H759" s="54"/>
      <c r="I759" s="127"/>
      <c r="J759" s="135">
        <f>J736</f>
        <v>3.0939999999999999</v>
      </c>
      <c r="K759" s="207" t="s">
        <v>99</v>
      </c>
      <c r="L759" s="207">
        <f t="shared" si="111"/>
        <v>0</v>
      </c>
      <c r="N759" s="128"/>
      <c r="P759" s="93"/>
      <c r="Q759" s="108"/>
      <c r="R759" s="108"/>
      <c r="S759" s="129"/>
      <c r="T759" s="129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K759" s="128"/>
    </row>
    <row r="760" spans="1:37">
      <c r="A760" s="136" t="s">
        <v>122</v>
      </c>
      <c r="B760" s="136"/>
      <c r="C760" s="205">
        <f t="shared" si="110"/>
        <v>151200065.36433661</v>
      </c>
      <c r="D760" s="215"/>
      <c r="E760" s="127"/>
      <c r="F760" s="127">
        <f>F813+F866</f>
        <v>10533620</v>
      </c>
      <c r="G760" s="210"/>
      <c r="H760" s="209"/>
      <c r="I760" s="127">
        <f>I813+I866</f>
        <v>12011348</v>
      </c>
      <c r="J760" s="127"/>
      <c r="K760" s="209"/>
      <c r="L760" s="127">
        <f t="shared" si="111"/>
        <v>13281402</v>
      </c>
      <c r="N760" s="128" t="e">
        <f>SUM(N714:N758)</f>
        <v>#REF!</v>
      </c>
      <c r="Q760" s="153"/>
      <c r="R760" s="153"/>
      <c r="AB760" s="54"/>
      <c r="AC760" s="54"/>
      <c r="AD760" s="54"/>
      <c r="AE760" s="54"/>
      <c r="AF760" s="54"/>
      <c r="AG760" s="54"/>
      <c r="AH760" s="54"/>
      <c r="AI760" s="54"/>
    </row>
    <row r="761" spans="1:37" ht="14.25" customHeight="1">
      <c r="A761" s="136" t="s">
        <v>102</v>
      </c>
      <c r="B761" s="136"/>
      <c r="C761" s="228">
        <f t="shared" si="110"/>
        <v>2355000</v>
      </c>
      <c r="D761" s="149"/>
      <c r="E761" s="149"/>
      <c r="F761" s="192" t="e">
        <f>F814+F867</f>
        <v>#REF!</v>
      </c>
      <c r="G761" s="149"/>
      <c r="H761" s="149"/>
      <c r="I761" s="192">
        <f>I814+I867</f>
        <v>288000</v>
      </c>
      <c r="J761" s="149"/>
      <c r="K761" s="149"/>
      <c r="L761" s="192">
        <f>I761</f>
        <v>288000</v>
      </c>
      <c r="AB761" s="54"/>
      <c r="AC761" s="54"/>
      <c r="AD761" s="54"/>
      <c r="AE761" s="54"/>
      <c r="AF761" s="54"/>
      <c r="AG761" s="54"/>
      <c r="AH761" s="54"/>
      <c r="AI761" s="54"/>
    </row>
    <row r="762" spans="1:37" ht="17.25" customHeight="1" thickBot="1">
      <c r="A762" s="136" t="s">
        <v>123</v>
      </c>
      <c r="B762" s="136"/>
      <c r="C762" s="263">
        <f>SUM(C760:C761)</f>
        <v>153555065.36433661</v>
      </c>
      <c r="D762" s="231"/>
      <c r="E762" s="232"/>
      <c r="F762" s="233" t="e">
        <f>F760+F761</f>
        <v>#REF!</v>
      </c>
      <c r="G762" s="231"/>
      <c r="H762" s="235"/>
      <c r="I762" s="233">
        <f>I760+I761</f>
        <v>12299348</v>
      </c>
      <c r="J762" s="231"/>
      <c r="K762" s="235"/>
      <c r="L762" s="233">
        <f>L760+L761</f>
        <v>13569402</v>
      </c>
      <c r="O762" s="144" t="s">
        <v>104</v>
      </c>
      <c r="P762" s="145">
        <v>13569563.1647</v>
      </c>
      <c r="Q762" s="146">
        <v>0.10568499999999999</v>
      </c>
      <c r="R762" s="147"/>
      <c r="S762" s="206" t="s">
        <v>0</v>
      </c>
      <c r="T762" s="206"/>
      <c r="AB762" s="54"/>
      <c r="AC762" s="54"/>
      <c r="AD762" s="54"/>
      <c r="AE762" s="54"/>
      <c r="AF762" s="54"/>
      <c r="AG762" s="54"/>
      <c r="AH762" s="54"/>
      <c r="AI762" s="54"/>
    </row>
    <row r="763" spans="1:37" ht="16.5" thickTop="1">
      <c r="A763" s="136"/>
      <c r="B763" s="136"/>
      <c r="C763" s="294"/>
      <c r="D763" s="248"/>
      <c r="E763" s="249"/>
      <c r="F763" s="208"/>
      <c r="G763" s="248" t="s">
        <v>0</v>
      </c>
      <c r="H763" s="250"/>
      <c r="I763" s="208"/>
      <c r="J763" s="295" t="s">
        <v>0</v>
      </c>
      <c r="K763" s="250"/>
      <c r="L763" s="139" t="s">
        <v>0</v>
      </c>
      <c r="O763" s="150" t="s">
        <v>105</v>
      </c>
      <c r="P763" s="151">
        <f>P762-L762</f>
        <v>161.16469999961555</v>
      </c>
      <c r="Q763" s="296" t="s">
        <v>0</v>
      </c>
      <c r="R763" s="197"/>
      <c r="AB763" s="54"/>
      <c r="AC763" s="54"/>
      <c r="AD763" s="54"/>
      <c r="AE763" s="54"/>
      <c r="AF763" s="54"/>
      <c r="AG763" s="54"/>
      <c r="AH763" s="54"/>
      <c r="AI763" s="54"/>
    </row>
    <row r="764" spans="1:37" hidden="1">
      <c r="A764" s="167" t="s">
        <v>194</v>
      </c>
      <c r="B764" s="136"/>
      <c r="C764" s="168"/>
      <c r="D764" s="225"/>
      <c r="E764" s="127"/>
      <c r="F764" s="127"/>
      <c r="G764" s="225"/>
      <c r="H764" s="136"/>
      <c r="I764" s="127"/>
      <c r="J764" s="225"/>
      <c r="K764" s="136"/>
      <c r="L764" s="127"/>
      <c r="AB764" s="54"/>
      <c r="AC764" s="54"/>
      <c r="AD764" s="54"/>
      <c r="AE764" s="54"/>
      <c r="AF764" s="54"/>
      <c r="AG764" s="54"/>
      <c r="AH764" s="54"/>
      <c r="AI764" s="54"/>
    </row>
    <row r="765" spans="1:37" hidden="1">
      <c r="A765" s="149" t="s">
        <v>62</v>
      </c>
      <c r="B765" s="136"/>
      <c r="C765" s="168"/>
      <c r="D765" s="225"/>
      <c r="E765" s="127"/>
      <c r="F765" s="127"/>
      <c r="G765" s="225"/>
      <c r="H765" s="136"/>
      <c r="I765" s="127"/>
      <c r="J765" s="225"/>
      <c r="K765" s="136"/>
      <c r="L765" s="127"/>
      <c r="N765" s="128"/>
      <c r="O765" s="128"/>
      <c r="P765" s="242" t="s">
        <v>0</v>
      </c>
      <c r="Q765" s="96"/>
      <c r="R765" s="96"/>
      <c r="AB765" s="54"/>
      <c r="AC765" s="54"/>
      <c r="AD765" s="54"/>
      <c r="AE765" s="54"/>
      <c r="AF765" s="54"/>
      <c r="AG765" s="54"/>
      <c r="AH765" s="54"/>
      <c r="AI765" s="54"/>
    </row>
    <row r="766" spans="1:37" hidden="1">
      <c r="A766" s="209"/>
      <c r="B766" s="136"/>
      <c r="C766" s="168"/>
      <c r="D766" s="225"/>
      <c r="E766" s="127"/>
      <c r="F766" s="282"/>
      <c r="G766" s="225"/>
      <c r="H766" s="136"/>
      <c r="I766" s="282"/>
      <c r="J766" s="225"/>
      <c r="K766" s="136"/>
      <c r="L766" s="283"/>
      <c r="N766" s="54"/>
      <c r="O766" s="54"/>
      <c r="P766" s="109"/>
      <c r="Q766" s="109"/>
      <c r="R766" s="109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</row>
    <row r="767" spans="1:37" hidden="1">
      <c r="A767" s="149" t="s">
        <v>196</v>
      </c>
      <c r="B767" s="136"/>
      <c r="C767" s="205"/>
      <c r="D767" s="127" t="s">
        <v>0</v>
      </c>
      <c r="E767" s="127"/>
      <c r="F767" s="136"/>
      <c r="G767" s="127" t="s">
        <v>0</v>
      </c>
      <c r="H767" s="136"/>
      <c r="I767" s="136"/>
      <c r="J767" s="127" t="s">
        <v>0</v>
      </c>
      <c r="K767" s="136"/>
      <c r="L767" s="136"/>
      <c r="N767" s="54"/>
      <c r="O767" s="54"/>
      <c r="P767" s="109"/>
      <c r="Q767" s="109"/>
      <c r="R767" s="109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</row>
    <row r="768" spans="1:37" hidden="1">
      <c r="A768" s="149" t="s">
        <v>197</v>
      </c>
      <c r="B768" s="136"/>
      <c r="C768" s="205">
        <f>985</f>
        <v>985</v>
      </c>
      <c r="D768" s="225">
        <v>0</v>
      </c>
      <c r="E768" s="210"/>
      <c r="F768" s="207">
        <f>ROUND(D768*$C768,0)</f>
        <v>0</v>
      </c>
      <c r="G768" s="225">
        <v>0</v>
      </c>
      <c r="H768" s="210"/>
      <c r="I768" s="207">
        <f>ROUND(G768*C768,0)</f>
        <v>0</v>
      </c>
      <c r="J768" s="225">
        <f>$J$714</f>
        <v>0</v>
      </c>
      <c r="K768" s="210"/>
      <c r="L768" s="207">
        <f>ROUND(J768*$C768,0)</f>
        <v>0</v>
      </c>
      <c r="N768" s="54"/>
      <c r="O768" s="54"/>
      <c r="P768" s="109"/>
      <c r="Q768" s="109"/>
      <c r="R768" s="109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</row>
    <row r="769" spans="1:35" hidden="1">
      <c r="A769" s="149" t="s">
        <v>198</v>
      </c>
      <c r="B769" s="136"/>
      <c r="C769" s="205"/>
      <c r="D769" s="225"/>
      <c r="E769" s="210"/>
      <c r="F769" s="207"/>
      <c r="G769" s="225"/>
      <c r="H769" s="210"/>
      <c r="I769" s="207"/>
      <c r="J769" s="225"/>
      <c r="K769" s="210"/>
      <c r="L769" s="207"/>
      <c r="N769" s="54"/>
      <c r="O769" s="54"/>
      <c r="P769" s="109"/>
      <c r="Q769" s="109"/>
      <c r="R769" s="109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</row>
    <row r="770" spans="1:35" hidden="1">
      <c r="A770" s="149" t="s">
        <v>199</v>
      </c>
      <c r="B770" s="136"/>
      <c r="C770" s="205">
        <f>1+3685</f>
        <v>3686</v>
      </c>
      <c r="D770" s="225">
        <v>0</v>
      </c>
      <c r="E770" s="210"/>
      <c r="F770" s="207">
        <f>ROUND(D770*$C770,0)</f>
        <v>0</v>
      </c>
      <c r="G770" s="225">
        <v>0</v>
      </c>
      <c r="H770" s="210"/>
      <c r="I770" s="207">
        <f t="shared" ref="I770:I772" si="112">ROUND(G770*C770,0)</f>
        <v>0</v>
      </c>
      <c r="J770" s="225">
        <f>$J$716</f>
        <v>0</v>
      </c>
      <c r="K770" s="210"/>
      <c r="L770" s="207">
        <f>ROUND(J770*$C770,0)</f>
        <v>0</v>
      </c>
      <c r="N770" s="54"/>
      <c r="O770" s="54"/>
      <c r="P770" s="109"/>
      <c r="Q770" s="109"/>
      <c r="R770" s="109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</row>
    <row r="771" spans="1:35" hidden="1">
      <c r="A771" s="149" t="s">
        <v>200</v>
      </c>
      <c r="B771" s="136"/>
      <c r="C771" s="205">
        <f>394</f>
        <v>394</v>
      </c>
      <c r="D771" s="225">
        <v>312</v>
      </c>
      <c r="E771" s="210"/>
      <c r="F771" s="207">
        <f>ROUND(D771*$C771,0)</f>
        <v>122928</v>
      </c>
      <c r="G771" s="225">
        <v>357</v>
      </c>
      <c r="H771" s="210"/>
      <c r="I771" s="207">
        <f t="shared" si="112"/>
        <v>140658</v>
      </c>
      <c r="J771" s="225">
        <f>$J$717</f>
        <v>395</v>
      </c>
      <c r="K771" s="210"/>
      <c r="L771" s="207">
        <f>ROUND(J771*$C771,0)</f>
        <v>155630</v>
      </c>
      <c r="N771" s="54"/>
      <c r="O771" s="54"/>
      <c r="P771" s="109"/>
      <c r="Q771" s="109"/>
      <c r="R771" s="109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</row>
    <row r="772" spans="1:35" hidden="1">
      <c r="A772" s="149" t="s">
        <v>201</v>
      </c>
      <c r="B772" s="136"/>
      <c r="C772" s="205">
        <v>0</v>
      </c>
      <c r="D772" s="225">
        <v>1268</v>
      </c>
      <c r="E772" s="210"/>
      <c r="F772" s="207">
        <f>ROUND(D772*$C772,0)</f>
        <v>0</v>
      </c>
      <c r="G772" s="225">
        <v>1457</v>
      </c>
      <c r="H772" s="210"/>
      <c r="I772" s="207">
        <f t="shared" si="112"/>
        <v>0</v>
      </c>
      <c r="J772" s="225">
        <f>$J$718</f>
        <v>1611</v>
      </c>
      <c r="K772" s="210"/>
      <c r="L772" s="207">
        <f>ROUND(J772*$C772,0)</f>
        <v>0</v>
      </c>
      <c r="N772" s="54"/>
      <c r="O772" s="54"/>
      <c r="P772" s="109"/>
      <c r="Q772" s="109"/>
      <c r="R772" s="109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</row>
    <row r="773" spans="1:35" hidden="1">
      <c r="A773" s="149" t="s">
        <v>100</v>
      </c>
      <c r="B773" s="136"/>
      <c r="C773" s="205">
        <f>SUM(C768:C772)</f>
        <v>5065</v>
      </c>
      <c r="D773" s="225"/>
      <c r="E773" s="210"/>
      <c r="F773" s="207"/>
      <c r="G773" s="225"/>
      <c r="H773" s="210"/>
      <c r="I773" s="207"/>
      <c r="J773" s="225"/>
      <c r="K773" s="210"/>
      <c r="L773" s="207"/>
      <c r="N773" s="54"/>
      <c r="O773" s="54"/>
      <c r="P773" s="109"/>
      <c r="Q773" s="109"/>
      <c r="R773" s="109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</row>
    <row r="774" spans="1:35" hidden="1">
      <c r="A774" s="149" t="s">
        <v>202</v>
      </c>
      <c r="B774" s="136"/>
      <c r="C774" s="205">
        <f>7280+27868+3039</f>
        <v>38187</v>
      </c>
      <c r="D774" s="225"/>
      <c r="E774" s="207"/>
      <c r="F774" s="207"/>
      <c r="G774" s="225"/>
      <c r="H774" s="207"/>
      <c r="I774" s="207"/>
      <c r="J774" s="225"/>
      <c r="K774" s="207"/>
      <c r="L774" s="207"/>
      <c r="N774" s="54"/>
      <c r="O774" s="54"/>
      <c r="P774" s="109"/>
      <c r="Q774" s="109"/>
      <c r="R774" s="109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</row>
    <row r="775" spans="1:35" hidden="1">
      <c r="A775" s="149" t="s">
        <v>203</v>
      </c>
      <c r="B775" s="136"/>
      <c r="C775" s="205">
        <f>1+1+1071+4201+407</f>
        <v>5681</v>
      </c>
      <c r="D775" s="225"/>
      <c r="E775" s="207"/>
      <c r="F775" s="207"/>
      <c r="G775" s="225"/>
      <c r="H775" s="207"/>
      <c r="I775" s="207"/>
      <c r="J775" s="225"/>
      <c r="K775" s="207"/>
      <c r="L775" s="207"/>
      <c r="N775" s="54"/>
      <c r="O775" s="54"/>
      <c r="P775" s="109"/>
      <c r="Q775" s="109"/>
      <c r="R775" s="109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</row>
    <row r="776" spans="1:35" hidden="1">
      <c r="A776" s="149" t="s">
        <v>204</v>
      </c>
      <c r="B776" s="136"/>
      <c r="C776" s="205"/>
      <c r="D776" s="225"/>
      <c r="E776" s="210"/>
      <c r="F776" s="207"/>
      <c r="G776" s="225"/>
      <c r="H776" s="210"/>
      <c r="I776" s="207"/>
      <c r="J776" s="225"/>
      <c r="K776" s="210"/>
      <c r="L776" s="207"/>
      <c r="N776" s="54"/>
      <c r="O776" s="54"/>
      <c r="P776" s="109"/>
      <c r="Q776" s="109"/>
      <c r="R776" s="109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</row>
    <row r="777" spans="1:35" hidden="1">
      <c r="A777" s="149" t="s">
        <v>205</v>
      </c>
      <c r="B777" s="136"/>
      <c r="C777" s="205">
        <f>2783</f>
        <v>2783</v>
      </c>
      <c r="D777" s="225">
        <v>20.86</v>
      </c>
      <c r="E777" s="210"/>
      <c r="F777" s="207">
        <f>ROUND(D777*$C777,0)</f>
        <v>58053</v>
      </c>
      <c r="G777" s="225">
        <v>23.87</v>
      </c>
      <c r="H777" s="210"/>
      <c r="I777" s="207">
        <f>ROUND(G777*C777,0)</f>
        <v>66430</v>
      </c>
      <c r="J777" s="225">
        <f>$J$723</f>
        <v>26.39</v>
      </c>
      <c r="K777" s="210"/>
      <c r="L777" s="207">
        <f>ROUND(J777*$C777,0)</f>
        <v>73443</v>
      </c>
      <c r="N777" s="54"/>
      <c r="O777" s="54"/>
      <c r="P777" s="109"/>
      <c r="Q777" s="109"/>
      <c r="R777" s="109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</row>
    <row r="778" spans="1:35" hidden="1">
      <c r="A778" s="149" t="s">
        <v>206</v>
      </c>
      <c r="B778" s="136"/>
      <c r="C778" s="205"/>
      <c r="D778" s="225"/>
      <c r="E778" s="210"/>
      <c r="F778" s="207"/>
      <c r="G778" s="225"/>
      <c r="H778" s="210"/>
      <c r="I778" s="207"/>
      <c r="J778" s="225"/>
      <c r="K778" s="210"/>
      <c r="L778" s="207"/>
      <c r="N778" s="54"/>
      <c r="O778" s="54"/>
      <c r="P778" s="109"/>
      <c r="Q778" s="109"/>
      <c r="R778" s="109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</row>
    <row r="779" spans="1:35" hidden="1">
      <c r="A779" s="149" t="s">
        <v>199</v>
      </c>
      <c r="B779" s="136"/>
      <c r="C779" s="205">
        <f>42+48776</f>
        <v>48818</v>
      </c>
      <c r="D779" s="225">
        <v>20.860000000000003</v>
      </c>
      <c r="E779" s="210"/>
      <c r="F779" s="207">
        <f>ROUND(D779*$C779,0)</f>
        <v>1018343</v>
      </c>
      <c r="G779" s="225">
        <v>23.79</v>
      </c>
      <c r="H779" s="210"/>
      <c r="I779" s="207">
        <f t="shared" ref="I779:I783" si="113">ROUND(G779*C779,0)</f>
        <v>1161380</v>
      </c>
      <c r="J779" s="225">
        <f>$J$725</f>
        <v>26.3</v>
      </c>
      <c r="K779" s="210"/>
      <c r="L779" s="207">
        <f>ROUND(J779*$C779,0)</f>
        <v>1283913</v>
      </c>
      <c r="N779" s="54"/>
      <c r="O779" s="54"/>
      <c r="P779" s="109"/>
      <c r="Q779" s="109"/>
      <c r="R779" s="109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</row>
    <row r="780" spans="1:35" hidden="1">
      <c r="A780" s="149" t="s">
        <v>200</v>
      </c>
      <c r="B780" s="136"/>
      <c r="C780" s="205">
        <f>37471</f>
        <v>37471</v>
      </c>
      <c r="D780" s="225">
        <v>14.53</v>
      </c>
      <c r="E780" s="210"/>
      <c r="F780" s="207">
        <f>ROUND(D780*$C780,0)</f>
        <v>544454</v>
      </c>
      <c r="G780" s="225">
        <v>16.559999999999999</v>
      </c>
      <c r="H780" s="210"/>
      <c r="I780" s="207">
        <f t="shared" si="113"/>
        <v>620520</v>
      </c>
      <c r="J780" s="225">
        <f>$J$726</f>
        <v>18.309999999999999</v>
      </c>
      <c r="K780" s="210"/>
      <c r="L780" s="207">
        <f>ROUND(J780*$C780,0)</f>
        <v>686094</v>
      </c>
      <c r="N780" s="54"/>
      <c r="O780" s="54"/>
      <c r="P780" s="109"/>
      <c r="Q780" s="109"/>
      <c r="R780" s="109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</row>
    <row r="781" spans="1:35" hidden="1">
      <c r="A781" s="149" t="s">
        <v>201</v>
      </c>
      <c r="B781" s="136"/>
      <c r="C781" s="205">
        <v>0</v>
      </c>
      <c r="D781" s="225">
        <v>11.340000000000002</v>
      </c>
      <c r="E781" s="210"/>
      <c r="F781" s="207">
        <f>ROUND(D781*$C781,0)</f>
        <v>0</v>
      </c>
      <c r="G781" s="225">
        <v>12.96</v>
      </c>
      <c r="H781" s="210"/>
      <c r="I781" s="207">
        <f t="shared" si="113"/>
        <v>0</v>
      </c>
      <c r="J781" s="225">
        <f>$J$727</f>
        <v>14.33</v>
      </c>
      <c r="K781" s="210"/>
      <c r="L781" s="207">
        <f>ROUND(J781*$C781,0)</f>
        <v>0</v>
      </c>
      <c r="N781" s="54"/>
      <c r="O781" s="54"/>
      <c r="P781" s="109"/>
      <c r="Q781" s="109"/>
      <c r="R781" s="109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</row>
    <row r="782" spans="1:35" hidden="1">
      <c r="A782" s="149" t="s">
        <v>207</v>
      </c>
      <c r="B782" s="136"/>
      <c r="C782" s="205">
        <f>570</f>
        <v>570</v>
      </c>
      <c r="D782" s="225">
        <v>62.58</v>
      </c>
      <c r="E782" s="210"/>
      <c r="F782" s="207">
        <f>ROUND(D782*$C782,0)</f>
        <v>35671</v>
      </c>
      <c r="G782" s="225">
        <v>71.61</v>
      </c>
      <c r="H782" s="210"/>
      <c r="I782" s="207">
        <f t="shared" si="113"/>
        <v>40818</v>
      </c>
      <c r="J782" s="225">
        <f>$J$728</f>
        <v>79.17</v>
      </c>
      <c r="K782" s="210"/>
      <c r="L782" s="207">
        <f>ROUND(J782*$C782,0)</f>
        <v>45127</v>
      </c>
      <c r="N782" s="54"/>
      <c r="O782" s="54"/>
      <c r="P782" s="109"/>
      <c r="Q782" s="109"/>
      <c r="R782" s="109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</row>
    <row r="783" spans="1:35" hidden="1">
      <c r="A783" s="149" t="s">
        <v>208</v>
      </c>
      <c r="B783" s="136"/>
      <c r="C783" s="205">
        <f>1085</f>
        <v>1085</v>
      </c>
      <c r="D783" s="225">
        <v>125.16000000000003</v>
      </c>
      <c r="E783" s="210"/>
      <c r="F783" s="207">
        <f>ROUND(D783*$C783,0)</f>
        <v>135799</v>
      </c>
      <c r="G783" s="225">
        <v>142.74</v>
      </c>
      <c r="H783" s="210"/>
      <c r="I783" s="207">
        <f t="shared" si="113"/>
        <v>154873</v>
      </c>
      <c r="J783" s="225">
        <f>$J$729</f>
        <v>157.80000000000001</v>
      </c>
      <c r="K783" s="210"/>
      <c r="L783" s="207">
        <f>ROUND(J783*$C783,0)</f>
        <v>171213</v>
      </c>
      <c r="N783" s="54"/>
      <c r="O783" s="54"/>
      <c r="P783" s="109"/>
      <c r="Q783" s="109"/>
      <c r="R783" s="109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</row>
    <row r="784" spans="1:35" hidden="1">
      <c r="A784" s="149" t="s">
        <v>209</v>
      </c>
      <c r="B784" s="136"/>
      <c r="C784" s="205"/>
      <c r="D784" s="225"/>
      <c r="E784" s="210"/>
      <c r="F784" s="207"/>
      <c r="G784" s="225"/>
      <c r="H784" s="210"/>
      <c r="I784" s="207"/>
      <c r="J784" s="225"/>
      <c r="K784" s="210"/>
      <c r="L784" s="207"/>
      <c r="N784" s="54"/>
      <c r="O784" s="54"/>
      <c r="P784" s="109"/>
      <c r="Q784" s="109"/>
      <c r="R784" s="109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</row>
    <row r="785" spans="1:37" hidden="1">
      <c r="A785" s="149" t="s">
        <v>205</v>
      </c>
      <c r="B785" s="136"/>
      <c r="C785" s="205">
        <f>48</f>
        <v>48</v>
      </c>
      <c r="D785" s="251">
        <v>-20.86</v>
      </c>
      <c r="E785" s="210"/>
      <c r="F785" s="207">
        <f>ROUND(D785*$C785,0)</f>
        <v>-1001</v>
      </c>
      <c r="G785" s="251">
        <v>-23.87</v>
      </c>
      <c r="H785" s="210"/>
      <c r="I785" s="207">
        <f t="shared" ref="I785:I786" si="114">ROUND(G785*C785,0)</f>
        <v>-1146</v>
      </c>
      <c r="J785" s="251">
        <f>-J777</f>
        <v>-26.39</v>
      </c>
      <c r="K785" s="210"/>
      <c r="L785" s="207">
        <f>ROUND(J785*$C785,0)</f>
        <v>-1267</v>
      </c>
      <c r="N785" s="54"/>
      <c r="O785" s="54"/>
      <c r="P785" s="109"/>
      <c r="Q785" s="109"/>
      <c r="R785" s="109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</row>
    <row r="786" spans="1:37" hidden="1">
      <c r="A786" s="149" t="s">
        <v>210</v>
      </c>
      <c r="B786" s="136"/>
      <c r="C786" s="205">
        <f>561</f>
        <v>561</v>
      </c>
      <c r="D786" s="251">
        <v>-20.860000000000003</v>
      </c>
      <c r="E786" s="210"/>
      <c r="F786" s="207">
        <f>ROUND(D786*$C786,0)</f>
        <v>-11702</v>
      </c>
      <c r="G786" s="251">
        <v>-23.79</v>
      </c>
      <c r="H786" s="210"/>
      <c r="I786" s="207">
        <f t="shared" si="114"/>
        <v>-13346</v>
      </c>
      <c r="J786" s="251">
        <f>-J779</f>
        <v>-26.3</v>
      </c>
      <c r="K786" s="210"/>
      <c r="L786" s="207">
        <f>ROUND(J786*$C786,0)</f>
        <v>-14754</v>
      </c>
      <c r="N786" s="54"/>
      <c r="O786" s="54"/>
      <c r="P786" s="109"/>
      <c r="Q786" s="109"/>
      <c r="R786" s="109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</row>
    <row r="787" spans="1:37" hidden="1">
      <c r="A787" s="209" t="s">
        <v>172</v>
      </c>
      <c r="B787" s="136"/>
      <c r="C787" s="205">
        <f>C788</f>
        <v>145798478.36433661</v>
      </c>
      <c r="D787" s="225"/>
      <c r="E787" s="207"/>
      <c r="F787" s="207"/>
      <c r="G787" s="225"/>
      <c r="H787" s="207"/>
      <c r="I787" s="207"/>
      <c r="J787" s="225"/>
      <c r="K787" s="207"/>
      <c r="L787" s="207"/>
      <c r="N787" s="54"/>
      <c r="O787" s="54"/>
      <c r="P787" s="109"/>
      <c r="Q787" s="109"/>
      <c r="R787" s="109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/>
      <c r="AI787" s="54"/>
    </row>
    <row r="788" spans="1:37" hidden="1">
      <c r="A788" s="149" t="s">
        <v>211</v>
      </c>
      <c r="B788" s="136"/>
      <c r="C788" s="205">
        <v>145798478.36433661</v>
      </c>
      <c r="D788" s="297">
        <v>5.6469999999999994</v>
      </c>
      <c r="E788" s="207" t="s">
        <v>99</v>
      </c>
      <c r="F788" s="207">
        <f>ROUND(D788/100*$C788,0)</f>
        <v>8233240</v>
      </c>
      <c r="G788" s="297">
        <v>6.4390000000000001</v>
      </c>
      <c r="H788" s="207" t="s">
        <v>99</v>
      </c>
      <c r="I788" s="207">
        <f>ROUND(G788/100*C788,0)</f>
        <v>9387964</v>
      </c>
      <c r="J788" s="297">
        <f>$J$734</f>
        <v>4.0259999999999998</v>
      </c>
      <c r="K788" s="207" t="s">
        <v>99</v>
      </c>
      <c r="L788" s="207">
        <f>ROUND(J788/100*$C788,0)</f>
        <v>5869847</v>
      </c>
      <c r="N788" s="54"/>
      <c r="O788" s="54"/>
      <c r="P788" s="109"/>
      <c r="Q788" s="109"/>
      <c r="R788" s="109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</row>
    <row r="789" spans="1:37" hidden="1">
      <c r="A789" s="209" t="s">
        <v>141</v>
      </c>
      <c r="B789" s="136"/>
      <c r="C789" s="148">
        <f>22+15618+29518</f>
        <v>45158</v>
      </c>
      <c r="D789" s="226">
        <v>50</v>
      </c>
      <c r="E789" s="209" t="s">
        <v>99</v>
      </c>
      <c r="F789" s="207">
        <f>ROUND(D789*$C789/100,0)</f>
        <v>22579</v>
      </c>
      <c r="G789" s="226">
        <v>56</v>
      </c>
      <c r="H789" s="209" t="s">
        <v>99</v>
      </c>
      <c r="I789" s="207">
        <f>ROUND(G789/100*C789,0)</f>
        <v>25288</v>
      </c>
      <c r="J789" s="226">
        <f>$J$735</f>
        <v>62</v>
      </c>
      <c r="K789" s="209" t="s">
        <v>99</v>
      </c>
      <c r="L789" s="207">
        <f>ROUND(J789*$C789/100,0)</f>
        <v>27998</v>
      </c>
      <c r="N789" s="54"/>
      <c r="O789" s="54"/>
      <c r="P789" s="109"/>
      <c r="Q789" s="109"/>
      <c r="R789" s="109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</row>
    <row r="790" spans="1:37" hidden="1">
      <c r="A790" s="134" t="s">
        <v>212</v>
      </c>
      <c r="C790" s="125">
        <f>C788</f>
        <v>145798478.36433661</v>
      </c>
      <c r="D790" s="133"/>
      <c r="E790" s="54"/>
      <c r="F790" s="127"/>
      <c r="G790" s="133"/>
      <c r="H790" s="54"/>
      <c r="I790" s="127"/>
      <c r="J790" s="135">
        <f>J736</f>
        <v>3.0939999999999999</v>
      </c>
      <c r="K790" s="207" t="s">
        <v>99</v>
      </c>
      <c r="L790" s="207">
        <f>ROUND(J790*$C790/100,0)</f>
        <v>4511005</v>
      </c>
      <c r="N790" s="128"/>
      <c r="P790" s="93"/>
      <c r="Q790" s="108"/>
      <c r="R790" s="108"/>
      <c r="S790" s="129"/>
      <c r="T790" s="129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K790" s="128"/>
    </row>
    <row r="791" spans="1:37" hidden="1">
      <c r="A791" s="257" t="s">
        <v>148</v>
      </c>
      <c r="B791" s="136"/>
      <c r="C791" s="205"/>
      <c r="D791" s="220">
        <v>-0.01</v>
      </c>
      <c r="E791" s="127"/>
      <c r="F791" s="207"/>
      <c r="G791" s="220">
        <v>-0.01</v>
      </c>
      <c r="H791" s="136"/>
      <c r="I791" s="207"/>
      <c r="J791" s="220">
        <v>-0.01</v>
      </c>
      <c r="K791" s="136"/>
      <c r="L791" s="207"/>
      <c r="N791" s="54"/>
      <c r="O791" s="54"/>
      <c r="P791" s="109"/>
      <c r="Q791" s="109"/>
      <c r="R791" s="109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</row>
    <row r="792" spans="1:37" hidden="1">
      <c r="A792" s="149" t="s">
        <v>132</v>
      </c>
      <c r="B792" s="136"/>
      <c r="C792" s="205">
        <v>0</v>
      </c>
      <c r="D792" s="282">
        <v>0</v>
      </c>
      <c r="E792" s="210"/>
      <c r="F792" s="207">
        <f>ROUND(D792*$C792*$D$738,0)</f>
        <v>0</v>
      </c>
      <c r="G792" s="282">
        <v>0</v>
      </c>
      <c r="H792" s="210"/>
      <c r="I792" s="207">
        <f>ROUND(G792*C792*$G$738,0)</f>
        <v>0</v>
      </c>
      <c r="J792" s="282">
        <f>J768</f>
        <v>0</v>
      </c>
      <c r="K792" s="210"/>
      <c r="L792" s="207">
        <f>ROUND(J792*$C792*$D$738,0)</f>
        <v>0</v>
      </c>
      <c r="N792" s="54"/>
      <c r="O792" s="54"/>
      <c r="P792" s="109"/>
      <c r="Q792" s="109"/>
      <c r="R792" s="109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</row>
    <row r="793" spans="1:37" hidden="1">
      <c r="A793" s="149" t="s">
        <v>133</v>
      </c>
      <c r="B793" s="136"/>
      <c r="C793" s="205"/>
      <c r="D793" s="282"/>
      <c r="E793" s="210"/>
      <c r="F793" s="207"/>
      <c r="G793" s="282"/>
      <c r="H793" s="210"/>
      <c r="I793" s="207"/>
      <c r="J793" s="282"/>
      <c r="K793" s="210"/>
      <c r="L793" s="207"/>
      <c r="N793" s="54"/>
      <c r="O793" s="54"/>
      <c r="P793" s="109"/>
      <c r="Q793" s="109"/>
      <c r="R793" s="109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</row>
    <row r="794" spans="1:37" hidden="1">
      <c r="A794" s="149" t="s">
        <v>199</v>
      </c>
      <c r="B794" s="136"/>
      <c r="C794" s="205">
        <v>0</v>
      </c>
      <c r="D794" s="282">
        <v>0</v>
      </c>
      <c r="E794" s="210"/>
      <c r="F794" s="207">
        <f>ROUND(D794*$C794*$D$738,0)</f>
        <v>0</v>
      </c>
      <c r="G794" s="282">
        <v>0</v>
      </c>
      <c r="H794" s="210"/>
      <c r="I794" s="207">
        <f t="shared" ref="I794:I797" si="115">ROUND(G794*C794*$G$738,0)</f>
        <v>0</v>
      </c>
      <c r="J794" s="282">
        <f>J770</f>
        <v>0</v>
      </c>
      <c r="K794" s="210"/>
      <c r="L794" s="207">
        <f>ROUND(J794*$C794*$D$738,0)</f>
        <v>0</v>
      </c>
      <c r="N794" s="54"/>
      <c r="O794" s="54"/>
      <c r="P794" s="109"/>
      <c r="Q794" s="109"/>
      <c r="R794" s="109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</row>
    <row r="795" spans="1:37" hidden="1">
      <c r="A795" s="149" t="s">
        <v>200</v>
      </c>
      <c r="B795" s="136"/>
      <c r="C795" s="205">
        <v>0</v>
      </c>
      <c r="D795" s="282">
        <v>312</v>
      </c>
      <c r="E795" s="210"/>
      <c r="F795" s="207">
        <f>ROUND(D795*$C795*$D$738,0)</f>
        <v>0</v>
      </c>
      <c r="G795" s="282">
        <v>357</v>
      </c>
      <c r="H795" s="210"/>
      <c r="I795" s="207">
        <f t="shared" si="115"/>
        <v>0</v>
      </c>
      <c r="J795" s="282">
        <f>J771</f>
        <v>395</v>
      </c>
      <c r="K795" s="210"/>
      <c r="L795" s="207">
        <f>ROUND(J795*$C795*$D$738,0)</f>
        <v>0</v>
      </c>
      <c r="N795" s="54"/>
      <c r="O795" s="54"/>
      <c r="P795" s="109"/>
      <c r="Q795" s="109"/>
      <c r="R795" s="109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</row>
    <row r="796" spans="1:37" hidden="1">
      <c r="A796" s="149" t="s">
        <v>201</v>
      </c>
      <c r="B796" s="136"/>
      <c r="C796" s="205">
        <v>0</v>
      </c>
      <c r="D796" s="282">
        <v>1268</v>
      </c>
      <c r="E796" s="210"/>
      <c r="F796" s="207">
        <f>ROUND(D796*$C796*$D$738,0)</f>
        <v>0</v>
      </c>
      <c r="G796" s="282">
        <v>1457</v>
      </c>
      <c r="H796" s="210"/>
      <c r="I796" s="207">
        <f t="shared" si="115"/>
        <v>0</v>
      </c>
      <c r="J796" s="282">
        <f>J772</f>
        <v>1611</v>
      </c>
      <c r="K796" s="210"/>
      <c r="L796" s="207">
        <f>ROUND(J796*$C796*$D$738,0)</f>
        <v>0</v>
      </c>
      <c r="N796" s="54"/>
      <c r="O796" s="54"/>
      <c r="P796" s="109"/>
      <c r="Q796" s="109"/>
      <c r="R796" s="109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</row>
    <row r="797" spans="1:37" hidden="1">
      <c r="A797" s="149" t="s">
        <v>132</v>
      </c>
      <c r="B797" s="136"/>
      <c r="C797" s="205">
        <v>0</v>
      </c>
      <c r="D797" s="282">
        <v>20.86</v>
      </c>
      <c r="E797" s="210"/>
      <c r="F797" s="207">
        <f>ROUND(D797*$C797*$D$738,0)</f>
        <v>0</v>
      </c>
      <c r="G797" s="282">
        <v>23.87</v>
      </c>
      <c r="H797" s="210"/>
      <c r="I797" s="207">
        <f t="shared" si="115"/>
        <v>0</v>
      </c>
      <c r="J797" s="282">
        <f>J777</f>
        <v>26.39</v>
      </c>
      <c r="K797" s="210"/>
      <c r="L797" s="207">
        <f>ROUND(J797*$C797*$D$738,0)</f>
        <v>0</v>
      </c>
      <c r="N797" s="54"/>
      <c r="O797" s="54"/>
      <c r="P797" s="109"/>
      <c r="Q797" s="109"/>
      <c r="R797" s="109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</row>
    <row r="798" spans="1:37" hidden="1">
      <c r="A798" s="149" t="s">
        <v>133</v>
      </c>
      <c r="B798" s="136"/>
      <c r="C798" s="205"/>
      <c r="D798" s="282"/>
      <c r="E798" s="210"/>
      <c r="F798" s="207"/>
      <c r="G798" s="282"/>
      <c r="H798" s="210"/>
      <c r="I798" s="207"/>
      <c r="J798" s="282"/>
      <c r="K798" s="210"/>
      <c r="L798" s="207"/>
      <c r="N798" s="54"/>
      <c r="O798" s="54"/>
      <c r="P798" s="109"/>
      <c r="Q798" s="109"/>
      <c r="R798" s="109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</row>
    <row r="799" spans="1:37" hidden="1">
      <c r="A799" s="149" t="s">
        <v>199</v>
      </c>
      <c r="B799" s="136"/>
      <c r="C799" s="205">
        <v>0</v>
      </c>
      <c r="D799" s="282">
        <v>20.860000000000003</v>
      </c>
      <c r="E799" s="210"/>
      <c r="F799" s="207">
        <f>ROUND(D799*$C799*$D$738,0)</f>
        <v>0</v>
      </c>
      <c r="G799" s="282">
        <v>23.79</v>
      </c>
      <c r="H799" s="210"/>
      <c r="I799" s="207">
        <f t="shared" ref="I799:I803" si="116">ROUND(G799*C799*$G$738,0)</f>
        <v>0</v>
      </c>
      <c r="J799" s="282">
        <f>J779</f>
        <v>26.3</v>
      </c>
      <c r="K799" s="210"/>
      <c r="L799" s="207">
        <f>ROUND(J799*$C799*$D$738,0)</f>
        <v>0</v>
      </c>
      <c r="N799" s="54"/>
      <c r="O799" s="54"/>
      <c r="P799" s="109"/>
      <c r="Q799" s="109"/>
      <c r="R799" s="109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</row>
    <row r="800" spans="1:37" hidden="1">
      <c r="A800" s="149" t="s">
        <v>200</v>
      </c>
      <c r="B800" s="136"/>
      <c r="C800" s="205">
        <v>0</v>
      </c>
      <c r="D800" s="282">
        <v>14.53</v>
      </c>
      <c r="E800" s="210"/>
      <c r="F800" s="207">
        <f>ROUND(D800*$C800*$D$738,0)</f>
        <v>0</v>
      </c>
      <c r="G800" s="282">
        <v>16.559999999999999</v>
      </c>
      <c r="H800" s="210"/>
      <c r="I800" s="207">
        <f t="shared" si="116"/>
        <v>0</v>
      </c>
      <c r="J800" s="282">
        <f>J780</f>
        <v>18.309999999999999</v>
      </c>
      <c r="K800" s="210"/>
      <c r="L800" s="207">
        <f>ROUND(J800*$C800*$D$738,0)</f>
        <v>0</v>
      </c>
      <c r="N800" s="54"/>
      <c r="O800" s="54"/>
      <c r="P800" s="109"/>
      <c r="Q800" s="109"/>
      <c r="R800" s="109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</row>
    <row r="801" spans="1:37" hidden="1">
      <c r="A801" s="149" t="s">
        <v>201</v>
      </c>
      <c r="B801" s="136"/>
      <c r="C801" s="205">
        <v>0</v>
      </c>
      <c r="D801" s="282">
        <v>11.340000000000002</v>
      </c>
      <c r="E801" s="210"/>
      <c r="F801" s="207">
        <f>ROUND(D801*$C801*$D$738,0)</f>
        <v>0</v>
      </c>
      <c r="G801" s="282">
        <v>12.96</v>
      </c>
      <c r="H801" s="210"/>
      <c r="I801" s="207">
        <f t="shared" si="116"/>
        <v>0</v>
      </c>
      <c r="J801" s="282">
        <f>J781</f>
        <v>14.33</v>
      </c>
      <c r="K801" s="210"/>
      <c r="L801" s="207">
        <f>ROUND(J801*$C801*$D$738,0)</f>
        <v>0</v>
      </c>
      <c r="N801" s="54"/>
      <c r="O801" s="54"/>
      <c r="P801" s="109"/>
      <c r="Q801" s="109"/>
      <c r="R801" s="109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</row>
    <row r="802" spans="1:37" hidden="1">
      <c r="A802" s="149" t="s">
        <v>214</v>
      </c>
      <c r="B802" s="136"/>
      <c r="C802" s="205">
        <v>0</v>
      </c>
      <c r="D802" s="251">
        <v>62.58</v>
      </c>
      <c r="E802" s="210"/>
      <c r="F802" s="207">
        <f>ROUND(D802*$C802*$D$738,0)</f>
        <v>0</v>
      </c>
      <c r="G802" s="251">
        <v>71.61</v>
      </c>
      <c r="H802" s="210"/>
      <c r="I802" s="207">
        <f t="shared" si="116"/>
        <v>0</v>
      </c>
      <c r="J802" s="251">
        <f>J782</f>
        <v>79.17</v>
      </c>
      <c r="K802" s="210"/>
      <c r="L802" s="207">
        <f>ROUND(J802*$C802*$D$738,0)</f>
        <v>0</v>
      </c>
      <c r="N802" s="54"/>
      <c r="O802" s="54"/>
      <c r="P802" s="109"/>
      <c r="Q802" s="109"/>
      <c r="R802" s="109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</row>
    <row r="803" spans="1:37" hidden="1">
      <c r="A803" s="149" t="s">
        <v>215</v>
      </c>
      <c r="B803" s="136"/>
      <c r="C803" s="205">
        <v>0</v>
      </c>
      <c r="D803" s="251">
        <v>125.16000000000003</v>
      </c>
      <c r="E803" s="210"/>
      <c r="F803" s="207">
        <f>ROUND(D803*$C803*$D$738,0)</f>
        <v>0</v>
      </c>
      <c r="G803" s="251">
        <v>142.74</v>
      </c>
      <c r="H803" s="210"/>
      <c r="I803" s="207">
        <f t="shared" si="116"/>
        <v>0</v>
      </c>
      <c r="J803" s="251">
        <f>J783</f>
        <v>157.80000000000001</v>
      </c>
      <c r="K803" s="210"/>
      <c r="L803" s="207">
        <f>ROUND(J803*$C803*$D$738,0)</f>
        <v>0</v>
      </c>
      <c r="N803" s="54"/>
      <c r="O803" s="54"/>
      <c r="P803" s="109"/>
      <c r="Q803" s="109"/>
      <c r="R803" s="109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</row>
    <row r="804" spans="1:37" hidden="1">
      <c r="A804" s="149" t="s">
        <v>209</v>
      </c>
      <c r="B804" s="136"/>
      <c r="C804" s="205"/>
      <c r="D804" s="225"/>
      <c r="E804" s="210"/>
      <c r="F804" s="207"/>
      <c r="G804" s="225"/>
      <c r="H804" s="210"/>
      <c r="I804" s="207"/>
      <c r="J804" s="225"/>
      <c r="K804" s="210"/>
      <c r="L804" s="207"/>
      <c r="N804" s="54"/>
      <c r="O804" s="54"/>
      <c r="P804" s="109"/>
      <c r="Q804" s="109"/>
      <c r="R804" s="109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</row>
    <row r="805" spans="1:37" hidden="1">
      <c r="A805" s="149" t="s">
        <v>205</v>
      </c>
      <c r="B805" s="136"/>
      <c r="C805" s="205">
        <v>0</v>
      </c>
      <c r="D805" s="251">
        <v>-20.86</v>
      </c>
      <c r="E805" s="210"/>
      <c r="F805" s="207">
        <f>ROUND(D805*$C805*$D$738,0)</f>
        <v>0</v>
      </c>
      <c r="G805" s="251">
        <v>-23.87</v>
      </c>
      <c r="H805" s="210"/>
      <c r="I805" s="207">
        <f t="shared" ref="I805:I806" si="117">ROUND(G805*C805*$G$738,0)</f>
        <v>0</v>
      </c>
      <c r="J805" s="251">
        <f>J785</f>
        <v>-26.39</v>
      </c>
      <c r="K805" s="210"/>
      <c r="L805" s="207">
        <f>ROUND(J805*$C805*$D$738,0)</f>
        <v>0</v>
      </c>
      <c r="N805" s="54"/>
      <c r="O805" s="54"/>
      <c r="P805" s="109"/>
      <c r="Q805" s="109"/>
      <c r="R805" s="109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</row>
    <row r="806" spans="1:37" hidden="1">
      <c r="A806" s="149" t="s">
        <v>210</v>
      </c>
      <c r="B806" s="136"/>
      <c r="C806" s="205">
        <v>0</v>
      </c>
      <c r="D806" s="251">
        <v>-20.860000000000003</v>
      </c>
      <c r="E806" s="210"/>
      <c r="F806" s="207">
        <f>ROUND(D806*$C806*$D$738,0)</f>
        <v>0</v>
      </c>
      <c r="G806" s="251">
        <v>-23.79</v>
      </c>
      <c r="H806" s="210"/>
      <c r="I806" s="207">
        <f t="shared" si="117"/>
        <v>0</v>
      </c>
      <c r="J806" s="251">
        <f>J786</f>
        <v>-26.3</v>
      </c>
      <c r="K806" s="210"/>
      <c r="L806" s="207">
        <f>ROUND(J806*$C806*$D$738,0)</f>
        <v>0</v>
      </c>
      <c r="N806" s="54"/>
      <c r="O806" s="54"/>
      <c r="P806" s="109"/>
      <c r="Q806" s="109"/>
      <c r="R806" s="109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</row>
    <row r="807" spans="1:37" hidden="1">
      <c r="A807" s="209" t="s">
        <v>172</v>
      </c>
      <c r="B807" s="136"/>
      <c r="C807" s="205"/>
      <c r="D807" s="282"/>
      <c r="E807" s="207"/>
      <c r="F807" s="207"/>
      <c r="G807" s="282"/>
      <c r="H807" s="207"/>
      <c r="I807" s="207"/>
      <c r="J807" s="282"/>
      <c r="K807" s="207"/>
      <c r="L807" s="207"/>
      <c r="N807" s="54"/>
      <c r="O807" s="54"/>
      <c r="P807" s="109"/>
      <c r="Q807" s="109"/>
      <c r="R807" s="109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</row>
    <row r="808" spans="1:37" hidden="1">
      <c r="A808" s="149" t="s">
        <v>211</v>
      </c>
      <c r="B808" s="136"/>
      <c r="C808" s="205">
        <v>0</v>
      </c>
      <c r="D808" s="292">
        <v>5.6469999999999994</v>
      </c>
      <c r="E808" s="207" t="s">
        <v>99</v>
      </c>
      <c r="F808" s="207">
        <f>ROUND(D808/100*$C808*$D$738,0)</f>
        <v>0</v>
      </c>
      <c r="G808" s="292">
        <v>6.4390000000000001</v>
      </c>
      <c r="H808" s="207" t="s">
        <v>99</v>
      </c>
      <c r="I808" s="207">
        <f t="shared" ref="I808:I809" si="118">ROUND(G808*C808,0)</f>
        <v>0</v>
      </c>
      <c r="J808" s="292">
        <f>J788</f>
        <v>4.0259999999999998</v>
      </c>
      <c r="K808" s="207" t="s">
        <v>99</v>
      </c>
      <c r="L808" s="207">
        <f>ROUND(J808/100*$C808*$D$738,0)</f>
        <v>0</v>
      </c>
      <c r="N808" s="54"/>
      <c r="O808" s="54"/>
      <c r="P808" s="109"/>
      <c r="Q808" s="109"/>
      <c r="R808" s="109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</row>
    <row r="809" spans="1:37" hidden="1">
      <c r="A809" s="209" t="s">
        <v>141</v>
      </c>
      <c r="B809" s="136"/>
      <c r="C809" s="205">
        <v>0</v>
      </c>
      <c r="D809" s="260">
        <v>50</v>
      </c>
      <c r="E809" s="207" t="s">
        <v>99</v>
      </c>
      <c r="F809" s="207">
        <f>ROUND(D809/100*$C809*$D$738,0)</f>
        <v>0</v>
      </c>
      <c r="G809" s="260">
        <v>56</v>
      </c>
      <c r="H809" s="209" t="s">
        <v>99</v>
      </c>
      <c r="I809" s="207">
        <f t="shared" si="118"/>
        <v>0</v>
      </c>
      <c r="J809" s="260">
        <f>J789</f>
        <v>62</v>
      </c>
      <c r="K809" s="209" t="s">
        <v>99</v>
      </c>
      <c r="L809" s="207">
        <f>ROUND(J809/100*$C809*$D$738,0)</f>
        <v>0</v>
      </c>
      <c r="N809" s="54"/>
      <c r="O809" s="54"/>
      <c r="P809" s="109"/>
      <c r="Q809" s="109"/>
      <c r="R809" s="109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</row>
    <row r="810" spans="1:37" hidden="1">
      <c r="A810" s="209" t="s">
        <v>190</v>
      </c>
      <c r="B810" s="136"/>
      <c r="C810" s="205">
        <v>0</v>
      </c>
      <c r="D810" s="172">
        <v>60</v>
      </c>
      <c r="E810" s="262" t="s">
        <v>0</v>
      </c>
      <c r="F810" s="207">
        <f>ROUND(D810*$C810,0)</f>
        <v>0</v>
      </c>
      <c r="G810" s="172">
        <v>60</v>
      </c>
      <c r="H810" s="136"/>
      <c r="I810" s="207">
        <f t="shared" ref="I810:I811" si="119">ROUND(G810/100*C810*$G$738,0)</f>
        <v>0</v>
      </c>
      <c r="J810" s="172">
        <f>$J$757</f>
        <v>60</v>
      </c>
      <c r="K810" s="136"/>
      <c r="L810" s="207">
        <f>ROUND(J810*$C810,0)</f>
        <v>0</v>
      </c>
      <c r="N810" s="54"/>
      <c r="O810" s="54"/>
      <c r="P810" s="109"/>
      <c r="Q810" s="109"/>
      <c r="R810" s="109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</row>
    <row r="811" spans="1:37" hidden="1">
      <c r="A811" s="209" t="s">
        <v>191</v>
      </c>
      <c r="B811" s="136"/>
      <c r="C811" s="205">
        <v>0</v>
      </c>
      <c r="D811" s="226">
        <v>-30</v>
      </c>
      <c r="E811" s="207" t="s">
        <v>99</v>
      </c>
      <c r="F811" s="207">
        <f>ROUND(D811*$C811,0)</f>
        <v>0</v>
      </c>
      <c r="G811" s="226">
        <v>-30</v>
      </c>
      <c r="H811" s="207" t="s">
        <v>99</v>
      </c>
      <c r="I811" s="207">
        <f t="shared" si="119"/>
        <v>0</v>
      </c>
      <c r="J811" s="226">
        <f>$J$758</f>
        <v>-30</v>
      </c>
      <c r="K811" s="207" t="s">
        <v>99</v>
      </c>
      <c r="L811" s="207">
        <f>ROUND(J811*$C811,0)</f>
        <v>0</v>
      </c>
      <c r="N811" s="54"/>
      <c r="O811" s="54"/>
      <c r="P811" s="109"/>
      <c r="Q811" s="109"/>
      <c r="R811" s="109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</row>
    <row r="812" spans="1:37" hidden="1">
      <c r="A812" s="134" t="s">
        <v>212</v>
      </c>
      <c r="C812" s="125">
        <f>C808</f>
        <v>0</v>
      </c>
      <c r="D812" s="133"/>
      <c r="E812" s="54"/>
      <c r="F812" s="127"/>
      <c r="G812" s="133"/>
      <c r="H812" s="54"/>
      <c r="I812" s="127"/>
      <c r="J812" s="135">
        <f>J759</f>
        <v>3.0939999999999999</v>
      </c>
      <c r="K812" s="207" t="s">
        <v>99</v>
      </c>
      <c r="L812" s="207">
        <f>ROUND(J812*$C812,0)</f>
        <v>0</v>
      </c>
      <c r="N812" s="128"/>
      <c r="P812" s="93"/>
      <c r="Q812" s="108"/>
      <c r="R812" s="108"/>
      <c r="S812" s="129"/>
      <c r="T812" s="129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K812" s="128"/>
    </row>
    <row r="813" spans="1:37" hidden="1">
      <c r="A813" s="136" t="s">
        <v>122</v>
      </c>
      <c r="B813" s="136"/>
      <c r="C813" s="205">
        <f>SUM(C788:C788)</f>
        <v>145798478.36433661</v>
      </c>
      <c r="D813" s="215"/>
      <c r="E813" s="127"/>
      <c r="F813" s="127">
        <f>SUM(F768:F811)</f>
        <v>10158364</v>
      </c>
      <c r="G813" s="215"/>
      <c r="H813" s="209"/>
      <c r="I813" s="127">
        <f>SUM(I768:I811)</f>
        <v>11583439</v>
      </c>
      <c r="J813" s="215"/>
      <c r="K813" s="209"/>
      <c r="L813" s="127">
        <f>SUM(L768:L812)</f>
        <v>12808249</v>
      </c>
      <c r="N813" s="54"/>
      <c r="O813" s="54"/>
      <c r="P813" s="109"/>
      <c r="Q813" s="109"/>
      <c r="R813" s="109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</row>
    <row r="814" spans="1:37" hidden="1">
      <c r="A814" s="136" t="s">
        <v>102</v>
      </c>
      <c r="B814" s="136"/>
      <c r="C814" s="246">
        <v>2272009.0196180283</v>
      </c>
      <c r="D814" s="149"/>
      <c r="E814" s="149"/>
      <c r="F814" s="192" t="e">
        <f>#REF!</f>
        <v>#REF!</v>
      </c>
      <c r="G814" s="149"/>
      <c r="H814" s="149"/>
      <c r="I814" s="192">
        <v>277909.20330886031</v>
      </c>
      <c r="J814" s="149"/>
      <c r="K814" s="149"/>
      <c r="L814" s="192">
        <f>I814</f>
        <v>277909.20330886031</v>
      </c>
      <c r="N814" s="164"/>
      <c r="O814" s="164"/>
      <c r="P814" s="162"/>
      <c r="Q814" s="109"/>
      <c r="R814" s="109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</row>
    <row r="815" spans="1:37" ht="16.5" hidden="1" thickBot="1">
      <c r="A815" s="136" t="s">
        <v>123</v>
      </c>
      <c r="B815" s="136"/>
      <c r="C815" s="263">
        <f>SUM(C813:C814)</f>
        <v>148070487.38395464</v>
      </c>
      <c r="D815" s="231"/>
      <c r="E815" s="232"/>
      <c r="F815" s="233" t="e">
        <f>F813+F814</f>
        <v>#REF!</v>
      </c>
      <c r="G815" s="231"/>
      <c r="H815" s="235"/>
      <c r="I815" s="233">
        <f>I813+I814</f>
        <v>11861348.20330886</v>
      </c>
      <c r="J815" s="231"/>
      <c r="K815" s="235"/>
      <c r="L815" s="233">
        <f>L813+L814</f>
        <v>13086158.20330886</v>
      </c>
      <c r="N815" s="165"/>
      <c r="O815" s="165"/>
      <c r="P815" s="166"/>
      <c r="Q815" s="109"/>
      <c r="R815" s="109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</row>
    <row r="816" spans="1:37" hidden="1">
      <c r="A816" s="136"/>
      <c r="B816" s="136"/>
      <c r="C816" s="294"/>
      <c r="D816" s="248"/>
      <c r="E816" s="249"/>
      <c r="F816" s="208"/>
      <c r="G816" s="248" t="s">
        <v>0</v>
      </c>
      <c r="H816" s="250"/>
      <c r="I816" s="208"/>
      <c r="J816" s="295" t="s">
        <v>0</v>
      </c>
      <c r="K816" s="250"/>
      <c r="L816" s="139" t="s">
        <v>0</v>
      </c>
      <c r="N816" s="54"/>
      <c r="O816" s="54"/>
      <c r="P816" s="109"/>
      <c r="Q816" s="109"/>
      <c r="R816" s="109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</row>
    <row r="817" spans="1:35" hidden="1">
      <c r="A817" s="167" t="s">
        <v>216</v>
      </c>
      <c r="B817" s="136"/>
      <c r="C817" s="168"/>
      <c r="D817" s="225"/>
      <c r="E817" s="127"/>
      <c r="F817" s="127"/>
      <c r="G817" s="225"/>
      <c r="H817" s="136"/>
      <c r="I817" s="127"/>
      <c r="J817" s="225"/>
      <c r="K817" s="136"/>
      <c r="L817" s="127"/>
      <c r="N817" s="54"/>
      <c r="O817" s="54"/>
      <c r="P817" s="109"/>
      <c r="Q817" s="109"/>
      <c r="R817" s="109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</row>
    <row r="818" spans="1:35" hidden="1">
      <c r="A818" s="149" t="s">
        <v>217</v>
      </c>
      <c r="B818" s="136"/>
      <c r="C818" s="168"/>
      <c r="D818" s="225"/>
      <c r="E818" s="127"/>
      <c r="F818" s="127"/>
      <c r="G818" s="225"/>
      <c r="H818" s="136"/>
      <c r="I818" s="127"/>
      <c r="J818" s="225"/>
      <c r="K818" s="136"/>
      <c r="L818" s="127"/>
      <c r="N818" s="54"/>
      <c r="O818" s="54"/>
      <c r="P818" s="109"/>
      <c r="Q818" s="109"/>
      <c r="R818" s="109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</row>
    <row r="819" spans="1:35" hidden="1">
      <c r="A819" s="209"/>
      <c r="B819" s="136"/>
      <c r="C819" s="168"/>
      <c r="D819" s="225"/>
      <c r="E819" s="127"/>
      <c r="F819" s="282"/>
      <c r="G819" s="225"/>
      <c r="H819" s="136"/>
      <c r="I819" s="282"/>
      <c r="J819" s="225"/>
      <c r="K819" s="136"/>
      <c r="L819" s="283"/>
      <c r="N819" s="54"/>
      <c r="O819" s="54"/>
      <c r="P819" s="109"/>
      <c r="Q819" s="109"/>
      <c r="R819" s="109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</row>
    <row r="820" spans="1:35" hidden="1">
      <c r="A820" s="149" t="s">
        <v>196</v>
      </c>
      <c r="B820" s="136"/>
      <c r="C820" s="205"/>
      <c r="D820" s="127" t="s">
        <v>0</v>
      </c>
      <c r="E820" s="127"/>
      <c r="F820" s="136"/>
      <c r="G820" s="127" t="s">
        <v>0</v>
      </c>
      <c r="H820" s="136"/>
      <c r="I820" s="136"/>
      <c r="J820" s="127" t="s">
        <v>0</v>
      </c>
      <c r="K820" s="136"/>
      <c r="L820" s="136"/>
      <c r="N820" s="54"/>
      <c r="O820" s="54"/>
      <c r="P820" s="109"/>
      <c r="Q820" s="109"/>
      <c r="R820" s="109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</row>
    <row r="821" spans="1:35" hidden="1">
      <c r="A821" s="149" t="s">
        <v>197</v>
      </c>
      <c r="B821" s="136"/>
      <c r="C821" s="205">
        <f>64</f>
        <v>64</v>
      </c>
      <c r="D821" s="225">
        <v>0</v>
      </c>
      <c r="E821" s="210"/>
      <c r="F821" s="207">
        <f>ROUND(D821*$C821,0)</f>
        <v>0</v>
      </c>
      <c r="G821" s="225">
        <v>0</v>
      </c>
      <c r="H821" s="210"/>
      <c r="I821" s="207">
        <f>ROUND(G821*C821,0)</f>
        <v>0</v>
      </c>
      <c r="J821" s="225">
        <f>$J$714</f>
        <v>0</v>
      </c>
      <c r="K821" s="210"/>
      <c r="L821" s="207">
        <f>ROUND(J821*$C821,0)</f>
        <v>0</v>
      </c>
      <c r="N821" s="54"/>
      <c r="O821" s="54"/>
      <c r="P821" s="109"/>
      <c r="Q821" s="109"/>
      <c r="R821" s="109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</row>
    <row r="822" spans="1:35" hidden="1">
      <c r="A822" s="149" t="s">
        <v>198</v>
      </c>
      <c r="B822" s="136"/>
      <c r="C822" s="205"/>
      <c r="D822" s="225"/>
      <c r="E822" s="210"/>
      <c r="F822" s="207"/>
      <c r="G822" s="225"/>
      <c r="H822" s="210"/>
      <c r="I822" s="207"/>
      <c r="J822" s="225"/>
      <c r="K822" s="210"/>
      <c r="L822" s="207"/>
      <c r="N822" s="54"/>
      <c r="O822" s="54"/>
      <c r="P822" s="109"/>
      <c r="Q822" s="109"/>
      <c r="R822" s="109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</row>
    <row r="823" spans="1:35" hidden="1">
      <c r="A823" s="149" t="s">
        <v>199</v>
      </c>
      <c r="B823" s="136"/>
      <c r="C823" s="205">
        <f>120</f>
        <v>120</v>
      </c>
      <c r="D823" s="225">
        <v>0</v>
      </c>
      <c r="E823" s="210"/>
      <c r="F823" s="207">
        <f>ROUND(D823*$C823,0)</f>
        <v>0</v>
      </c>
      <c r="G823" s="225">
        <v>0</v>
      </c>
      <c r="H823" s="210"/>
      <c r="I823" s="207">
        <f t="shared" ref="I823:I825" si="120">ROUND(G823*C823,0)</f>
        <v>0</v>
      </c>
      <c r="J823" s="225">
        <f>$J$716</f>
        <v>0</v>
      </c>
      <c r="K823" s="210"/>
      <c r="L823" s="207">
        <f>ROUND(J823*$C823,0)</f>
        <v>0</v>
      </c>
      <c r="N823" s="54"/>
      <c r="O823" s="54"/>
      <c r="P823" s="109"/>
      <c r="Q823" s="109"/>
      <c r="R823" s="109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</row>
    <row r="824" spans="1:35" hidden="1">
      <c r="A824" s="149" t="s">
        <v>200</v>
      </c>
      <c r="B824" s="136"/>
      <c r="C824" s="205">
        <f>11</f>
        <v>11</v>
      </c>
      <c r="D824" s="225">
        <v>312</v>
      </c>
      <c r="E824" s="210"/>
      <c r="F824" s="207">
        <f>ROUND(D824*$C824,0)</f>
        <v>3432</v>
      </c>
      <c r="G824" s="225">
        <v>357</v>
      </c>
      <c r="H824" s="210"/>
      <c r="I824" s="207">
        <f t="shared" si="120"/>
        <v>3927</v>
      </c>
      <c r="J824" s="225">
        <f>$J$717</f>
        <v>395</v>
      </c>
      <c r="K824" s="210"/>
      <c r="L824" s="207">
        <f>ROUND(J824*$C824,0)</f>
        <v>4345</v>
      </c>
      <c r="N824" s="54"/>
      <c r="O824" s="54"/>
      <c r="P824" s="109"/>
      <c r="Q824" s="109"/>
      <c r="R824" s="109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</row>
    <row r="825" spans="1:35" hidden="1">
      <c r="A825" s="149" t="s">
        <v>201</v>
      </c>
      <c r="B825" s="136"/>
      <c r="C825" s="205">
        <v>0</v>
      </c>
      <c r="D825" s="225">
        <v>1268</v>
      </c>
      <c r="E825" s="210"/>
      <c r="F825" s="207">
        <f>ROUND(D825*$C825,0)</f>
        <v>0</v>
      </c>
      <c r="G825" s="225">
        <v>1457</v>
      </c>
      <c r="H825" s="210"/>
      <c r="I825" s="207">
        <f t="shared" si="120"/>
        <v>0</v>
      </c>
      <c r="J825" s="225">
        <f>$J$718</f>
        <v>1611</v>
      </c>
      <c r="K825" s="210"/>
      <c r="L825" s="207">
        <f>ROUND(J825*$C825,0)</f>
        <v>0</v>
      </c>
      <c r="N825" s="54"/>
      <c r="O825" s="54"/>
      <c r="P825" s="109"/>
      <c r="Q825" s="109"/>
      <c r="R825" s="109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</row>
    <row r="826" spans="1:35" hidden="1">
      <c r="A826" s="149" t="s">
        <v>100</v>
      </c>
      <c r="B826" s="136"/>
      <c r="C826" s="205">
        <f>SUM(C821:C825)</f>
        <v>195</v>
      </c>
      <c r="D826" s="225"/>
      <c r="E826" s="210"/>
      <c r="F826" s="207"/>
      <c r="G826" s="225"/>
      <c r="H826" s="210"/>
      <c r="I826" s="207"/>
      <c r="J826" s="225"/>
      <c r="K826" s="210"/>
      <c r="L826" s="207"/>
      <c r="N826" s="54"/>
      <c r="O826" s="54"/>
      <c r="P826" s="109"/>
      <c r="Q826" s="109"/>
      <c r="R826" s="109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</row>
    <row r="827" spans="1:35" hidden="1">
      <c r="A827" s="149" t="s">
        <v>202</v>
      </c>
      <c r="B827" s="136"/>
      <c r="C827" s="205">
        <f>514+1058+102</f>
        <v>1674</v>
      </c>
      <c r="D827" s="225"/>
      <c r="E827" s="207"/>
      <c r="F827" s="207"/>
      <c r="G827" s="225"/>
      <c r="H827" s="207"/>
      <c r="I827" s="207"/>
      <c r="J827" s="225"/>
      <c r="K827" s="207"/>
      <c r="L827" s="207"/>
      <c r="N827" s="54"/>
      <c r="O827" s="54"/>
      <c r="P827" s="109"/>
      <c r="Q827" s="109"/>
      <c r="R827" s="109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</row>
    <row r="828" spans="1:35" hidden="1">
      <c r="A828" s="149" t="s">
        <v>203</v>
      </c>
      <c r="B828" s="136"/>
      <c r="C828" s="205">
        <f>71+142+13</f>
        <v>226</v>
      </c>
      <c r="D828" s="225"/>
      <c r="E828" s="207"/>
      <c r="F828" s="207"/>
      <c r="G828" s="225"/>
      <c r="H828" s="207"/>
      <c r="I828" s="207"/>
      <c r="J828" s="225"/>
      <c r="K828" s="207"/>
      <c r="L828" s="207"/>
      <c r="N828" s="54"/>
      <c r="O828" s="54"/>
      <c r="P828" s="109"/>
      <c r="Q828" s="109"/>
      <c r="R828" s="109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</row>
    <row r="829" spans="1:35" hidden="1">
      <c r="A829" s="149" t="s">
        <v>204</v>
      </c>
      <c r="B829" s="136"/>
      <c r="C829" s="205"/>
      <c r="D829" s="225"/>
      <c r="E829" s="210"/>
      <c r="F829" s="207"/>
      <c r="G829" s="225"/>
      <c r="H829" s="210"/>
      <c r="I829" s="207"/>
      <c r="J829" s="225"/>
      <c r="K829" s="210"/>
      <c r="L829" s="207"/>
      <c r="N829" s="54"/>
      <c r="O829" s="54"/>
      <c r="P829" s="109"/>
      <c r="Q829" s="109"/>
      <c r="R829" s="109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/>
      <c r="AI829" s="54"/>
    </row>
    <row r="830" spans="1:35" hidden="1">
      <c r="A830" s="149" t="s">
        <v>205</v>
      </c>
      <c r="B830" s="136"/>
      <c r="C830" s="205">
        <f>207</f>
        <v>207</v>
      </c>
      <c r="D830" s="225">
        <v>20.86</v>
      </c>
      <c r="E830" s="210"/>
      <c r="F830" s="207">
        <f>ROUND(D830*$C830,0)</f>
        <v>4318</v>
      </c>
      <c r="G830" s="225">
        <v>23.87</v>
      </c>
      <c r="H830" s="210"/>
      <c r="I830" s="207">
        <f>ROUND(G830*C830,0)</f>
        <v>4941</v>
      </c>
      <c r="J830" s="225">
        <f>$J$723</f>
        <v>26.39</v>
      </c>
      <c r="K830" s="210"/>
      <c r="L830" s="207">
        <f>ROUND(J830*$C830,0)</f>
        <v>5463</v>
      </c>
      <c r="N830" s="54"/>
      <c r="O830" s="54"/>
      <c r="P830" s="109"/>
      <c r="Q830" s="109"/>
      <c r="R830" s="109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</row>
    <row r="831" spans="1:35" hidden="1">
      <c r="A831" s="149" t="s">
        <v>206</v>
      </c>
      <c r="B831" s="136"/>
      <c r="C831" s="205"/>
      <c r="D831" s="225"/>
      <c r="E831" s="210"/>
      <c r="F831" s="207"/>
      <c r="G831" s="225"/>
      <c r="H831" s="210"/>
      <c r="I831" s="207"/>
      <c r="J831" s="225"/>
      <c r="K831" s="210"/>
      <c r="L831" s="207"/>
      <c r="N831" s="54"/>
      <c r="O831" s="54"/>
      <c r="P831" s="109"/>
      <c r="Q831" s="109"/>
      <c r="R831" s="109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</row>
    <row r="832" spans="1:35" hidden="1">
      <c r="A832" s="149" t="s">
        <v>199</v>
      </c>
      <c r="B832" s="136"/>
      <c r="C832" s="205">
        <f>1678</f>
        <v>1678</v>
      </c>
      <c r="D832" s="225">
        <v>20.860000000000003</v>
      </c>
      <c r="E832" s="210"/>
      <c r="F832" s="207">
        <f>ROUND(D832*$C832,0)</f>
        <v>35003</v>
      </c>
      <c r="G832" s="225">
        <v>23.79</v>
      </c>
      <c r="H832" s="210"/>
      <c r="I832" s="207">
        <f t="shared" ref="I832:I836" si="121">ROUND(G832*C832,0)</f>
        <v>39920</v>
      </c>
      <c r="J832" s="225">
        <f>$J$725</f>
        <v>26.3</v>
      </c>
      <c r="K832" s="210"/>
      <c r="L832" s="207">
        <f>ROUND(J832*$C832,0)</f>
        <v>44131</v>
      </c>
      <c r="N832" s="54"/>
      <c r="O832" s="54"/>
      <c r="P832" s="109"/>
      <c r="Q832" s="109"/>
      <c r="R832" s="109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</row>
    <row r="833" spans="1:37" hidden="1">
      <c r="A833" s="149" t="s">
        <v>200</v>
      </c>
      <c r="B833" s="136"/>
      <c r="C833" s="205">
        <f>1435</f>
        <v>1435</v>
      </c>
      <c r="D833" s="225">
        <v>14.53</v>
      </c>
      <c r="E833" s="210"/>
      <c r="F833" s="207">
        <f>ROUND(D833*$C833,0)</f>
        <v>20851</v>
      </c>
      <c r="G833" s="225">
        <v>16.559999999999999</v>
      </c>
      <c r="H833" s="210"/>
      <c r="I833" s="207">
        <f t="shared" si="121"/>
        <v>23764</v>
      </c>
      <c r="J833" s="225">
        <f>$J$726</f>
        <v>18.309999999999999</v>
      </c>
      <c r="K833" s="210"/>
      <c r="L833" s="207">
        <f>ROUND(J833*$C833,0)</f>
        <v>26275</v>
      </c>
      <c r="N833" s="54"/>
      <c r="O833" s="54"/>
      <c r="P833" s="109"/>
      <c r="Q833" s="109"/>
      <c r="R833" s="109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</row>
    <row r="834" spans="1:37" hidden="1">
      <c r="A834" s="149" t="s">
        <v>201</v>
      </c>
      <c r="B834" s="136"/>
      <c r="C834" s="205">
        <v>0</v>
      </c>
      <c r="D834" s="225">
        <v>11.340000000000002</v>
      </c>
      <c r="E834" s="210"/>
      <c r="F834" s="207">
        <f>ROUND(D834*$C834,0)</f>
        <v>0</v>
      </c>
      <c r="G834" s="225">
        <v>12.96</v>
      </c>
      <c r="H834" s="210"/>
      <c r="I834" s="207">
        <f t="shared" si="121"/>
        <v>0</v>
      </c>
      <c r="J834" s="225">
        <f>$J$727</f>
        <v>14.33</v>
      </c>
      <c r="K834" s="210"/>
      <c r="L834" s="207">
        <f>ROUND(J834*$C834,0)</f>
        <v>0</v>
      </c>
      <c r="N834" s="54"/>
      <c r="O834" s="54"/>
      <c r="P834" s="109"/>
      <c r="Q834" s="109"/>
      <c r="R834" s="109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</row>
    <row r="835" spans="1:37" hidden="1">
      <c r="A835" s="149" t="s">
        <v>207</v>
      </c>
      <c r="B835" s="136"/>
      <c r="C835" s="205">
        <f>38</f>
        <v>38</v>
      </c>
      <c r="D835" s="225">
        <v>62.58</v>
      </c>
      <c r="E835" s="210"/>
      <c r="F835" s="207">
        <f>ROUND(D835*$C835,0)</f>
        <v>2378</v>
      </c>
      <c r="G835" s="225">
        <v>71.61</v>
      </c>
      <c r="H835" s="210"/>
      <c r="I835" s="207">
        <f t="shared" si="121"/>
        <v>2721</v>
      </c>
      <c r="J835" s="225">
        <f>$J$728</f>
        <v>79.17</v>
      </c>
      <c r="K835" s="210"/>
      <c r="L835" s="207">
        <f>ROUND(J835*$C835,0)</f>
        <v>3008</v>
      </c>
      <c r="N835" s="54"/>
      <c r="O835" s="54"/>
      <c r="P835" s="109"/>
      <c r="Q835" s="109"/>
      <c r="R835" s="109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</row>
    <row r="836" spans="1:37" hidden="1">
      <c r="A836" s="149" t="s">
        <v>208</v>
      </c>
      <c r="B836" s="136"/>
      <c r="C836" s="205">
        <f>31</f>
        <v>31</v>
      </c>
      <c r="D836" s="225">
        <v>125.16000000000003</v>
      </c>
      <c r="E836" s="210"/>
      <c r="F836" s="207">
        <f>ROUND(D836*$C836,0)</f>
        <v>3880</v>
      </c>
      <c r="G836" s="225">
        <v>142.74</v>
      </c>
      <c r="H836" s="210"/>
      <c r="I836" s="207">
        <f t="shared" si="121"/>
        <v>4425</v>
      </c>
      <c r="J836" s="225">
        <f>$J$729</f>
        <v>157.80000000000001</v>
      </c>
      <c r="K836" s="210"/>
      <c r="L836" s="207">
        <f>ROUND(J836*$C836,0)</f>
        <v>4892</v>
      </c>
      <c r="N836" s="54"/>
      <c r="O836" s="54"/>
      <c r="P836" s="109"/>
      <c r="Q836" s="109"/>
      <c r="R836" s="109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  <c r="AH836" s="54"/>
      <c r="AI836" s="54"/>
    </row>
    <row r="837" spans="1:37" hidden="1">
      <c r="A837" s="149" t="s">
        <v>209</v>
      </c>
      <c r="B837" s="136"/>
      <c r="C837" s="205"/>
      <c r="D837" s="225"/>
      <c r="E837" s="210"/>
      <c r="F837" s="207"/>
      <c r="G837" s="225"/>
      <c r="H837" s="210"/>
      <c r="I837" s="207"/>
      <c r="J837" s="225"/>
      <c r="K837" s="210"/>
      <c r="L837" s="207"/>
      <c r="N837" s="54"/>
      <c r="O837" s="54"/>
      <c r="P837" s="109"/>
      <c r="Q837" s="109"/>
      <c r="R837" s="109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</row>
    <row r="838" spans="1:37" hidden="1">
      <c r="A838" s="149" t="s">
        <v>205</v>
      </c>
      <c r="B838" s="136"/>
      <c r="C838" s="205">
        <f>2</f>
        <v>2</v>
      </c>
      <c r="D838" s="251">
        <v>-20.86</v>
      </c>
      <c r="E838" s="210"/>
      <c r="F838" s="207">
        <f>ROUND(D838*$C838,0)</f>
        <v>-42</v>
      </c>
      <c r="G838" s="251">
        <v>-23.87</v>
      </c>
      <c r="H838" s="210"/>
      <c r="I838" s="207">
        <f t="shared" ref="I838:I839" si="122">ROUND(G838*C838,0)</f>
        <v>-48</v>
      </c>
      <c r="J838" s="251">
        <f>-J830</f>
        <v>-26.39</v>
      </c>
      <c r="K838" s="210"/>
      <c r="L838" s="207">
        <f>ROUND(J838*$C838,0)</f>
        <v>-53</v>
      </c>
      <c r="N838" s="54"/>
      <c r="O838" s="54"/>
      <c r="P838" s="109"/>
      <c r="Q838" s="109"/>
      <c r="R838" s="109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</row>
    <row r="839" spans="1:37" hidden="1">
      <c r="A839" s="149" t="s">
        <v>210</v>
      </c>
      <c r="B839" s="136"/>
      <c r="C839" s="205">
        <f>13</f>
        <v>13</v>
      </c>
      <c r="D839" s="251">
        <v>-20.860000000000003</v>
      </c>
      <c r="E839" s="210"/>
      <c r="F839" s="207">
        <f>ROUND(D839*$C839,0)</f>
        <v>-271</v>
      </c>
      <c r="G839" s="251">
        <v>-23.79</v>
      </c>
      <c r="H839" s="210"/>
      <c r="I839" s="207">
        <f t="shared" si="122"/>
        <v>-309</v>
      </c>
      <c r="J839" s="251">
        <f>-J832</f>
        <v>-26.3</v>
      </c>
      <c r="K839" s="210"/>
      <c r="L839" s="207">
        <f>ROUND(J839*$C839,0)</f>
        <v>-342</v>
      </c>
      <c r="N839" s="54"/>
      <c r="O839" s="54"/>
      <c r="P839" s="109"/>
      <c r="Q839" s="109"/>
      <c r="R839" s="109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</row>
    <row r="840" spans="1:37" hidden="1">
      <c r="A840" s="209" t="s">
        <v>172</v>
      </c>
      <c r="B840" s="136"/>
      <c r="C840" s="205"/>
      <c r="D840" s="225"/>
      <c r="E840" s="207"/>
      <c r="F840" s="207"/>
      <c r="G840" s="225"/>
      <c r="H840" s="207"/>
      <c r="I840" s="207"/>
      <c r="J840" s="225"/>
      <c r="K840" s="207"/>
      <c r="L840" s="207"/>
      <c r="N840" s="54"/>
      <c r="O840" s="54"/>
      <c r="P840" s="109"/>
      <c r="Q840" s="109"/>
      <c r="R840" s="109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</row>
    <row r="841" spans="1:37" hidden="1">
      <c r="A841" s="149" t="s">
        <v>211</v>
      </c>
      <c r="B841" s="136"/>
      <c r="C841" s="205">
        <f>422494+3044200+1934893</f>
        <v>5401587</v>
      </c>
      <c r="D841" s="297">
        <v>5.6469999999999994</v>
      </c>
      <c r="E841" s="207" t="s">
        <v>99</v>
      </c>
      <c r="F841" s="207">
        <f>ROUND(D841/100*$C841,0)</f>
        <v>305028</v>
      </c>
      <c r="G841" s="297">
        <v>6.4390000000000001</v>
      </c>
      <c r="H841" s="207" t="s">
        <v>99</v>
      </c>
      <c r="I841" s="207">
        <f>ROUND(G841/100*C841,0)</f>
        <v>347808</v>
      </c>
      <c r="J841" s="297">
        <f>$J$734</f>
        <v>4.0259999999999998</v>
      </c>
      <c r="K841" s="207" t="s">
        <v>99</v>
      </c>
      <c r="L841" s="207">
        <f>ROUND(J841/100*$C841,0)</f>
        <v>217468</v>
      </c>
      <c r="N841" s="54"/>
      <c r="O841" s="54"/>
      <c r="P841" s="109"/>
      <c r="Q841" s="109"/>
      <c r="R841" s="109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</row>
    <row r="842" spans="1:37" hidden="1">
      <c r="A842" s="209" t="s">
        <v>141</v>
      </c>
      <c r="B842" s="136"/>
      <c r="C842" s="205">
        <f>643+730</f>
        <v>1373</v>
      </c>
      <c r="D842" s="226">
        <v>50</v>
      </c>
      <c r="E842" s="209" t="s">
        <v>99</v>
      </c>
      <c r="F842" s="207">
        <f>ROUND(D842*$C842/100,0)</f>
        <v>687</v>
      </c>
      <c r="G842" s="226">
        <v>56</v>
      </c>
      <c r="H842" s="209" t="s">
        <v>99</v>
      </c>
      <c r="I842" s="207">
        <f>ROUND(G842*C842/100,0)</f>
        <v>769</v>
      </c>
      <c r="J842" s="226">
        <f>$J$735</f>
        <v>62</v>
      </c>
      <c r="K842" s="209" t="s">
        <v>99</v>
      </c>
      <c r="L842" s="207">
        <f>ROUND(J842*$C842/100,0)</f>
        <v>851</v>
      </c>
      <c r="N842" s="54"/>
      <c r="O842" s="54"/>
      <c r="P842" s="109"/>
      <c r="Q842" s="109"/>
      <c r="R842" s="109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  <c r="AH842" s="54"/>
      <c r="AI842" s="54"/>
    </row>
    <row r="843" spans="1:37" hidden="1">
      <c r="A843" s="134" t="s">
        <v>212</v>
      </c>
      <c r="C843" s="125">
        <f>C841</f>
        <v>5401587</v>
      </c>
      <c r="D843" s="133"/>
      <c r="E843" s="54"/>
      <c r="F843" s="127"/>
      <c r="G843" s="133"/>
      <c r="H843" s="54"/>
      <c r="I843" s="127"/>
      <c r="J843" s="297">
        <f>J736</f>
        <v>3.0939999999999999</v>
      </c>
      <c r="K843" s="207" t="s">
        <v>99</v>
      </c>
      <c r="L843" s="207">
        <f>ROUND(J843*$C843/100,0)</f>
        <v>167125</v>
      </c>
      <c r="N843" s="128"/>
      <c r="P843" s="93"/>
      <c r="Q843" s="108"/>
      <c r="R843" s="108"/>
      <c r="S843" s="129"/>
      <c r="T843" s="129"/>
      <c r="Y843" s="54"/>
      <c r="Z843" s="54"/>
      <c r="AA843" s="54"/>
      <c r="AB843" s="54"/>
      <c r="AC843" s="54"/>
      <c r="AD843" s="54"/>
      <c r="AE843" s="54"/>
      <c r="AF843" s="54"/>
      <c r="AG843" s="54"/>
      <c r="AH843" s="54"/>
      <c r="AI843" s="54"/>
      <c r="AK843" s="128"/>
    </row>
    <row r="844" spans="1:37" hidden="1">
      <c r="A844" s="257" t="s">
        <v>148</v>
      </c>
      <c r="B844" s="136"/>
      <c r="C844" s="205"/>
      <c r="D844" s="220">
        <v>-0.01</v>
      </c>
      <c r="E844" s="127"/>
      <c r="F844" s="207"/>
      <c r="G844" s="220">
        <v>-0.01</v>
      </c>
      <c r="H844" s="136"/>
      <c r="I844" s="207"/>
      <c r="J844" s="220">
        <v>-0.01</v>
      </c>
      <c r="K844" s="136"/>
      <c r="L844" s="207"/>
      <c r="N844" s="54"/>
      <c r="O844" s="54"/>
      <c r="P844" s="109"/>
      <c r="Q844" s="109"/>
      <c r="R844" s="109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  <c r="AE844" s="54"/>
      <c r="AF844" s="54"/>
      <c r="AG844" s="54"/>
      <c r="AH844" s="54"/>
      <c r="AI844" s="54"/>
    </row>
    <row r="845" spans="1:37" hidden="1">
      <c r="A845" s="149" t="s">
        <v>132</v>
      </c>
      <c r="B845" s="136"/>
      <c r="C845" s="205">
        <v>0</v>
      </c>
      <c r="D845" s="282">
        <v>0</v>
      </c>
      <c r="E845" s="210"/>
      <c r="F845" s="207">
        <f>ROUND(D845*$C845*$D$738,0)</f>
        <v>0</v>
      </c>
      <c r="G845" s="282">
        <v>0</v>
      </c>
      <c r="H845" s="210"/>
      <c r="I845" s="207">
        <f>ROUND(G845*C845,0)</f>
        <v>0</v>
      </c>
      <c r="J845" s="282">
        <f>J821</f>
        <v>0</v>
      </c>
      <c r="K845" s="210"/>
      <c r="L845" s="207">
        <f>ROUND(J845*$C845*$D$738,0)</f>
        <v>0</v>
      </c>
      <c r="N845" s="54"/>
      <c r="O845" s="54"/>
      <c r="P845" s="109"/>
      <c r="Q845" s="109"/>
      <c r="R845" s="109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  <c r="AE845" s="54"/>
      <c r="AF845" s="54"/>
      <c r="AG845" s="54"/>
      <c r="AH845" s="54"/>
      <c r="AI845" s="54"/>
    </row>
    <row r="846" spans="1:37" hidden="1">
      <c r="A846" s="149" t="s">
        <v>133</v>
      </c>
      <c r="B846" s="136"/>
      <c r="C846" s="205"/>
      <c r="D846" s="282"/>
      <c r="E846" s="210"/>
      <c r="F846" s="207"/>
      <c r="G846" s="282"/>
      <c r="H846" s="210"/>
      <c r="I846" s="207"/>
      <c r="J846" s="282"/>
      <c r="K846" s="210"/>
      <c r="L846" s="207"/>
      <c r="N846" s="54"/>
      <c r="O846" s="54"/>
      <c r="P846" s="109"/>
      <c r="Q846" s="109"/>
      <c r="R846" s="109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</row>
    <row r="847" spans="1:37" hidden="1">
      <c r="A847" s="149" t="s">
        <v>199</v>
      </c>
      <c r="B847" s="136"/>
      <c r="C847" s="205">
        <v>0</v>
      </c>
      <c r="D847" s="282">
        <v>0</v>
      </c>
      <c r="E847" s="210"/>
      <c r="F847" s="207">
        <f>ROUND(D847*$C847*$D$738,0)</f>
        <v>0</v>
      </c>
      <c r="G847" s="282">
        <v>0</v>
      </c>
      <c r="H847" s="210"/>
      <c r="I847" s="207">
        <f t="shared" ref="I847:I850" si="123">ROUND(G847*C847,0)</f>
        <v>0</v>
      </c>
      <c r="J847" s="282">
        <f>J823</f>
        <v>0</v>
      </c>
      <c r="K847" s="210"/>
      <c r="L847" s="207">
        <f>ROUND(J847*$C847*$D$738,0)</f>
        <v>0</v>
      </c>
      <c r="N847" s="54"/>
      <c r="O847" s="54"/>
      <c r="P847" s="109"/>
      <c r="Q847" s="109"/>
      <c r="R847" s="109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</row>
    <row r="848" spans="1:37" hidden="1">
      <c r="A848" s="149" t="s">
        <v>200</v>
      </c>
      <c r="B848" s="136"/>
      <c r="C848" s="205">
        <v>0</v>
      </c>
      <c r="D848" s="282">
        <v>312</v>
      </c>
      <c r="E848" s="210"/>
      <c r="F848" s="207">
        <f>ROUND(D848*$C848*$D$738,0)</f>
        <v>0</v>
      </c>
      <c r="G848" s="282">
        <v>357</v>
      </c>
      <c r="H848" s="210"/>
      <c r="I848" s="207">
        <f t="shared" si="123"/>
        <v>0</v>
      </c>
      <c r="J848" s="282">
        <f>J824</f>
        <v>395</v>
      </c>
      <c r="K848" s="210"/>
      <c r="L848" s="207">
        <f>ROUND(J848*$C848*$D$738,0)</f>
        <v>0</v>
      </c>
      <c r="N848" s="54"/>
      <c r="O848" s="54"/>
      <c r="P848" s="109"/>
      <c r="Q848" s="109"/>
      <c r="R848" s="109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  <c r="AH848" s="54"/>
      <c r="AI848" s="54"/>
    </row>
    <row r="849" spans="1:35" hidden="1">
      <c r="A849" s="149" t="s">
        <v>201</v>
      </c>
      <c r="B849" s="136"/>
      <c r="C849" s="205">
        <v>0</v>
      </c>
      <c r="D849" s="282">
        <v>1268</v>
      </c>
      <c r="E849" s="210"/>
      <c r="F849" s="207">
        <f>ROUND(D849*$C849*$D$738,0)</f>
        <v>0</v>
      </c>
      <c r="G849" s="282">
        <v>1457</v>
      </c>
      <c r="H849" s="210"/>
      <c r="I849" s="207">
        <f t="shared" si="123"/>
        <v>0</v>
      </c>
      <c r="J849" s="282">
        <f>J825</f>
        <v>1611</v>
      </c>
      <c r="K849" s="210"/>
      <c r="L849" s="207">
        <f>ROUND(J849*$C849*$D$738,0)</f>
        <v>0</v>
      </c>
      <c r="N849" s="54"/>
      <c r="O849" s="54"/>
      <c r="P849" s="109"/>
      <c r="Q849" s="109"/>
      <c r="R849" s="109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  <c r="AE849" s="54"/>
      <c r="AF849" s="54"/>
      <c r="AG849" s="54"/>
      <c r="AH849" s="54"/>
      <c r="AI849" s="54"/>
    </row>
    <row r="850" spans="1:35" hidden="1">
      <c r="A850" s="149" t="s">
        <v>132</v>
      </c>
      <c r="B850" s="136"/>
      <c r="C850" s="205">
        <v>0</v>
      </c>
      <c r="D850" s="282">
        <v>20.86</v>
      </c>
      <c r="E850" s="210"/>
      <c r="F850" s="207">
        <f>ROUND(D850*$C850*$D$738,0)</f>
        <v>0</v>
      </c>
      <c r="G850" s="282">
        <v>23.87</v>
      </c>
      <c r="H850" s="210"/>
      <c r="I850" s="207">
        <f t="shared" si="123"/>
        <v>0</v>
      </c>
      <c r="J850" s="282">
        <f>J830</f>
        <v>26.39</v>
      </c>
      <c r="K850" s="210"/>
      <c r="L850" s="207">
        <f>ROUND(J850*$C850*$D$738,0)</f>
        <v>0</v>
      </c>
      <c r="N850" s="54"/>
      <c r="O850" s="54"/>
      <c r="P850" s="109"/>
      <c r="Q850" s="109"/>
      <c r="R850" s="109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/>
      <c r="AI850" s="54"/>
    </row>
    <row r="851" spans="1:35" hidden="1">
      <c r="A851" s="149" t="s">
        <v>133</v>
      </c>
      <c r="B851" s="136"/>
      <c r="C851" s="205"/>
      <c r="D851" s="282"/>
      <c r="E851" s="210"/>
      <c r="F851" s="207"/>
      <c r="G851" s="282"/>
      <c r="H851" s="210"/>
      <c r="I851" s="207"/>
      <c r="J851" s="282"/>
      <c r="K851" s="210"/>
      <c r="L851" s="207"/>
      <c r="N851" s="54"/>
      <c r="O851" s="54"/>
      <c r="P851" s="109"/>
      <c r="Q851" s="109"/>
      <c r="R851" s="109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</row>
    <row r="852" spans="1:35" hidden="1">
      <c r="A852" s="149" t="s">
        <v>199</v>
      </c>
      <c r="B852" s="136"/>
      <c r="C852" s="205">
        <v>39</v>
      </c>
      <c r="D852" s="282">
        <v>20.860000000000003</v>
      </c>
      <c r="E852" s="210"/>
      <c r="F852" s="207">
        <f>ROUND(D852*$C852*$D$738,0)</f>
        <v>-8</v>
      </c>
      <c r="G852" s="282">
        <v>23.79</v>
      </c>
      <c r="H852" s="210"/>
      <c r="I852" s="207">
        <f>ROUND(G852*$C852*$G$738,0)</f>
        <v>-9</v>
      </c>
      <c r="J852" s="282">
        <f>J832</f>
        <v>26.3</v>
      </c>
      <c r="K852" s="210"/>
      <c r="L852" s="207">
        <f>ROUND(J852*$C852*$D$738,0)</f>
        <v>-10</v>
      </c>
      <c r="N852" s="54"/>
      <c r="O852" s="54"/>
      <c r="P852" s="109"/>
      <c r="Q852" s="109"/>
      <c r="R852" s="109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/>
      <c r="AI852" s="54"/>
    </row>
    <row r="853" spans="1:35" hidden="1">
      <c r="A853" s="149" t="s">
        <v>200</v>
      </c>
      <c r="B853" s="136"/>
      <c r="C853" s="205">
        <v>0</v>
      </c>
      <c r="D853" s="282">
        <v>14.53</v>
      </c>
      <c r="E853" s="210"/>
      <c r="F853" s="207">
        <f>ROUND(D853*$C853*$D$738,0)</f>
        <v>0</v>
      </c>
      <c r="G853" s="282">
        <v>16.559999999999999</v>
      </c>
      <c r="H853" s="210"/>
      <c r="I853" s="207">
        <f t="shared" ref="I853:I856" si="124">ROUND(G853*$C853*$G$738,0)</f>
        <v>0</v>
      </c>
      <c r="J853" s="282">
        <f>J833</f>
        <v>18.309999999999999</v>
      </c>
      <c r="K853" s="210"/>
      <c r="L853" s="207">
        <f>ROUND(J853*$C853*$D$738,0)</f>
        <v>0</v>
      </c>
      <c r="N853" s="54"/>
      <c r="O853" s="54"/>
      <c r="P853" s="109"/>
      <c r="Q853" s="109"/>
      <c r="R853" s="109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</row>
    <row r="854" spans="1:35" hidden="1">
      <c r="A854" s="149" t="s">
        <v>201</v>
      </c>
      <c r="B854" s="136"/>
      <c r="C854" s="205">
        <v>0</v>
      </c>
      <c r="D854" s="282">
        <v>11.340000000000002</v>
      </c>
      <c r="E854" s="210"/>
      <c r="F854" s="207">
        <f>ROUND(D854*$C854*$D$738,0)</f>
        <v>0</v>
      </c>
      <c r="G854" s="282">
        <v>12.96</v>
      </c>
      <c r="H854" s="210"/>
      <c r="I854" s="207">
        <f t="shared" si="124"/>
        <v>0</v>
      </c>
      <c r="J854" s="282">
        <f>J834</f>
        <v>14.33</v>
      </c>
      <c r="K854" s="210"/>
      <c r="L854" s="207">
        <f>ROUND(J854*$C854*$D$738,0)</f>
        <v>0</v>
      </c>
      <c r="N854" s="54"/>
      <c r="O854" s="54"/>
      <c r="P854" s="109"/>
      <c r="Q854" s="109"/>
      <c r="R854" s="109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</row>
    <row r="855" spans="1:35" hidden="1">
      <c r="A855" s="149" t="s">
        <v>214</v>
      </c>
      <c r="B855" s="136"/>
      <c r="C855" s="205">
        <v>0</v>
      </c>
      <c r="D855" s="251">
        <v>62.58</v>
      </c>
      <c r="E855" s="210"/>
      <c r="F855" s="207">
        <f>ROUND(D855*$C855*$D$738,0)</f>
        <v>0</v>
      </c>
      <c r="G855" s="251">
        <v>71.61</v>
      </c>
      <c r="H855" s="210"/>
      <c r="I855" s="207">
        <f t="shared" si="124"/>
        <v>0</v>
      </c>
      <c r="J855" s="251">
        <f>J835</f>
        <v>79.17</v>
      </c>
      <c r="K855" s="210"/>
      <c r="L855" s="207">
        <f>ROUND(J855*$C855*$D$738,0)</f>
        <v>0</v>
      </c>
      <c r="N855" s="54"/>
      <c r="O855" s="54"/>
      <c r="P855" s="109"/>
      <c r="Q855" s="109"/>
      <c r="R855" s="109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</row>
    <row r="856" spans="1:35" hidden="1">
      <c r="A856" s="149" t="s">
        <v>215</v>
      </c>
      <c r="B856" s="136"/>
      <c r="C856" s="205">
        <v>0</v>
      </c>
      <c r="D856" s="251">
        <v>125.16000000000003</v>
      </c>
      <c r="E856" s="210"/>
      <c r="F856" s="207">
        <f>ROUND(D856*$C856*$D$738,0)</f>
        <v>0</v>
      </c>
      <c r="G856" s="251">
        <v>142.74</v>
      </c>
      <c r="H856" s="210"/>
      <c r="I856" s="207">
        <f t="shared" si="124"/>
        <v>0</v>
      </c>
      <c r="J856" s="251">
        <f>J836</f>
        <v>157.80000000000001</v>
      </c>
      <c r="K856" s="210"/>
      <c r="L856" s="207">
        <f>ROUND(J856*$C856*$D$738,0)</f>
        <v>0</v>
      </c>
      <c r="N856" s="54"/>
      <c r="O856" s="54"/>
      <c r="P856" s="109"/>
      <c r="Q856" s="109"/>
      <c r="R856" s="109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  <c r="AH856" s="54"/>
      <c r="AI856" s="54"/>
    </row>
    <row r="857" spans="1:35" hidden="1">
      <c r="A857" s="149" t="s">
        <v>209</v>
      </c>
      <c r="B857" s="136"/>
      <c r="C857" s="205"/>
      <c r="D857" s="225"/>
      <c r="E857" s="210"/>
      <c r="F857" s="207"/>
      <c r="G857" s="225"/>
      <c r="H857" s="210"/>
      <c r="I857" s="207"/>
      <c r="J857" s="225"/>
      <c r="K857" s="210"/>
      <c r="L857" s="207"/>
      <c r="N857" s="54"/>
      <c r="O857" s="54"/>
      <c r="P857" s="109"/>
      <c r="Q857" s="109"/>
      <c r="R857" s="109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  <c r="AH857" s="54"/>
      <c r="AI857" s="54"/>
    </row>
    <row r="858" spans="1:35" hidden="1">
      <c r="A858" s="149" t="s">
        <v>205</v>
      </c>
      <c r="B858" s="136"/>
      <c r="C858" s="205">
        <v>0</v>
      </c>
      <c r="D858" s="251">
        <v>-20.86</v>
      </c>
      <c r="E858" s="210"/>
      <c r="F858" s="207">
        <f>ROUND(D858*$C858*$D$738,0)</f>
        <v>0</v>
      </c>
      <c r="G858" s="251">
        <v>-23.87</v>
      </c>
      <c r="H858" s="210"/>
      <c r="I858" s="207">
        <f t="shared" ref="I858:I859" si="125">ROUND(G858*$C858*$G$738,0)</f>
        <v>0</v>
      </c>
      <c r="J858" s="251">
        <f>J838</f>
        <v>-26.39</v>
      </c>
      <c r="K858" s="210"/>
      <c r="L858" s="207">
        <f>ROUND(J858*$C858*$D$738,0)</f>
        <v>0</v>
      </c>
      <c r="N858" s="54"/>
      <c r="O858" s="54"/>
      <c r="P858" s="109"/>
      <c r="Q858" s="109"/>
      <c r="R858" s="109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  <c r="AH858" s="54"/>
      <c r="AI858" s="54"/>
    </row>
    <row r="859" spans="1:35" hidden="1">
      <c r="A859" s="149" t="s">
        <v>210</v>
      </c>
      <c r="B859" s="136"/>
      <c r="C859" s="205">
        <v>0</v>
      </c>
      <c r="D859" s="251">
        <v>-20.860000000000003</v>
      </c>
      <c r="E859" s="210"/>
      <c r="F859" s="207">
        <f>ROUND(D859*$C859*$D$738,0)</f>
        <v>0</v>
      </c>
      <c r="G859" s="251">
        <v>-23.79</v>
      </c>
      <c r="H859" s="210"/>
      <c r="I859" s="207">
        <f t="shared" si="125"/>
        <v>0</v>
      </c>
      <c r="J859" s="251">
        <f>J839</f>
        <v>-26.3</v>
      </c>
      <c r="K859" s="210"/>
      <c r="L859" s="207">
        <f>ROUND(J859*$C859*$D$738,0)</f>
        <v>0</v>
      </c>
      <c r="N859" s="54"/>
      <c r="O859" s="54"/>
      <c r="P859" s="109"/>
      <c r="Q859" s="109"/>
      <c r="R859" s="109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  <c r="AE859" s="54"/>
      <c r="AF859" s="54"/>
      <c r="AG859" s="54"/>
      <c r="AH859" s="54"/>
      <c r="AI859" s="54"/>
    </row>
    <row r="860" spans="1:35" hidden="1">
      <c r="A860" s="209" t="s">
        <v>172</v>
      </c>
      <c r="B860" s="136"/>
      <c r="C860" s="205"/>
      <c r="D860" s="282"/>
      <c r="E860" s="207"/>
      <c r="F860" s="207"/>
      <c r="G860" s="282"/>
      <c r="H860" s="207"/>
      <c r="I860" s="207"/>
      <c r="J860" s="282"/>
      <c r="K860" s="207"/>
      <c r="L860" s="207"/>
      <c r="N860" s="54"/>
      <c r="O860" s="54"/>
      <c r="P860" s="109"/>
      <c r="Q860" s="109"/>
      <c r="R860" s="109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  <c r="AH860" s="54"/>
      <c r="AI860" s="54"/>
    </row>
    <row r="861" spans="1:35" hidden="1">
      <c r="A861" s="149" t="s">
        <v>211</v>
      </c>
      <c r="B861" s="136"/>
      <c r="C861" s="205">
        <v>0</v>
      </c>
      <c r="D861" s="292">
        <v>5.6469999999999994</v>
      </c>
      <c r="E861" s="207" t="s">
        <v>99</v>
      </c>
      <c r="F861" s="207">
        <f>ROUND(D861/100*$C861*$D$738,0)</f>
        <v>0</v>
      </c>
      <c r="G861" s="292">
        <v>6.4390000000000001</v>
      </c>
      <c r="H861" s="207" t="s">
        <v>99</v>
      </c>
      <c r="I861" s="207">
        <f>ROUND(G861/100*C861*$G$738,0)</f>
        <v>0</v>
      </c>
      <c r="J861" s="292">
        <f>J841</f>
        <v>4.0259999999999998</v>
      </c>
      <c r="K861" s="207" t="s">
        <v>99</v>
      </c>
      <c r="L861" s="207">
        <f>ROUND(J861/100*$C861*$D$738,0)</f>
        <v>0</v>
      </c>
      <c r="N861" s="54"/>
      <c r="O861" s="54"/>
      <c r="P861" s="109"/>
      <c r="Q861" s="109"/>
      <c r="R861" s="109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4"/>
      <c r="AE861" s="54"/>
      <c r="AF861" s="54"/>
      <c r="AG861" s="54"/>
      <c r="AH861" s="54"/>
      <c r="AI861" s="54"/>
    </row>
    <row r="862" spans="1:35" hidden="1">
      <c r="A862" s="209" t="s">
        <v>141</v>
      </c>
      <c r="B862" s="136"/>
      <c r="C862" s="205">
        <v>0</v>
      </c>
      <c r="D862" s="260">
        <v>50</v>
      </c>
      <c r="E862" s="207" t="s">
        <v>99</v>
      </c>
      <c r="F862" s="207">
        <f>ROUND(D862/100*$C862*$D$738,0)</f>
        <v>0</v>
      </c>
      <c r="G862" s="260">
        <v>56</v>
      </c>
      <c r="H862" s="209" t="s">
        <v>99</v>
      </c>
      <c r="I862" s="207">
        <f>ROUND(G862/100*C862*$G$738,0)</f>
        <v>0</v>
      </c>
      <c r="J862" s="260">
        <f>J842</f>
        <v>62</v>
      </c>
      <c r="K862" s="209" t="s">
        <v>99</v>
      </c>
      <c r="L862" s="207">
        <f>ROUND(J862/100*$C862*$D$738,0)</f>
        <v>0</v>
      </c>
      <c r="N862" s="54"/>
      <c r="O862" s="54"/>
      <c r="P862" s="109"/>
      <c r="Q862" s="109"/>
      <c r="R862" s="109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  <c r="AH862" s="54"/>
      <c r="AI862" s="54"/>
    </row>
    <row r="863" spans="1:35" hidden="1">
      <c r="A863" s="209" t="s">
        <v>190</v>
      </c>
      <c r="B863" s="136"/>
      <c r="C863" s="205">
        <v>0</v>
      </c>
      <c r="D863" s="172">
        <v>60</v>
      </c>
      <c r="E863" s="262" t="s">
        <v>0</v>
      </c>
      <c r="F863" s="207">
        <f>ROUND(D863*$C863,0)</f>
        <v>0</v>
      </c>
      <c r="G863" s="172">
        <v>60</v>
      </c>
      <c r="H863" s="136"/>
      <c r="I863" s="207">
        <f>ROUND(G863*$C863,0)</f>
        <v>0</v>
      </c>
      <c r="J863" s="172">
        <f>$J$757</f>
        <v>60</v>
      </c>
      <c r="K863" s="136"/>
      <c r="L863" s="207">
        <f>ROUND(J863*$C863,0)</f>
        <v>0</v>
      </c>
      <c r="N863" s="54"/>
      <c r="O863" s="54"/>
      <c r="P863" s="109"/>
      <c r="Q863" s="109"/>
      <c r="R863" s="109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  <c r="AH863" s="54"/>
      <c r="AI863" s="54"/>
    </row>
    <row r="864" spans="1:35" hidden="1">
      <c r="A864" s="209" t="s">
        <v>191</v>
      </c>
      <c r="B864" s="136"/>
      <c r="C864" s="205">
        <v>0</v>
      </c>
      <c r="D864" s="226">
        <v>-30</v>
      </c>
      <c r="E864" s="207" t="s">
        <v>99</v>
      </c>
      <c r="F864" s="207">
        <f>ROUND(D864*$C864/100,0)</f>
        <v>0</v>
      </c>
      <c r="G864" s="226">
        <v>-30</v>
      </c>
      <c r="H864" s="207" t="s">
        <v>99</v>
      </c>
      <c r="I864" s="207">
        <f>ROUND(G864*$C864/100,0)</f>
        <v>0</v>
      </c>
      <c r="J864" s="226">
        <f>$J$758</f>
        <v>-30</v>
      </c>
      <c r="K864" s="207" t="s">
        <v>99</v>
      </c>
      <c r="L864" s="207">
        <f>ROUND(J864*$C864/100,0)</f>
        <v>0</v>
      </c>
      <c r="N864" s="54"/>
      <c r="O864" s="54"/>
      <c r="P864" s="109"/>
      <c r="Q864" s="109"/>
      <c r="R864" s="109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  <c r="AH864" s="54"/>
      <c r="AI864" s="54"/>
    </row>
    <row r="865" spans="1:37" hidden="1">
      <c r="A865" s="134" t="s">
        <v>212</v>
      </c>
      <c r="C865" s="125">
        <f>C861</f>
        <v>0</v>
      </c>
      <c r="D865" s="133"/>
      <c r="E865" s="54"/>
      <c r="F865" s="127"/>
      <c r="G865" s="133"/>
      <c r="H865" s="54"/>
      <c r="I865" s="127"/>
      <c r="J865" s="297">
        <f>J759</f>
        <v>3.0939999999999999</v>
      </c>
      <c r="K865" s="207" t="s">
        <v>99</v>
      </c>
      <c r="L865" s="207">
        <f>ROUND(J865*$C865/100,0)</f>
        <v>0</v>
      </c>
      <c r="N865" s="128"/>
      <c r="P865" s="93"/>
      <c r="Q865" s="108"/>
      <c r="R865" s="108"/>
      <c r="S865" s="129"/>
      <c r="T865" s="129"/>
      <c r="Y865" s="54"/>
      <c r="Z865" s="54"/>
      <c r="AA865" s="54"/>
      <c r="AB865" s="54"/>
      <c r="AC865" s="54"/>
      <c r="AD865" s="54"/>
      <c r="AE865" s="54"/>
      <c r="AF865" s="54"/>
      <c r="AG865" s="54"/>
      <c r="AH865" s="54"/>
      <c r="AI865" s="54"/>
      <c r="AK865" s="128"/>
    </row>
    <row r="866" spans="1:37" hidden="1">
      <c r="A866" s="136" t="s">
        <v>122</v>
      </c>
      <c r="B866" s="136"/>
      <c r="C866" s="205">
        <f>SUM(C841:C841)</f>
        <v>5401587</v>
      </c>
      <c r="D866" s="215"/>
      <c r="E866" s="127"/>
      <c r="F866" s="127">
        <f>SUM(F821:F864)</f>
        <v>375256</v>
      </c>
      <c r="G866" s="215"/>
      <c r="H866" s="209"/>
      <c r="I866" s="127">
        <f>SUM(I821:I864)</f>
        <v>427909</v>
      </c>
      <c r="J866" s="215"/>
      <c r="K866" s="209"/>
      <c r="L866" s="127">
        <f>SUM(L821:L865)</f>
        <v>473153</v>
      </c>
      <c r="N866" s="54"/>
      <c r="O866" s="54"/>
      <c r="P866" s="109"/>
      <c r="Q866" s="109"/>
      <c r="R866" s="109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  <c r="AH866" s="54"/>
      <c r="AI866" s="54"/>
    </row>
    <row r="867" spans="1:37" hidden="1">
      <c r="A867" s="136" t="s">
        <v>102</v>
      </c>
      <c r="B867" s="136"/>
      <c r="C867" s="246">
        <v>82990.980381971647</v>
      </c>
      <c r="D867" s="149"/>
      <c r="E867" s="149"/>
      <c r="F867" s="192" t="e">
        <f>#REF!</f>
        <v>#REF!</v>
      </c>
      <c r="G867" s="149"/>
      <c r="H867" s="149"/>
      <c r="I867" s="192">
        <v>10090.79669113968</v>
      </c>
      <c r="J867" s="149"/>
      <c r="K867" s="149"/>
      <c r="L867" s="192">
        <f>I867</f>
        <v>10090.79669113968</v>
      </c>
      <c r="N867" s="164"/>
      <c r="O867" s="164"/>
      <c r="P867" s="162"/>
      <c r="Q867" s="109"/>
      <c r="R867" s="109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  <c r="AH867" s="54"/>
      <c r="AI867" s="54"/>
    </row>
    <row r="868" spans="1:37" ht="16.5" hidden="1" thickBot="1">
      <c r="A868" s="136" t="s">
        <v>123</v>
      </c>
      <c r="B868" s="136"/>
      <c r="C868" s="263">
        <f>SUM(C866:C867)</f>
        <v>5484577.9803819712</v>
      </c>
      <c r="D868" s="231"/>
      <c r="E868" s="232"/>
      <c r="F868" s="233" t="e">
        <f>F866+F867</f>
        <v>#REF!</v>
      </c>
      <c r="G868" s="231"/>
      <c r="H868" s="235"/>
      <c r="I868" s="233">
        <f>I866+I867</f>
        <v>437999.79669113969</v>
      </c>
      <c r="J868" s="231"/>
      <c r="K868" s="235"/>
      <c r="L868" s="233">
        <f>L866+L867</f>
        <v>483243.79669113969</v>
      </c>
      <c r="N868" s="165"/>
      <c r="O868" s="165"/>
      <c r="P868" s="166"/>
      <c r="Q868" s="109"/>
      <c r="R868" s="109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  <c r="AH868" s="54"/>
      <c r="AI868" s="54"/>
    </row>
    <row r="869" spans="1:37" hidden="1">
      <c r="A869" s="177"/>
      <c r="B869" s="280"/>
      <c r="C869" s="177"/>
      <c r="D869" s="168"/>
      <c r="E869" s="168"/>
      <c r="F869" s="281"/>
      <c r="G869" s="136"/>
      <c r="H869" s="177"/>
      <c r="I869" s="281" t="s">
        <v>0</v>
      </c>
      <c r="J869" s="177"/>
      <c r="K869" s="177"/>
      <c r="L869" s="177"/>
      <c r="N869" s="54"/>
      <c r="O869" s="54"/>
      <c r="P869" s="109"/>
      <c r="Q869" s="109"/>
      <c r="R869" s="109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  <c r="AE869" s="54"/>
      <c r="AF869" s="54"/>
      <c r="AG869" s="54"/>
      <c r="AH869" s="54"/>
      <c r="AI869" s="54"/>
    </row>
    <row r="870" spans="1:37">
      <c r="A870" s="340" t="s">
        <v>218</v>
      </c>
      <c r="B870" s="136"/>
      <c r="C870" s="136"/>
      <c r="D870" s="127"/>
      <c r="E870" s="127"/>
      <c r="F870" s="136"/>
      <c r="G870" s="127"/>
      <c r="H870" s="136"/>
      <c r="I870" s="136"/>
      <c r="J870" s="127"/>
      <c r="K870" s="136"/>
      <c r="L870" s="136"/>
      <c r="N870" s="54"/>
      <c r="O870" s="54"/>
      <c r="P870" s="109"/>
      <c r="Q870" s="109"/>
      <c r="R870" s="109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  <c r="AH870" s="54"/>
      <c r="AI870" s="54"/>
    </row>
    <row r="871" spans="1:37">
      <c r="A871" s="149" t="s">
        <v>219</v>
      </c>
      <c r="B871" s="136"/>
      <c r="C871" s="136"/>
      <c r="D871" s="127"/>
      <c r="E871" s="127"/>
      <c r="F871" s="136"/>
      <c r="G871" s="127"/>
      <c r="H871" s="136"/>
      <c r="I871" s="136"/>
      <c r="J871" s="127"/>
      <c r="K871" s="136"/>
      <c r="L871" s="136"/>
      <c r="N871" s="54"/>
      <c r="O871" s="54"/>
      <c r="P871" s="109"/>
      <c r="Q871" s="109"/>
      <c r="R871" s="109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  <c r="AH871" s="54"/>
      <c r="AI871" s="54"/>
    </row>
    <row r="872" spans="1:37">
      <c r="A872" s="209"/>
      <c r="B872" s="136"/>
      <c r="C872" s="136"/>
      <c r="D872" s="127"/>
      <c r="E872" s="127"/>
      <c r="F872" s="136"/>
      <c r="G872" s="127"/>
      <c r="H872" s="136"/>
      <c r="I872" s="136"/>
      <c r="J872" s="127"/>
      <c r="K872" s="136"/>
      <c r="L872" s="136"/>
      <c r="N872" s="54"/>
      <c r="O872" s="54"/>
      <c r="P872" s="109"/>
      <c r="Q872" s="109"/>
      <c r="R872" s="109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  <c r="AE872" s="54"/>
      <c r="AF872" s="54"/>
      <c r="AG872" s="54"/>
      <c r="AH872" s="54"/>
      <c r="AI872" s="54"/>
    </row>
    <row r="873" spans="1:37">
      <c r="A873" s="209" t="s">
        <v>135</v>
      </c>
      <c r="B873" s="136"/>
      <c r="C873" s="205"/>
      <c r="D873" s="127"/>
      <c r="E873" s="127"/>
      <c r="F873" s="136"/>
      <c r="G873" s="127"/>
      <c r="H873" s="136"/>
      <c r="I873" s="136"/>
      <c r="J873" s="127"/>
      <c r="K873" s="136"/>
      <c r="L873" s="136"/>
      <c r="N873" s="54"/>
      <c r="O873" s="54"/>
      <c r="P873" s="109"/>
      <c r="Q873" s="109"/>
      <c r="R873" s="109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  <c r="AH873" s="54"/>
      <c r="AI873" s="54"/>
    </row>
    <row r="874" spans="1:37">
      <c r="A874" s="209" t="s">
        <v>220</v>
      </c>
      <c r="B874" s="136"/>
      <c r="C874" s="205">
        <v>12</v>
      </c>
      <c r="D874" s="282">
        <v>1215</v>
      </c>
      <c r="E874" s="225"/>
      <c r="F874" s="127">
        <f>ROUND(D874*$C874,0)</f>
        <v>14580</v>
      </c>
      <c r="G874" s="282">
        <v>1386</v>
      </c>
      <c r="H874" s="207"/>
      <c r="I874" s="127">
        <f>ROUND(G874*C874,0)</f>
        <v>16632</v>
      </c>
      <c r="J874" s="282">
        <f>J953</f>
        <v>1548</v>
      </c>
      <c r="K874" s="207"/>
      <c r="L874" s="127">
        <f>ROUND(J874*$C874,0)</f>
        <v>18576</v>
      </c>
      <c r="N874" s="128" t="e">
        <f>J874*#REF!</f>
        <v>#REF!</v>
      </c>
      <c r="P874" s="6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  <c r="AH874" s="54"/>
      <c r="AI874" s="54"/>
    </row>
    <row r="875" spans="1:37">
      <c r="A875" s="209" t="s">
        <v>221</v>
      </c>
      <c r="B875" s="136"/>
      <c r="C875" s="205">
        <v>0</v>
      </c>
      <c r="D875" s="282">
        <v>1465</v>
      </c>
      <c r="E875" s="225"/>
      <c r="F875" s="127">
        <f>ROUND(D875*$C875,0)</f>
        <v>0</v>
      </c>
      <c r="G875" s="282">
        <v>1675</v>
      </c>
      <c r="H875" s="210"/>
      <c r="I875" s="127">
        <f>ROUND(G875*C875,0)</f>
        <v>0</v>
      </c>
      <c r="J875" s="282">
        <f>J954</f>
        <v>1882</v>
      </c>
      <c r="K875" s="210"/>
      <c r="L875" s="127">
        <f>ROUND(J875*$C875,0)</f>
        <v>0</v>
      </c>
      <c r="N875" s="128" t="e">
        <f>J875*#REF!</f>
        <v>#REF!</v>
      </c>
      <c r="P875" s="6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  <c r="AH875" s="54"/>
      <c r="AI875" s="54"/>
    </row>
    <row r="876" spans="1:37">
      <c r="A876" s="209" t="s">
        <v>136</v>
      </c>
      <c r="B876" s="136"/>
      <c r="C876" s="205">
        <f>SUM(C874:C875)</f>
        <v>12</v>
      </c>
      <c r="D876" s="282" t="s">
        <v>0</v>
      </c>
      <c r="E876" s="225"/>
      <c r="F876" s="127" t="s">
        <v>0</v>
      </c>
      <c r="G876" s="282" t="s">
        <v>0</v>
      </c>
      <c r="H876" s="207"/>
      <c r="I876" s="127" t="s">
        <v>0</v>
      </c>
      <c r="J876" s="282" t="str">
        <f>P917</f>
        <v xml:space="preserve"> </v>
      </c>
      <c r="K876" s="207"/>
      <c r="L876" s="127" t="s">
        <v>0</v>
      </c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4"/>
      <c r="AE876" s="54"/>
      <c r="AF876" s="54"/>
      <c r="AG876" s="54"/>
      <c r="AH876" s="54"/>
      <c r="AI876" s="54"/>
    </row>
    <row r="877" spans="1:37">
      <c r="A877" s="209" t="s">
        <v>222</v>
      </c>
      <c r="B877" s="136"/>
      <c r="C877" s="205">
        <f>24891</f>
        <v>24891</v>
      </c>
      <c r="D877" s="282">
        <v>0.92</v>
      </c>
      <c r="E877" s="225"/>
      <c r="F877" s="127">
        <f>ROUND(D877*$C877,0)</f>
        <v>22900</v>
      </c>
      <c r="G877" s="282">
        <v>1.06</v>
      </c>
      <c r="H877" s="207"/>
      <c r="I877" s="127">
        <f t="shared" ref="I877:I879" si="126">ROUND(G877*C877,0)</f>
        <v>26384</v>
      </c>
      <c r="J877" s="282">
        <f>J956</f>
        <v>1.19</v>
      </c>
      <c r="K877" s="207"/>
      <c r="L877" s="127">
        <f>ROUND(J877*$C877,0)</f>
        <v>29620</v>
      </c>
      <c r="N877" s="128" t="e">
        <f>J877*#REF!</f>
        <v>#REF!</v>
      </c>
      <c r="P877" s="6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  <c r="AH877" s="54"/>
      <c r="AI877" s="54"/>
    </row>
    <row r="878" spans="1:37">
      <c r="A878" s="209" t="s">
        <v>223</v>
      </c>
      <c r="B878" s="136"/>
      <c r="C878" s="205">
        <v>0</v>
      </c>
      <c r="D878" s="282">
        <v>0.84</v>
      </c>
      <c r="E878" s="225"/>
      <c r="F878" s="127">
        <f>ROUND(D878*$C878,0)</f>
        <v>0</v>
      </c>
      <c r="G878" s="282">
        <v>0.96</v>
      </c>
      <c r="H878" s="207"/>
      <c r="I878" s="127">
        <f t="shared" si="126"/>
        <v>0</v>
      </c>
      <c r="J878" s="282">
        <f>J957</f>
        <v>1.08</v>
      </c>
      <c r="K878" s="207"/>
      <c r="L878" s="127">
        <f>ROUND(J878*$C878,0)</f>
        <v>0</v>
      </c>
      <c r="N878" s="128" t="e">
        <f>J878*#REF!</f>
        <v>#REF!</v>
      </c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  <c r="AE878" s="54"/>
      <c r="AF878" s="54"/>
      <c r="AG878" s="54"/>
      <c r="AH878" s="54"/>
      <c r="AI878" s="54"/>
    </row>
    <row r="879" spans="1:37">
      <c r="A879" s="149" t="s">
        <v>150</v>
      </c>
      <c r="B879" s="136"/>
      <c r="C879" s="205">
        <f>18680</f>
        <v>18680</v>
      </c>
      <c r="D879" s="282">
        <v>6.22</v>
      </c>
      <c r="E879" s="225"/>
      <c r="F879" s="127">
        <f>ROUND(D879*$C879,0)</f>
        <v>116190</v>
      </c>
      <c r="G879" s="282">
        <v>7.12</v>
      </c>
      <c r="H879" s="207"/>
      <c r="I879" s="127">
        <f t="shared" si="126"/>
        <v>133002</v>
      </c>
      <c r="J879" s="282">
        <f>J958</f>
        <v>8.3000000000000007</v>
      </c>
      <c r="K879" s="207"/>
      <c r="L879" s="127">
        <f>ROUND(J879*$C879,0)</f>
        <v>155044</v>
      </c>
      <c r="N879" s="128" t="e">
        <f>J879*#REF!</f>
        <v>#REF!</v>
      </c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  <c r="AE879" s="54"/>
      <c r="AF879" s="54"/>
      <c r="AG879" s="54"/>
      <c r="AH879" s="54"/>
      <c r="AI879" s="54"/>
    </row>
    <row r="880" spans="1:37">
      <c r="A880" s="209" t="s">
        <v>172</v>
      </c>
      <c r="B880" s="136"/>
      <c r="C880" s="205"/>
      <c r="D880" s="282"/>
      <c r="E880" s="225"/>
      <c r="F880" s="127"/>
      <c r="G880" s="282"/>
      <c r="H880" s="207"/>
      <c r="I880" s="127"/>
      <c r="J880" s="282"/>
      <c r="K880" s="207"/>
      <c r="L880" s="127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  <c r="AH880" s="54"/>
      <c r="AI880" s="54"/>
    </row>
    <row r="881" spans="1:38">
      <c r="A881" s="209" t="s">
        <v>211</v>
      </c>
      <c r="B881" s="136"/>
      <c r="C881" s="205">
        <f>1699425</f>
        <v>1699425</v>
      </c>
      <c r="D881" s="298">
        <v>3.718</v>
      </c>
      <c r="E881" s="207" t="s">
        <v>99</v>
      </c>
      <c r="F881" s="127">
        <f>ROUND(D881/100*$C881,0)</f>
        <v>63185</v>
      </c>
      <c r="G881" s="298">
        <v>4.2460000000000004</v>
      </c>
      <c r="H881" s="207" t="s">
        <v>99</v>
      </c>
      <c r="I881" s="127">
        <f>ROUND(G881/100*C881,0)</f>
        <v>72158</v>
      </c>
      <c r="J881" s="298">
        <f>J960</f>
        <v>1.677</v>
      </c>
      <c r="K881" s="207" t="s">
        <v>99</v>
      </c>
      <c r="L881" s="127">
        <f>ROUND(J881/100*$C881,0)</f>
        <v>28499</v>
      </c>
      <c r="N881" s="128" t="e">
        <f>(J881/100)*#REF!</f>
        <v>#REF!</v>
      </c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  <c r="AH881" s="54"/>
      <c r="AI881" s="54"/>
    </row>
    <row r="882" spans="1:38">
      <c r="A882" s="209" t="s">
        <v>141</v>
      </c>
      <c r="B882" s="136"/>
      <c r="C882" s="205">
        <v>0</v>
      </c>
      <c r="D882" s="282">
        <v>0.48</v>
      </c>
      <c r="E882" s="207"/>
      <c r="F882" s="127">
        <f>ROUND(D882*$C882,0)</f>
        <v>0</v>
      </c>
      <c r="G882" s="282">
        <v>0.55000000000000004</v>
      </c>
      <c r="H882" s="207"/>
      <c r="I882" s="127">
        <f>ROUND(G882*C882,0)</f>
        <v>0</v>
      </c>
      <c r="J882" s="282">
        <f>J961</f>
        <v>0.62</v>
      </c>
      <c r="K882" s="207"/>
      <c r="L882" s="127">
        <f>ROUND(J882*$C882,0)</f>
        <v>0</v>
      </c>
      <c r="N882" s="128" t="e">
        <f>J882*#REF!</f>
        <v>#REF!</v>
      </c>
      <c r="O882" s="205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  <c r="AH882" s="54"/>
      <c r="AI882" s="54"/>
    </row>
    <row r="883" spans="1:38">
      <c r="A883" s="149" t="s">
        <v>174</v>
      </c>
      <c r="B883" s="136"/>
      <c r="C883" s="205">
        <v>0</v>
      </c>
      <c r="D883" s="299">
        <v>5.9999999999999995E-4</v>
      </c>
      <c r="E883" s="207"/>
      <c r="F883" s="127">
        <f>ROUND(D883*$C883,0)</f>
        <v>0</v>
      </c>
      <c r="G883" s="299">
        <v>5.9999999999999995E-4</v>
      </c>
      <c r="H883" s="207"/>
      <c r="I883" s="127">
        <f>ROUND(G883*C883,0)</f>
        <v>0</v>
      </c>
      <c r="J883" s="299">
        <v>5.9999999999999995E-4</v>
      </c>
      <c r="K883" s="207"/>
      <c r="L883" s="127">
        <f>ROUND(J883*$C883,0)</f>
        <v>0</v>
      </c>
      <c r="N883" s="128" t="e">
        <f>J883*#REF!</f>
        <v>#REF!</v>
      </c>
      <c r="O883" s="205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  <c r="AE883" s="54"/>
      <c r="AF883" s="54"/>
      <c r="AG883" s="54"/>
      <c r="AH883" s="54"/>
      <c r="AI883" s="54"/>
    </row>
    <row r="884" spans="1:38">
      <c r="A884" s="149" t="s">
        <v>181</v>
      </c>
      <c r="B884" s="136"/>
      <c r="C884" s="205">
        <f>5320</f>
        <v>5320</v>
      </c>
      <c r="D884" s="300">
        <v>3.11</v>
      </c>
      <c r="E884" s="207"/>
      <c r="F884" s="207">
        <f>ROUND(D884*$C884,0)</f>
        <v>16545</v>
      </c>
      <c r="G884" s="222">
        <v>3.56</v>
      </c>
      <c r="H884" s="207"/>
      <c r="I884" s="207">
        <f>ROUND(G884*$C884,0)</f>
        <v>18939</v>
      </c>
      <c r="J884" s="222">
        <f>ROUND(J879/2,3)</f>
        <v>4.1500000000000004</v>
      </c>
      <c r="K884" s="207"/>
      <c r="L884" s="207">
        <f>ROUND($C884*J884,0)</f>
        <v>22078</v>
      </c>
      <c r="N884" s="128" t="e">
        <f>J884*#REF!</f>
        <v>#REF!</v>
      </c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4"/>
      <c r="AE884" s="54"/>
      <c r="AF884" s="54"/>
      <c r="AG884" s="54"/>
      <c r="AH884" s="54"/>
      <c r="AI884" s="54"/>
    </row>
    <row r="885" spans="1:38">
      <c r="A885" s="149" t="s">
        <v>182</v>
      </c>
      <c r="B885" s="136"/>
      <c r="C885" s="205">
        <f>592</f>
        <v>592</v>
      </c>
      <c r="D885" s="222">
        <v>24.88</v>
      </c>
      <c r="E885" s="207"/>
      <c r="F885" s="207">
        <f>ROUND(D885*$C885,0)</f>
        <v>14729</v>
      </c>
      <c r="G885" s="222">
        <v>28.48</v>
      </c>
      <c r="H885" s="207"/>
      <c r="I885" s="207">
        <f>ROUND(G885*$C885,0)</f>
        <v>16860</v>
      </c>
      <c r="J885" s="222">
        <f>J879*4</f>
        <v>33.200000000000003</v>
      </c>
      <c r="K885" s="207"/>
      <c r="L885" s="207">
        <f>ROUND($C885*J885,0)</f>
        <v>19654</v>
      </c>
      <c r="N885" s="128" t="e">
        <f>J885*#REF!</f>
        <v>#REF!</v>
      </c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  <c r="AE885" s="54"/>
      <c r="AF885" s="54"/>
      <c r="AG885" s="54"/>
      <c r="AH885" s="54"/>
      <c r="AI885" s="54"/>
    </row>
    <row r="886" spans="1:38">
      <c r="A886" s="108" t="s">
        <v>183</v>
      </c>
      <c r="B886" s="177"/>
      <c r="C886" s="205">
        <f>11575</f>
        <v>11575</v>
      </c>
      <c r="D886" s="301">
        <v>14.872</v>
      </c>
      <c r="E886" s="207" t="s">
        <v>99</v>
      </c>
      <c r="F886" s="207">
        <f>ROUND($C886*D886/100,0)</f>
        <v>1721</v>
      </c>
      <c r="G886" s="301">
        <v>16.984000000000002</v>
      </c>
      <c r="H886" s="207" t="s">
        <v>99</v>
      </c>
      <c r="I886" s="207">
        <f>ROUND($C886*G886/100,0)</f>
        <v>1966</v>
      </c>
      <c r="J886" s="301">
        <f>(J881+J887)*4</f>
        <v>18.78</v>
      </c>
      <c r="K886" s="207" t="s">
        <v>99</v>
      </c>
      <c r="L886" s="207">
        <f>ROUND($C886*J886/100,0)</f>
        <v>2174</v>
      </c>
      <c r="N886" s="128" t="e">
        <f>(J886/100)*#REF!</f>
        <v>#REF!</v>
      </c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  <c r="AH886" s="54"/>
      <c r="AI886" s="54"/>
    </row>
    <row r="887" spans="1:38">
      <c r="A887" s="134" t="s">
        <v>212</v>
      </c>
      <c r="C887" s="125">
        <f>C881</f>
        <v>1699425</v>
      </c>
      <c r="D887" s="133"/>
      <c r="E887" s="54"/>
      <c r="F887" s="127"/>
      <c r="G887" s="133"/>
      <c r="H887" s="54"/>
      <c r="I887" s="127"/>
      <c r="J887" s="298">
        <f>J942</f>
        <v>3.0179999999999998</v>
      </c>
      <c r="K887" s="207" t="s">
        <v>99</v>
      </c>
      <c r="L887" s="127">
        <f>ROUND(J887/100*$C887,0)</f>
        <v>51289</v>
      </c>
      <c r="N887" s="128"/>
      <c r="P887" s="93"/>
      <c r="Q887" s="108"/>
      <c r="R887" s="108"/>
      <c r="S887" s="129"/>
      <c r="T887" s="129"/>
      <c r="Y887" s="54"/>
      <c r="Z887" s="54"/>
      <c r="AA887" s="54"/>
      <c r="AB887" s="54"/>
      <c r="AC887" s="54"/>
      <c r="AD887" s="54"/>
      <c r="AE887" s="54"/>
      <c r="AF887" s="54"/>
      <c r="AG887" s="54"/>
      <c r="AH887" s="54"/>
      <c r="AI887" s="54"/>
      <c r="AK887" s="128"/>
    </row>
    <row r="888" spans="1:38">
      <c r="A888" s="136" t="s">
        <v>122</v>
      </c>
      <c r="B888" s="136"/>
      <c r="C888" s="205">
        <f>C881+C886</f>
        <v>1711000</v>
      </c>
      <c r="D888" s="215"/>
      <c r="E888" s="127"/>
      <c r="F888" s="127">
        <f>SUM(F874:F886)</f>
        <v>249850</v>
      </c>
      <c r="G888" s="215"/>
      <c r="H888" s="136"/>
      <c r="I888" s="127">
        <f>SUM(I874:I886)</f>
        <v>285941</v>
      </c>
      <c r="J888" s="215"/>
      <c r="K888" s="136"/>
      <c r="L888" s="127">
        <f>SUM(L874:L887)</f>
        <v>326934</v>
      </c>
      <c r="N888" s="128" t="e">
        <f>SUM(N874:N886)</f>
        <v>#REF!</v>
      </c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  <c r="AE888" s="54"/>
      <c r="AF888" s="54"/>
      <c r="AG888" s="54"/>
      <c r="AH888" s="54"/>
      <c r="AI888" s="54"/>
    </row>
    <row r="889" spans="1:38">
      <c r="A889" s="136" t="s">
        <v>102</v>
      </c>
      <c r="B889" s="136"/>
      <c r="C889" s="205">
        <v>23474.365497148876</v>
      </c>
      <c r="D889" s="149"/>
      <c r="E889" s="149"/>
      <c r="F889" s="229" t="e">
        <f>#REF!</f>
        <v>#REF!</v>
      </c>
      <c r="G889" s="149"/>
      <c r="H889" s="149"/>
      <c r="I889" s="229">
        <v>4619.5116938615674</v>
      </c>
      <c r="J889" s="149"/>
      <c r="K889" s="149"/>
      <c r="L889" s="229">
        <f>I889</f>
        <v>4619.5116938615674</v>
      </c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  <c r="AH889" s="54"/>
      <c r="AI889" s="54"/>
    </row>
    <row r="890" spans="1:38" ht="16.5" thickBot="1">
      <c r="A890" s="136" t="s">
        <v>123</v>
      </c>
      <c r="B890" s="136"/>
      <c r="C890" s="302">
        <f>SUM(C888)+C889</f>
        <v>1734474.3654971488</v>
      </c>
      <c r="D890" s="231"/>
      <c r="E890" s="232"/>
      <c r="F890" s="233" t="e">
        <f>F888+F889</f>
        <v>#REF!</v>
      </c>
      <c r="G890" s="231"/>
      <c r="H890" s="235"/>
      <c r="I890" s="233">
        <f>I888+I889</f>
        <v>290560.51169386157</v>
      </c>
      <c r="J890" s="231"/>
      <c r="K890" s="235"/>
      <c r="L890" s="233">
        <f>L888+L889</f>
        <v>331553.51169386157</v>
      </c>
      <c r="O890" s="144" t="s">
        <v>104</v>
      </c>
      <c r="P890" s="145">
        <v>325863.61386466568</v>
      </c>
      <c r="Q890" s="146">
        <v>0.1215</v>
      </c>
      <c r="R890" s="147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  <c r="AH890" s="54"/>
      <c r="AI890" s="54"/>
    </row>
    <row r="891" spans="1:38" ht="16.5" thickTop="1">
      <c r="A891" s="136"/>
      <c r="B891" s="136"/>
      <c r="C891" s="168"/>
      <c r="D891" s="225"/>
      <c r="E891" s="127"/>
      <c r="F891" s="127"/>
      <c r="G891" s="225"/>
      <c r="H891" s="136"/>
      <c r="I891" s="127"/>
      <c r="J891" s="225"/>
      <c r="K891" s="136"/>
      <c r="L891" s="282"/>
      <c r="O891" s="150" t="s">
        <v>105</v>
      </c>
      <c r="P891" s="151">
        <f>P890-L890</f>
        <v>-5689.897829195892</v>
      </c>
      <c r="Q891" s="303" t="s">
        <v>0</v>
      </c>
      <c r="R891" s="100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  <c r="AH891" s="54"/>
      <c r="AI891" s="54"/>
    </row>
    <row r="892" spans="1:38">
      <c r="A892" s="340" t="s">
        <v>224</v>
      </c>
      <c r="B892" s="136"/>
      <c r="C892" s="136"/>
      <c r="D892" s="127"/>
      <c r="E892" s="127"/>
      <c r="F892" s="136"/>
      <c r="G892" s="127"/>
      <c r="H892" s="136"/>
      <c r="I892" s="136"/>
      <c r="J892" s="127"/>
      <c r="K892" s="136"/>
      <c r="L892" s="136"/>
      <c r="N892" s="54"/>
      <c r="O892" s="54"/>
      <c r="P892" s="109"/>
      <c r="Q892" s="109"/>
      <c r="R892" s="109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  <c r="AE892" s="54"/>
      <c r="AF892" s="54"/>
      <c r="AG892" s="54"/>
      <c r="AH892" s="54"/>
      <c r="AI892" s="54"/>
    </row>
    <row r="893" spans="1:38">
      <c r="A893" s="149" t="s">
        <v>225</v>
      </c>
      <c r="B893" s="136"/>
      <c r="C893" s="136"/>
      <c r="D893" s="127"/>
      <c r="E893" s="127"/>
      <c r="F893" s="136"/>
      <c r="G893" s="127"/>
      <c r="H893" s="136"/>
      <c r="I893" s="136"/>
      <c r="J893" s="127"/>
      <c r="K893" s="136"/>
      <c r="L893" s="136"/>
      <c r="N893" s="54"/>
      <c r="O893" s="54"/>
      <c r="P893" s="109"/>
      <c r="Q893" s="109"/>
      <c r="R893" s="109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  <c r="AE893" s="54"/>
      <c r="AF893" s="54"/>
      <c r="AG893" s="54"/>
      <c r="AH893" s="54"/>
      <c r="AI893" s="54"/>
    </row>
    <row r="894" spans="1:38">
      <c r="A894" s="209"/>
      <c r="B894" s="136"/>
      <c r="C894" s="136"/>
      <c r="D894" s="127"/>
      <c r="E894" s="127"/>
      <c r="F894" s="136"/>
      <c r="G894" s="127"/>
      <c r="H894" s="136"/>
      <c r="I894" s="136"/>
      <c r="J894" s="127"/>
      <c r="K894" s="136"/>
      <c r="L894" s="136"/>
      <c r="N894" s="54"/>
      <c r="O894" s="54"/>
      <c r="P894" s="109"/>
      <c r="Q894" s="109"/>
      <c r="R894" s="109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  <c r="AE894" s="54"/>
      <c r="AF894" s="54"/>
      <c r="AG894" s="54"/>
      <c r="AH894" s="54"/>
      <c r="AI894" s="54"/>
    </row>
    <row r="895" spans="1:38">
      <c r="A895" s="209" t="s">
        <v>135</v>
      </c>
      <c r="B895" s="136"/>
      <c r="C895" s="205"/>
      <c r="D895" s="127"/>
      <c r="E895" s="127"/>
      <c r="F895" s="136"/>
      <c r="G895" s="127"/>
      <c r="H895" s="136"/>
      <c r="I895" s="136"/>
      <c r="J895" s="127"/>
      <c r="K895" s="136"/>
      <c r="L895" s="136"/>
      <c r="N895" s="54"/>
      <c r="O895" s="54"/>
      <c r="P895" s="109"/>
      <c r="Q895" s="109"/>
      <c r="R895" s="109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  <c r="AH895" s="54"/>
      <c r="AI895" s="54"/>
    </row>
    <row r="896" spans="1:38">
      <c r="A896" s="209" t="s">
        <v>220</v>
      </c>
      <c r="B896" s="136"/>
      <c r="C896" s="205">
        <f t="shared" ref="C896:C901" si="127">C915+C1083</f>
        <v>695</v>
      </c>
      <c r="D896" s="225"/>
      <c r="E896" s="225"/>
      <c r="F896" s="127">
        <f>F915+F1083</f>
        <v>848355</v>
      </c>
      <c r="G896" s="225"/>
      <c r="H896" s="207"/>
      <c r="I896" s="127">
        <f>I915+I1083</f>
        <v>967593</v>
      </c>
      <c r="J896" s="225"/>
      <c r="K896" s="207"/>
      <c r="L896" s="127">
        <f>L915+L1083</f>
        <v>1082017</v>
      </c>
      <c r="N896" s="128" t="e">
        <f>J896*#REF!</f>
        <v>#REF!</v>
      </c>
      <c r="P896" s="64" t="s">
        <v>0</v>
      </c>
      <c r="Q896" s="108"/>
      <c r="R896" s="108"/>
      <c r="Z896" s="214"/>
      <c r="AA896" s="214"/>
      <c r="AG896" s="54"/>
      <c r="AH896" s="54"/>
      <c r="AI896" s="54"/>
      <c r="AJ896" s="54"/>
      <c r="AK896" s="54"/>
      <c r="AL896" s="54"/>
    </row>
    <row r="897" spans="1:38">
      <c r="A897" s="209" t="s">
        <v>221</v>
      </c>
      <c r="B897" s="136"/>
      <c r="C897" s="205">
        <f t="shared" si="127"/>
        <v>12</v>
      </c>
      <c r="D897" s="225"/>
      <c r="E897" s="225"/>
      <c r="F897" s="127">
        <f>F916+F1084</f>
        <v>25200</v>
      </c>
      <c r="G897" s="225"/>
      <c r="H897" s="210"/>
      <c r="I897" s="127">
        <f>I916+I1084</f>
        <v>30336</v>
      </c>
      <c r="J897" s="225"/>
      <c r="K897" s="210"/>
      <c r="L897" s="127">
        <f>L916+L1084</f>
        <v>34032</v>
      </c>
      <c r="N897" s="128" t="e">
        <f>J897*#REF!</f>
        <v>#REF!</v>
      </c>
      <c r="P897" s="64" t="s">
        <v>0</v>
      </c>
      <c r="Q897" s="108"/>
      <c r="R897" s="108"/>
      <c r="S897" s="176"/>
      <c r="T897" s="176"/>
      <c r="U897" s="176"/>
      <c r="V897" s="176"/>
      <c r="W897" s="176"/>
      <c r="X897" s="176"/>
      <c r="Y897" s="96"/>
      <c r="Z897" s="214"/>
      <c r="AA897" s="214"/>
      <c r="AG897" s="54"/>
      <c r="AH897" s="54"/>
      <c r="AI897" s="54"/>
      <c r="AJ897" s="54"/>
      <c r="AK897" s="54"/>
      <c r="AL897" s="54"/>
    </row>
    <row r="898" spans="1:38">
      <c r="A898" s="209" t="s">
        <v>136</v>
      </c>
      <c r="B898" s="136"/>
      <c r="C898" s="205">
        <f t="shared" si="127"/>
        <v>707</v>
      </c>
      <c r="D898" s="225"/>
      <c r="E898" s="225"/>
      <c r="F898" s="127"/>
      <c r="G898" s="225"/>
      <c r="H898" s="207"/>
      <c r="I898" s="127"/>
      <c r="J898" s="225"/>
      <c r="K898" s="207"/>
      <c r="L898" s="127"/>
      <c r="P898" s="206"/>
      <c r="Q898" s="108"/>
      <c r="R898" s="108"/>
      <c r="S898" s="176"/>
      <c r="T898" s="176"/>
      <c r="U898" s="176"/>
      <c r="V898" s="176"/>
      <c r="W898" s="176"/>
      <c r="X898" s="176"/>
      <c r="Y898" s="96"/>
      <c r="AG898" s="54"/>
      <c r="AH898" s="54"/>
      <c r="AI898" s="54"/>
      <c r="AJ898" s="54"/>
      <c r="AK898" s="54"/>
      <c r="AL898" s="54"/>
    </row>
    <row r="899" spans="1:38">
      <c r="A899" s="209" t="s">
        <v>222</v>
      </c>
      <c r="B899" s="136"/>
      <c r="C899" s="205">
        <f t="shared" si="127"/>
        <v>993653</v>
      </c>
      <c r="D899" s="225"/>
      <c r="E899" s="225"/>
      <c r="F899" s="127">
        <f>F918+F1086</f>
        <v>819275</v>
      </c>
      <c r="G899" s="225"/>
      <c r="H899" s="207"/>
      <c r="I899" s="127">
        <f>I918+I1086</f>
        <v>946273</v>
      </c>
      <c r="J899" s="225"/>
      <c r="K899" s="207"/>
      <c r="L899" s="127">
        <f>L918+L1086</f>
        <v>1063335</v>
      </c>
      <c r="N899" s="128" t="e">
        <f>J899*#REF!</f>
        <v>#REF!</v>
      </c>
      <c r="P899" s="64" t="s">
        <v>0</v>
      </c>
      <c r="Q899" s="108"/>
      <c r="R899" s="108"/>
      <c r="S899" s="176"/>
      <c r="T899" s="176"/>
      <c r="U899" s="176"/>
      <c r="V899" s="176"/>
      <c r="W899" s="176"/>
      <c r="X899" s="176"/>
      <c r="Y899" s="96"/>
      <c r="AG899" s="54"/>
      <c r="AH899" s="54"/>
      <c r="AI899" s="54"/>
      <c r="AJ899" s="54"/>
      <c r="AK899" s="54"/>
      <c r="AL899" s="54"/>
    </row>
    <row r="900" spans="1:38">
      <c r="A900" s="209" t="s">
        <v>223</v>
      </c>
      <c r="B900" s="136"/>
      <c r="C900" s="205">
        <f t="shared" si="127"/>
        <v>699156</v>
      </c>
      <c r="D900" s="225"/>
      <c r="E900" s="225"/>
      <c r="F900" s="127">
        <f>F919+F1087</f>
        <v>139831</v>
      </c>
      <c r="G900" s="225"/>
      <c r="H900" s="207"/>
      <c r="I900" s="127">
        <f>I919+I1087</f>
        <v>160806</v>
      </c>
      <c r="J900" s="225"/>
      <c r="K900" s="207"/>
      <c r="L900" s="127">
        <f>L919+L1087</f>
        <v>181781</v>
      </c>
      <c r="N900" s="128" t="e">
        <f>J900*#REF!</f>
        <v>#REF!</v>
      </c>
      <c r="P900" s="64" t="s">
        <v>0</v>
      </c>
      <c r="Q900" s="108"/>
      <c r="R900" s="108"/>
      <c r="S900" s="176"/>
      <c r="T900" s="176"/>
      <c r="U900" s="176"/>
      <c r="V900" s="176"/>
      <c r="W900" s="176"/>
      <c r="X900" s="176"/>
      <c r="Y900" s="96"/>
      <c r="AG900" s="54"/>
      <c r="AH900" s="54"/>
      <c r="AI900" s="54"/>
      <c r="AJ900" s="54"/>
      <c r="AK900" s="54"/>
      <c r="AL900" s="54"/>
    </row>
    <row r="901" spans="1:38">
      <c r="A901" s="149" t="s">
        <v>150</v>
      </c>
      <c r="B901" s="136"/>
      <c r="C901" s="205">
        <f t="shared" si="127"/>
        <v>1504967</v>
      </c>
      <c r="D901" s="225"/>
      <c r="E901" s="225"/>
      <c r="F901" s="127">
        <f>F920+F1088</f>
        <v>9254556</v>
      </c>
      <c r="G901" s="225"/>
      <c r="H901" s="207"/>
      <c r="I901" s="127">
        <f>I920+I1088</f>
        <v>10576435</v>
      </c>
      <c r="J901" s="225"/>
      <c r="K901" s="207"/>
      <c r="L901" s="127">
        <f>L920+L1088</f>
        <v>12348984</v>
      </c>
      <c r="N901" s="128" t="e">
        <f>J901*#REF!</f>
        <v>#REF!</v>
      </c>
      <c r="P901" s="64" t="s">
        <v>0</v>
      </c>
      <c r="Q901" s="108"/>
      <c r="R901" s="108"/>
      <c r="S901" s="176"/>
      <c r="T901" s="176"/>
      <c r="U901" s="176"/>
      <c r="V901" s="176"/>
      <c r="W901" s="176"/>
      <c r="X901" s="176"/>
      <c r="Y901" s="96"/>
      <c r="AG901" s="54"/>
      <c r="AH901" s="54"/>
      <c r="AI901" s="54"/>
      <c r="AJ901" s="54"/>
      <c r="AK901" s="54"/>
      <c r="AL901" s="54"/>
    </row>
    <row r="902" spans="1:38">
      <c r="A902" s="209" t="s">
        <v>172</v>
      </c>
      <c r="B902" s="136"/>
      <c r="C902" s="205"/>
      <c r="D902" s="225"/>
      <c r="E902" s="225"/>
      <c r="F902" s="127"/>
      <c r="G902" s="225"/>
      <c r="H902" s="207"/>
      <c r="I902" s="127"/>
      <c r="J902" s="225"/>
      <c r="K902" s="207"/>
      <c r="L902" s="127"/>
      <c r="P902" s="206"/>
      <c r="AB902" s="54"/>
      <c r="AC902" s="54"/>
      <c r="AD902" s="54"/>
      <c r="AE902" s="54"/>
      <c r="AF902" s="54"/>
      <c r="AG902" s="54"/>
      <c r="AH902" s="54"/>
      <c r="AI902" s="54"/>
    </row>
    <row r="903" spans="1:38">
      <c r="A903" s="209" t="s">
        <v>211</v>
      </c>
      <c r="B903" s="136"/>
      <c r="C903" s="205">
        <f>C922+C1090</f>
        <v>823306393</v>
      </c>
      <c r="D903" s="288"/>
      <c r="E903" s="207"/>
      <c r="F903" s="127">
        <f>F922+F1090</f>
        <v>30306995</v>
      </c>
      <c r="G903" s="304"/>
      <c r="H903" s="207"/>
      <c r="I903" s="127">
        <f>I922+I1090</f>
        <v>34647474</v>
      </c>
      <c r="J903" s="305"/>
      <c r="K903" s="207"/>
      <c r="L903" s="127">
        <f>L922+L1090</f>
        <v>13852522</v>
      </c>
      <c r="N903" s="128" t="e">
        <f>(J903/100)*#REF!</f>
        <v>#REF!</v>
      </c>
      <c r="P903" s="64" t="s">
        <v>0</v>
      </c>
      <c r="AB903" s="54"/>
      <c r="AC903" s="54"/>
      <c r="AD903" s="54"/>
      <c r="AE903" s="54"/>
      <c r="AF903" s="54"/>
      <c r="AG903" s="54"/>
      <c r="AH903" s="54"/>
      <c r="AI903" s="54"/>
    </row>
    <row r="904" spans="1:38">
      <c r="A904" s="209" t="s">
        <v>141</v>
      </c>
      <c r="B904" s="136"/>
      <c r="C904" s="205">
        <f>C923+C1091</f>
        <v>379226</v>
      </c>
      <c r="D904" s="225"/>
      <c r="E904" s="207"/>
      <c r="F904" s="127">
        <f>F923+F1091</f>
        <v>178280</v>
      </c>
      <c r="G904" s="225"/>
      <c r="H904" s="207"/>
      <c r="I904" s="127">
        <f>I923+I1091</f>
        <v>204826</v>
      </c>
      <c r="J904" s="225"/>
      <c r="K904" s="207"/>
      <c r="L904" s="127">
        <f>L923+L1091</f>
        <v>231374</v>
      </c>
      <c r="N904" s="128" t="e">
        <f>J904*#REF!</f>
        <v>#REF!</v>
      </c>
      <c r="O904" s="206"/>
      <c r="P904" s="64" t="s">
        <v>0</v>
      </c>
      <c r="AB904" s="54"/>
      <c r="AC904" s="54"/>
      <c r="AD904" s="54"/>
      <c r="AE904" s="54"/>
      <c r="AF904" s="54"/>
      <c r="AG904" s="54"/>
      <c r="AH904" s="54"/>
      <c r="AI904" s="54"/>
    </row>
    <row r="905" spans="1:38">
      <c r="A905" s="134" t="s">
        <v>212</v>
      </c>
      <c r="C905" s="205">
        <f>C924+C1092</f>
        <v>467514000</v>
      </c>
      <c r="D905" s="133"/>
      <c r="E905" s="54"/>
      <c r="F905" s="127"/>
      <c r="G905" s="133"/>
      <c r="H905" s="54"/>
      <c r="I905" s="127"/>
      <c r="J905" s="126"/>
      <c r="K905" s="54"/>
      <c r="L905" s="127">
        <f>L924+L1092</f>
        <v>24777647</v>
      </c>
      <c r="N905" s="128"/>
      <c r="P905" s="93"/>
      <c r="Q905" s="108"/>
      <c r="R905" s="108"/>
      <c r="S905" s="129"/>
      <c r="T905" s="129"/>
      <c r="Y905" s="54"/>
      <c r="Z905" s="54"/>
      <c r="AA905" s="54"/>
      <c r="AB905" s="54"/>
      <c r="AC905" s="54"/>
      <c r="AD905" s="54"/>
      <c r="AE905" s="54"/>
      <c r="AF905" s="54"/>
      <c r="AG905" s="54"/>
      <c r="AH905" s="54"/>
      <c r="AI905" s="54"/>
      <c r="AK905" s="128"/>
    </row>
    <row r="906" spans="1:38">
      <c r="A906" s="136" t="s">
        <v>122</v>
      </c>
      <c r="B906" s="136"/>
      <c r="C906" s="205">
        <f>C925+C1094</f>
        <v>823306393</v>
      </c>
      <c r="D906" s="215"/>
      <c r="E906" s="127"/>
      <c r="F906" s="127">
        <f>F925+F1094</f>
        <v>41572492</v>
      </c>
      <c r="G906" s="210"/>
      <c r="H906" s="136"/>
      <c r="I906" s="127">
        <f>I925+I1094</f>
        <v>47533743</v>
      </c>
      <c r="J906" s="127"/>
      <c r="K906" s="136"/>
      <c r="L906" s="127">
        <f>L925+L1094</f>
        <v>53571692</v>
      </c>
      <c r="N906" s="128" t="e">
        <f>SUM(N896:N904)</f>
        <v>#REF!</v>
      </c>
      <c r="AB906" s="54"/>
      <c r="AC906" s="54"/>
      <c r="AD906" s="54"/>
      <c r="AE906" s="54"/>
      <c r="AF906" s="54"/>
      <c r="AG906" s="54"/>
      <c r="AH906" s="54"/>
      <c r="AI906" s="54"/>
    </row>
    <row r="907" spans="1:38">
      <c r="A907" s="136" t="s">
        <v>102</v>
      </c>
      <c r="B907" s="136"/>
      <c r="C907" s="228">
        <f>C926+C1095</f>
        <v>8976517.3747324422</v>
      </c>
      <c r="D907" s="149"/>
      <c r="E907" s="149"/>
      <c r="F907" s="306" t="e">
        <f>F926+F1095</f>
        <v>#REF!</v>
      </c>
      <c r="G907" s="149"/>
      <c r="H907" s="149"/>
      <c r="I907" s="306">
        <f>I926+I1095</f>
        <v>593992.95648998208</v>
      </c>
      <c r="J907" s="149"/>
      <c r="K907" s="149"/>
      <c r="L907" s="306">
        <f>L926+L1095</f>
        <v>593992.95648998208</v>
      </c>
      <c r="S907" s="153"/>
      <c r="T907" s="153"/>
      <c r="AB907" s="54"/>
      <c r="AC907" s="54"/>
      <c r="AD907" s="54"/>
      <c r="AE907" s="54"/>
      <c r="AF907" s="54"/>
      <c r="AG907" s="54"/>
      <c r="AH907" s="54"/>
      <c r="AI907" s="54"/>
    </row>
    <row r="908" spans="1:38" ht="16.5" thickBot="1">
      <c r="A908" s="136" t="s">
        <v>123</v>
      </c>
      <c r="B908" s="136"/>
      <c r="C908" s="307">
        <f>SUM(C906:C907)</f>
        <v>832282910.37473249</v>
      </c>
      <c r="D908" s="231"/>
      <c r="E908" s="232"/>
      <c r="F908" s="308" t="e">
        <f>F906+F907</f>
        <v>#REF!</v>
      </c>
      <c r="G908" s="231"/>
      <c r="H908" s="235"/>
      <c r="I908" s="308">
        <f>I906+I907</f>
        <v>48127735.95648998</v>
      </c>
      <c r="J908" s="231"/>
      <c r="K908" s="235"/>
      <c r="L908" s="308">
        <f>L906+L907</f>
        <v>54165684.95648998</v>
      </c>
      <c r="O908" s="144" t="s">
        <v>104</v>
      </c>
      <c r="P908" s="145">
        <v>54497614.337886855</v>
      </c>
      <c r="Q908" s="146">
        <v>0.1215</v>
      </c>
      <c r="R908" s="147"/>
      <c r="AB908" s="54"/>
      <c r="AC908" s="54"/>
      <c r="AD908" s="54"/>
      <c r="AE908" s="54"/>
      <c r="AF908" s="54"/>
      <c r="AG908" s="54"/>
      <c r="AH908" s="54"/>
      <c r="AI908" s="54"/>
    </row>
    <row r="909" spans="1:38" ht="16.5" thickTop="1">
      <c r="A909" s="136"/>
      <c r="B909" s="136"/>
      <c r="C909" s="168"/>
      <c r="D909" s="225"/>
      <c r="E909" s="127"/>
      <c r="F909" s="127"/>
      <c r="G909" s="225" t="s">
        <v>0</v>
      </c>
      <c r="H909" s="136"/>
      <c r="I909" s="127"/>
      <c r="J909" s="251" t="s">
        <v>0</v>
      </c>
      <c r="K909" s="136"/>
      <c r="L909" s="127" t="s">
        <v>0</v>
      </c>
      <c r="O909" s="150" t="s">
        <v>105</v>
      </c>
      <c r="P909" s="151">
        <f>P908-L908-L890</f>
        <v>375.86970301321708</v>
      </c>
      <c r="Q909" s="240" t="s">
        <v>0</v>
      </c>
      <c r="R909" s="241"/>
      <c r="AB909" s="54"/>
      <c r="AC909" s="54"/>
      <c r="AD909" s="54"/>
      <c r="AE909" s="54"/>
      <c r="AF909" s="54"/>
      <c r="AG909" s="54"/>
      <c r="AH909" s="54"/>
      <c r="AI909" s="54"/>
    </row>
    <row r="910" spans="1:38">
      <c r="A910" s="136"/>
      <c r="B910" s="136"/>
      <c r="C910" s="168"/>
      <c r="D910" s="225"/>
      <c r="E910" s="127"/>
      <c r="F910" s="127"/>
      <c r="G910" s="225"/>
      <c r="H910" s="136"/>
      <c r="I910" s="127" t="s">
        <v>0</v>
      </c>
      <c r="J910" s="225"/>
      <c r="K910" s="136"/>
      <c r="L910" s="282"/>
      <c r="N910" s="54"/>
      <c r="Q910" s="109"/>
      <c r="R910" s="109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4"/>
      <c r="AE910" s="54"/>
      <c r="AF910" s="54"/>
      <c r="AG910" s="54"/>
      <c r="AH910" s="54"/>
      <c r="AI910" s="54"/>
    </row>
    <row r="911" spans="1:38">
      <c r="A911" s="340" t="s">
        <v>224</v>
      </c>
      <c r="B911" s="136"/>
      <c r="C911" s="136"/>
      <c r="D911" s="127"/>
      <c r="E911" s="127"/>
      <c r="F911" s="136"/>
      <c r="G911" s="127"/>
      <c r="H911" s="136"/>
      <c r="I911" s="136"/>
      <c r="J911" s="127"/>
      <c r="K911" s="136"/>
      <c r="L911" s="136"/>
      <c r="N911" s="243"/>
      <c r="O911" s="243"/>
      <c r="P911" s="109"/>
      <c r="Q911" s="109"/>
      <c r="R911" s="109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  <c r="AE911" s="54"/>
      <c r="AF911" s="54"/>
      <c r="AG911" s="54"/>
      <c r="AH911" s="54"/>
      <c r="AI911" s="54"/>
    </row>
    <row r="912" spans="1:38">
      <c r="A912" s="149" t="s">
        <v>226</v>
      </c>
      <c r="B912" s="136"/>
      <c r="C912" s="136"/>
      <c r="D912" s="127"/>
      <c r="E912" s="127"/>
      <c r="F912" s="136"/>
      <c r="G912" s="127"/>
      <c r="H912" s="136"/>
      <c r="I912" s="136"/>
      <c r="J912" s="127"/>
      <c r="K912" s="136"/>
      <c r="L912" s="136"/>
      <c r="N912" s="54"/>
      <c r="O912" s="54"/>
      <c r="Q912" s="109"/>
      <c r="R912" s="109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  <c r="AE912" s="54"/>
      <c r="AF912" s="54"/>
      <c r="AG912" s="54"/>
      <c r="AH912" s="54"/>
      <c r="AI912" s="54"/>
    </row>
    <row r="913" spans="1:37">
      <c r="A913" s="209"/>
      <c r="B913" s="136"/>
      <c r="C913" s="136"/>
      <c r="D913" s="127"/>
      <c r="E913" s="127"/>
      <c r="F913" s="136"/>
      <c r="G913" s="127"/>
      <c r="H913" s="136"/>
      <c r="I913" s="136"/>
      <c r="J913" s="127"/>
      <c r="K913" s="136"/>
      <c r="L913" s="136"/>
      <c r="N913" s="54"/>
      <c r="O913" s="54"/>
      <c r="P913" s="109"/>
      <c r="Q913" s="109"/>
      <c r="R913" s="109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  <c r="AH913" s="54"/>
      <c r="AI913" s="54"/>
    </row>
    <row r="914" spans="1:37">
      <c r="A914" s="209" t="s">
        <v>135</v>
      </c>
      <c r="B914" s="136"/>
      <c r="C914" s="205"/>
      <c r="D914" s="127"/>
      <c r="E914" s="127"/>
      <c r="F914" s="136"/>
      <c r="G914" s="127"/>
      <c r="H914" s="136"/>
      <c r="I914" s="136"/>
      <c r="J914" s="127"/>
      <c r="K914" s="136"/>
      <c r="L914" s="136"/>
      <c r="N914" s="54"/>
      <c r="Q914" s="54"/>
      <c r="R914" s="54"/>
      <c r="S914" s="113" t="s">
        <v>0</v>
      </c>
      <c r="AA914" s="309"/>
      <c r="AB914" s="54"/>
      <c r="AC914" s="54"/>
      <c r="AD914" s="54"/>
      <c r="AE914" s="54"/>
      <c r="AF914" s="54"/>
      <c r="AG914" s="54"/>
      <c r="AH914" s="54"/>
      <c r="AI914" s="54"/>
      <c r="AJ914" s="54"/>
      <c r="AK914" s="54"/>
    </row>
    <row r="915" spans="1:37">
      <c r="A915" s="209" t="s">
        <v>220</v>
      </c>
      <c r="B915" s="136"/>
      <c r="C915" s="205">
        <f t="shared" ref="C915:F923" si="128">C1046+C1065</f>
        <v>695</v>
      </c>
      <c r="D915" s="225"/>
      <c r="E915" s="225"/>
      <c r="F915" s="127">
        <f>F1046+F1065</f>
        <v>848355</v>
      </c>
      <c r="G915" s="310"/>
      <c r="H915" s="207"/>
      <c r="I915" s="127">
        <f>I1046+I1065</f>
        <v>967593</v>
      </c>
      <c r="K915" s="207"/>
      <c r="L915" s="127">
        <f>L1046+L1065</f>
        <v>1082017</v>
      </c>
      <c r="N915" s="54"/>
      <c r="P915" s="225">
        <f>J953</f>
        <v>1548</v>
      </c>
      <c r="Q915" s="64">
        <f>(P915-G933)/G933</f>
        <v>0.11688311688311688</v>
      </c>
      <c r="R915" s="64"/>
      <c r="U915" s="176"/>
      <c r="V915" s="96"/>
      <c r="W915" s="176"/>
      <c r="X915" s="96"/>
      <c r="Y915" s="176"/>
      <c r="Z915" s="176"/>
      <c r="AA915" s="311"/>
      <c r="AB915" s="54"/>
      <c r="AC915" s="54"/>
      <c r="AD915" s="54"/>
      <c r="AE915" s="54"/>
      <c r="AF915" s="54"/>
      <c r="AG915" s="54"/>
      <c r="AH915" s="54"/>
      <c r="AI915" s="54"/>
      <c r="AJ915" s="54"/>
      <c r="AK915" s="54"/>
    </row>
    <row r="916" spans="1:37">
      <c r="A916" s="209" t="s">
        <v>221</v>
      </c>
      <c r="B916" s="136"/>
      <c r="C916" s="205">
        <f t="shared" si="128"/>
        <v>0</v>
      </c>
      <c r="D916" s="225"/>
      <c r="E916" s="225"/>
      <c r="F916" s="127">
        <f>F1047+F1066</f>
        <v>0</v>
      </c>
      <c r="G916" s="310"/>
      <c r="H916" s="210"/>
      <c r="I916" s="127">
        <f>I1047+I1066</f>
        <v>0</v>
      </c>
      <c r="K916" s="210"/>
      <c r="L916" s="127">
        <f>L1047+L1066</f>
        <v>0</v>
      </c>
      <c r="N916" s="54"/>
      <c r="P916" s="225">
        <f>J954</f>
        <v>1882</v>
      </c>
      <c r="Q916" s="64">
        <f>(P916-G934)/G934</f>
        <v>0.1235820895522388</v>
      </c>
      <c r="R916" s="64"/>
      <c r="U916" s="176"/>
      <c r="V916" s="96"/>
      <c r="W916" s="176"/>
      <c r="X916" s="96"/>
      <c r="Y916" s="176"/>
      <c r="Z916" s="176"/>
      <c r="AA916" s="311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</row>
    <row r="917" spans="1:37">
      <c r="A917" s="209" t="s">
        <v>136</v>
      </c>
      <c r="B917" s="136"/>
      <c r="C917" s="205">
        <f t="shared" si="128"/>
        <v>695</v>
      </c>
      <c r="D917" s="225"/>
      <c r="E917" s="225"/>
      <c r="F917" s="127"/>
      <c r="G917" s="310"/>
      <c r="H917" s="207"/>
      <c r="I917" s="127"/>
      <c r="K917" s="207"/>
      <c r="L917" s="127"/>
      <c r="N917" s="54"/>
      <c r="P917" s="225" t="s">
        <v>0</v>
      </c>
      <c r="Q917" s="206"/>
      <c r="R917" s="206"/>
      <c r="U917" s="176"/>
      <c r="V917" s="96"/>
      <c r="W917" s="176"/>
      <c r="X917" s="96"/>
      <c r="Y917" s="176"/>
      <c r="Z917" s="176"/>
      <c r="AA917" s="311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</row>
    <row r="918" spans="1:37">
      <c r="A918" s="209" t="s">
        <v>222</v>
      </c>
      <c r="B918" s="136"/>
      <c r="C918" s="205">
        <f t="shared" si="128"/>
        <v>993653</v>
      </c>
      <c r="D918" s="225"/>
      <c r="E918" s="225"/>
      <c r="F918" s="127">
        <f>F1049+F1068</f>
        <v>819275</v>
      </c>
      <c r="G918" s="310"/>
      <c r="H918" s="207"/>
      <c r="I918" s="127">
        <f>I1049+I1068</f>
        <v>946273</v>
      </c>
      <c r="K918" s="207"/>
      <c r="L918" s="127">
        <f>L1049+L1068</f>
        <v>1063335</v>
      </c>
      <c r="N918" s="54"/>
      <c r="P918" s="225">
        <f>J956</f>
        <v>1.19</v>
      </c>
      <c r="Q918" s="64">
        <f>(P918-G936)/G936</f>
        <v>0.12264150943396215</v>
      </c>
      <c r="R918" s="64"/>
      <c r="U918" s="176"/>
      <c r="V918" s="96"/>
      <c r="W918" s="176"/>
      <c r="X918" s="96"/>
      <c r="Y918" s="176"/>
      <c r="Z918" s="176"/>
      <c r="AA918" s="311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</row>
    <row r="919" spans="1:37">
      <c r="A919" s="209" t="s">
        <v>223</v>
      </c>
      <c r="B919" s="136"/>
      <c r="C919" s="205">
        <f t="shared" si="128"/>
        <v>0</v>
      </c>
      <c r="D919" s="225"/>
      <c r="E919" s="225"/>
      <c r="F919" s="127">
        <f>F1050+F1069</f>
        <v>0</v>
      </c>
      <c r="G919" s="310"/>
      <c r="H919" s="207"/>
      <c r="I919" s="127">
        <f>I1050+I1069</f>
        <v>0</v>
      </c>
      <c r="K919" s="207"/>
      <c r="L919" s="127">
        <f>L1050+L1069</f>
        <v>0</v>
      </c>
      <c r="N919" s="54"/>
      <c r="P919" s="225">
        <f>J957</f>
        <v>1.08</v>
      </c>
      <c r="Q919" s="64">
        <f>(P919-G937)/G937</f>
        <v>0.12500000000000011</v>
      </c>
      <c r="R919" s="64"/>
      <c r="U919" s="176"/>
      <c r="V919" s="96"/>
      <c r="W919" s="176"/>
      <c r="X919" s="96"/>
      <c r="Y919" s="176"/>
      <c r="Z919" s="176"/>
      <c r="AA919" s="311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</row>
    <row r="920" spans="1:37">
      <c r="A920" s="149" t="s">
        <v>150</v>
      </c>
      <c r="B920" s="136"/>
      <c r="C920" s="205">
        <f t="shared" si="128"/>
        <v>814415</v>
      </c>
      <c r="D920" s="205">
        <f t="shared" si="128"/>
        <v>0</v>
      </c>
      <c r="E920" s="205">
        <f t="shared" si="128"/>
        <v>0</v>
      </c>
      <c r="F920" s="205">
        <f t="shared" si="128"/>
        <v>5049094</v>
      </c>
      <c r="G920" s="310"/>
      <c r="H920" s="207"/>
      <c r="I920" s="127">
        <f>I1051+I1070</f>
        <v>5777099</v>
      </c>
      <c r="K920" s="207"/>
      <c r="L920" s="127">
        <f>L1051+L1070</f>
        <v>6734796</v>
      </c>
      <c r="N920" s="54"/>
      <c r="P920" s="225">
        <f>J958</f>
        <v>8.3000000000000007</v>
      </c>
      <c r="Q920" s="64">
        <f>(P920-G938)/G938</f>
        <v>0.16573033707865176</v>
      </c>
      <c r="R920" s="64"/>
      <c r="T920" s="109"/>
      <c r="U920" s="312"/>
      <c r="V920" s="311"/>
      <c r="W920" s="312"/>
      <c r="X920" s="311"/>
      <c r="Y920" s="312"/>
      <c r="Z920" s="109"/>
      <c r="AA920" s="311"/>
      <c r="AB920" s="54"/>
      <c r="AC920" s="54"/>
      <c r="AD920" s="54"/>
      <c r="AE920" s="54"/>
      <c r="AF920" s="54"/>
      <c r="AG920" s="54"/>
      <c r="AH920" s="54"/>
      <c r="AI920" s="54"/>
    </row>
    <row r="921" spans="1:37">
      <c r="A921" s="209" t="s">
        <v>172</v>
      </c>
      <c r="B921" s="136"/>
      <c r="C921" s="205">
        <f t="shared" si="128"/>
        <v>0</v>
      </c>
      <c r="D921" s="225"/>
      <c r="E921" s="225"/>
      <c r="F921" s="127"/>
      <c r="G921" s="310"/>
      <c r="H921" s="207"/>
      <c r="I921" s="127"/>
      <c r="K921" s="207"/>
      <c r="L921" s="127"/>
      <c r="N921" s="54"/>
      <c r="P921" s="225" t="s">
        <v>0</v>
      </c>
      <c r="Q921" s="206"/>
      <c r="R921" s="206"/>
      <c r="T921" s="109"/>
      <c r="U921" s="54"/>
      <c r="V921" s="54"/>
      <c r="W921" s="243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</row>
    <row r="922" spans="1:37">
      <c r="A922" s="209" t="s">
        <v>211</v>
      </c>
      <c r="B922" s="136"/>
      <c r="C922" s="205">
        <f t="shared" si="128"/>
        <v>355792393</v>
      </c>
      <c r="D922" s="305"/>
      <c r="E922" s="207"/>
      <c r="F922" s="127">
        <f>F1053+F1072</f>
        <v>13195983</v>
      </c>
      <c r="G922" s="310"/>
      <c r="H922" s="207"/>
      <c r="I922" s="127">
        <f>I1053+I1072</f>
        <v>15072663</v>
      </c>
      <c r="K922" s="207"/>
      <c r="L922" s="127">
        <f t="shared" ref="L922:L927" si="129">L1053+L1072</f>
        <v>5614925</v>
      </c>
      <c r="N922" s="54"/>
      <c r="P922" s="305">
        <f>J960+J962</f>
        <v>4.6950000000000003</v>
      </c>
      <c r="Q922" s="64">
        <f>(P922-G940)/G940</f>
        <v>0.10574658502119637</v>
      </c>
      <c r="R922" s="64"/>
      <c r="T922" s="109"/>
      <c r="U922" s="54"/>
      <c r="V922" s="54"/>
      <c r="W922" s="312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</row>
    <row r="923" spans="1:37">
      <c r="A923" s="209" t="s">
        <v>141</v>
      </c>
      <c r="B923" s="136"/>
      <c r="C923" s="205">
        <f t="shared" si="128"/>
        <v>199998</v>
      </c>
      <c r="D923" s="225"/>
      <c r="E923" s="207"/>
      <c r="F923" s="127">
        <f>F1054+F1073</f>
        <v>95835</v>
      </c>
      <c r="G923" s="310"/>
      <c r="H923" s="207"/>
      <c r="I923" s="127">
        <f>I1054+I1073</f>
        <v>109835</v>
      </c>
      <c r="K923" s="207"/>
      <c r="L923" s="127">
        <f t="shared" si="129"/>
        <v>123837</v>
      </c>
      <c r="N923" s="54"/>
      <c r="P923" s="225">
        <f>J941</f>
        <v>0.62</v>
      </c>
      <c r="Q923" s="64">
        <f>(P923-G941)/G941</f>
        <v>0.12727272727272718</v>
      </c>
      <c r="R923" s="64"/>
      <c r="T923" s="109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</row>
    <row r="924" spans="1:37">
      <c r="A924" s="134" t="s">
        <v>212</v>
      </c>
      <c r="C924" s="125"/>
      <c r="D924" s="133"/>
      <c r="E924" s="54"/>
      <c r="F924" s="127"/>
      <c r="G924" s="133"/>
      <c r="H924" s="54"/>
      <c r="I924" s="127"/>
      <c r="J924" s="126"/>
      <c r="K924" s="54"/>
      <c r="L924" s="127">
        <f t="shared" si="129"/>
        <v>11051436</v>
      </c>
      <c r="N924" s="128"/>
      <c r="P924" s="93"/>
      <c r="Q924" s="108"/>
      <c r="R924" s="108"/>
      <c r="S924" s="129"/>
      <c r="T924" s="129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K924" s="128"/>
    </row>
    <row r="925" spans="1:37">
      <c r="A925" s="136" t="s">
        <v>122</v>
      </c>
      <c r="B925" s="136"/>
      <c r="C925" s="205">
        <f>C1056+C1075</f>
        <v>355792393</v>
      </c>
      <c r="D925" s="215"/>
      <c r="E925" s="127"/>
      <c r="F925" s="127">
        <f>F1056+F1075</f>
        <v>20008542</v>
      </c>
      <c r="G925" s="210"/>
      <c r="H925" s="136"/>
      <c r="I925" s="127">
        <f>I1056+I1075</f>
        <v>22873463</v>
      </c>
      <c r="J925" s="127"/>
      <c r="K925" s="136"/>
      <c r="L925" s="127">
        <f t="shared" si="129"/>
        <v>25670346</v>
      </c>
      <c r="N925" s="54"/>
      <c r="O925" s="54"/>
      <c r="Q925" s="109"/>
      <c r="R925" s="109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</row>
    <row r="926" spans="1:37">
      <c r="A926" s="136" t="s">
        <v>102</v>
      </c>
      <c r="B926" s="136"/>
      <c r="C926" s="228">
        <f>C1057+C1076</f>
        <v>2562376.8072081548</v>
      </c>
      <c r="D926" s="149"/>
      <c r="E926" s="149"/>
      <c r="F926" s="306" t="e">
        <f>F1057+F1076</f>
        <v>#REF!</v>
      </c>
      <c r="G926" s="149"/>
      <c r="H926" s="149"/>
      <c r="I926" s="306">
        <f>I1057+I1076</f>
        <v>196038.57052329986</v>
      </c>
      <c r="J926" s="149"/>
      <c r="K926" s="149"/>
      <c r="L926" s="306">
        <f t="shared" si="129"/>
        <v>196038.57052329986</v>
      </c>
      <c r="N926" s="164"/>
      <c r="O926" s="164"/>
      <c r="P926" s="162"/>
      <c r="Q926" s="109"/>
      <c r="R926" s="109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</row>
    <row r="927" spans="1:37" ht="16.5" thickBot="1">
      <c r="A927" s="136" t="s">
        <v>123</v>
      </c>
      <c r="B927" s="136"/>
      <c r="C927" s="313">
        <f>C1058+C1077</f>
        <v>358354769.80720818</v>
      </c>
      <c r="D927" s="231"/>
      <c r="E927" s="232"/>
      <c r="F927" s="314" t="e">
        <f>F1058+F1077</f>
        <v>#REF!</v>
      </c>
      <c r="G927" s="231"/>
      <c r="H927" s="235"/>
      <c r="I927" s="314">
        <f>I1058+I1077</f>
        <v>23069501.570523299</v>
      </c>
      <c r="J927" s="231"/>
      <c r="K927" s="235"/>
      <c r="L927" s="314">
        <f t="shared" si="129"/>
        <v>25866384.570523299</v>
      </c>
      <c r="N927" s="165"/>
      <c r="O927" s="144" t="s">
        <v>104</v>
      </c>
      <c r="P927" s="145">
        <v>26198309.625206545</v>
      </c>
      <c r="Q927" s="146">
        <v>0.123345</v>
      </c>
      <c r="R927" s="147"/>
      <c r="S927" s="113" t="s">
        <v>227</v>
      </c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</row>
    <row r="928" spans="1:37" ht="16.5" thickTop="1">
      <c r="A928" s="136"/>
      <c r="B928" s="136"/>
      <c r="C928" s="247"/>
      <c r="D928" s="248"/>
      <c r="E928" s="249"/>
      <c r="F928" s="200"/>
      <c r="G928" s="248"/>
      <c r="H928" s="250"/>
      <c r="I928" s="200"/>
      <c r="J928" s="248"/>
      <c r="K928" s="250"/>
      <c r="L928" s="200"/>
      <c r="N928" s="165"/>
      <c r="O928" s="315" t="s">
        <v>105</v>
      </c>
      <c r="P928" s="196">
        <f>P927-O930</f>
        <v>371.54298938438296</v>
      </c>
      <c r="Q928" s="316"/>
      <c r="R928" s="109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  <c r="AH928" s="54"/>
      <c r="AI928" s="54"/>
    </row>
    <row r="929" spans="1:37">
      <c r="A929" s="340" t="s">
        <v>224</v>
      </c>
      <c r="B929" s="136"/>
      <c r="C929" s="136"/>
      <c r="D929" s="127"/>
      <c r="E929" s="127"/>
      <c r="F929" s="136"/>
      <c r="G929" s="127"/>
      <c r="H929" s="136"/>
      <c r="I929" s="136"/>
      <c r="J929" s="127"/>
      <c r="K929" s="136"/>
      <c r="N929" s="54"/>
      <c r="Q929" s="109"/>
      <c r="R929" s="109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</row>
    <row r="930" spans="1:37">
      <c r="A930" s="149" t="s">
        <v>228</v>
      </c>
      <c r="B930" s="136"/>
      <c r="C930" s="136"/>
      <c r="D930" s="127"/>
      <c r="E930" s="127"/>
      <c r="F930" s="136"/>
      <c r="G930" s="127"/>
      <c r="H930" s="136"/>
      <c r="I930" s="136"/>
      <c r="J930" s="127"/>
      <c r="K930" s="136"/>
      <c r="L930" s="136"/>
      <c r="N930" s="54"/>
      <c r="O930" s="127">
        <f>L890+L927</f>
        <v>26197938.082217161</v>
      </c>
      <c r="P930" s="317" t="s">
        <v>227</v>
      </c>
      <c r="Q930" s="318">
        <f>(O930-(I927+I890))/(I927+I890)</f>
        <v>0.12148409494854605</v>
      </c>
      <c r="R930" s="109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</row>
    <row r="931" spans="1:37">
      <c r="A931" s="209"/>
      <c r="B931" s="136"/>
      <c r="C931" s="136"/>
      <c r="D931" s="127"/>
      <c r="E931" s="127"/>
      <c r="F931" s="136"/>
      <c r="G931" s="127"/>
      <c r="H931" s="136"/>
      <c r="I931" s="136"/>
      <c r="J931" s="127"/>
      <c r="K931" s="136"/>
      <c r="L931" s="136"/>
      <c r="N931" s="54"/>
      <c r="O931" s="54"/>
      <c r="P931" s="109"/>
      <c r="Q931" s="109"/>
      <c r="R931" s="109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</row>
    <row r="932" spans="1:37">
      <c r="A932" s="209" t="s">
        <v>135</v>
      </c>
      <c r="B932" s="136"/>
      <c r="C932" s="205"/>
      <c r="D932" s="127"/>
      <c r="E932" s="127"/>
      <c r="F932" s="136"/>
      <c r="G932" s="127"/>
      <c r="H932" s="136"/>
      <c r="I932" s="136"/>
      <c r="J932" s="127"/>
      <c r="K932" s="136"/>
      <c r="L932" s="136"/>
      <c r="N932" s="54"/>
      <c r="O932" s="54"/>
      <c r="P932" s="109"/>
      <c r="Q932" s="109"/>
      <c r="R932" s="109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</row>
    <row r="933" spans="1:37">
      <c r="A933" s="209" t="s">
        <v>220</v>
      </c>
      <c r="B933" s="136"/>
      <c r="C933" s="205">
        <f t="shared" ref="C933:C938" si="130">C953+C971</f>
        <v>564</v>
      </c>
      <c r="D933" s="225">
        <v>1215</v>
      </c>
      <c r="E933" s="225"/>
      <c r="F933" s="127">
        <f>ROUND(D933*$C933,0)</f>
        <v>685260</v>
      </c>
      <c r="G933" s="225">
        <v>1386</v>
      </c>
      <c r="H933" s="207"/>
      <c r="I933" s="127">
        <f>ROUND(G933*C933,0)</f>
        <v>781704</v>
      </c>
      <c r="J933" s="225">
        <f>ROUND(G933*(1+$Q$927),0)-9</f>
        <v>1548</v>
      </c>
      <c r="K933" s="207"/>
      <c r="L933" s="127">
        <f>ROUND(J933*$C933,0)</f>
        <v>873072</v>
      </c>
      <c r="N933" s="54"/>
      <c r="O933" s="54"/>
      <c r="Q933" s="318">
        <f>(J933-G933)/G933</f>
        <v>0.11688311688311688</v>
      </c>
      <c r="R933" s="147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  <c r="AH933" s="54"/>
      <c r="AI933" s="54"/>
    </row>
    <row r="934" spans="1:37">
      <c r="A934" s="209" t="s">
        <v>221</v>
      </c>
      <c r="B934" s="136"/>
      <c r="C934" s="205">
        <f t="shared" si="130"/>
        <v>0</v>
      </c>
      <c r="D934" s="225">
        <v>1465</v>
      </c>
      <c r="E934" s="225"/>
      <c r="F934" s="127">
        <f>ROUND(D934*$C934,0)</f>
        <v>0</v>
      </c>
      <c r="G934" s="225">
        <v>1675</v>
      </c>
      <c r="H934" s="210"/>
      <c r="I934" s="127">
        <f>ROUND(G934*C934,0)</f>
        <v>0</v>
      </c>
      <c r="J934" s="225">
        <f>ROUND(G934*(1+$Q$927),0)</f>
        <v>1882</v>
      </c>
      <c r="K934" s="210"/>
      <c r="L934" s="127">
        <f>ROUND(J934*$C934,0)</f>
        <v>0</v>
      </c>
      <c r="N934" s="54"/>
      <c r="O934" s="54"/>
      <c r="Q934" s="318">
        <f>(J934-G934)/G934</f>
        <v>0.1235820895522388</v>
      </c>
      <c r="R934" s="147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  <c r="AH934" s="54"/>
      <c r="AI934" s="54"/>
    </row>
    <row r="935" spans="1:37">
      <c r="A935" s="209" t="s">
        <v>136</v>
      </c>
      <c r="B935" s="136"/>
      <c r="C935" s="205">
        <f t="shared" si="130"/>
        <v>564</v>
      </c>
      <c r="D935" s="225" t="s">
        <v>0</v>
      </c>
      <c r="E935" s="225"/>
      <c r="F935" s="127" t="s">
        <v>0</v>
      </c>
      <c r="G935" s="225" t="s">
        <v>0</v>
      </c>
      <c r="H935" s="207"/>
      <c r="I935" s="127" t="s">
        <v>0</v>
      </c>
      <c r="J935" s="225" t="s">
        <v>0</v>
      </c>
      <c r="K935" s="207"/>
      <c r="L935" s="127" t="s">
        <v>0</v>
      </c>
      <c r="N935" s="54"/>
      <c r="O935" s="54"/>
      <c r="Q935" s="319"/>
      <c r="R935" s="109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</row>
    <row r="936" spans="1:37">
      <c r="A936" s="209" t="s">
        <v>222</v>
      </c>
      <c r="B936" s="136"/>
      <c r="C936" s="205">
        <f t="shared" si="130"/>
        <v>791768</v>
      </c>
      <c r="D936" s="225">
        <v>0.92</v>
      </c>
      <c r="E936" s="225"/>
      <c r="F936" s="127">
        <f>ROUND(D936*$C936,0)</f>
        <v>728427</v>
      </c>
      <c r="G936" s="225">
        <v>1.06</v>
      </c>
      <c r="H936" s="207"/>
      <c r="I936" s="127">
        <f t="shared" ref="I936:I938" si="131">ROUND(G936*C936,0)</f>
        <v>839274</v>
      </c>
      <c r="J936" s="225">
        <f>ROUND(G936*(1+$Q$927),2)</f>
        <v>1.19</v>
      </c>
      <c r="K936" s="207"/>
      <c r="L936" s="127">
        <f>ROUND(J936*$C936,0)</f>
        <v>942204</v>
      </c>
      <c r="N936" s="54"/>
      <c r="O936" s="54"/>
      <c r="Q936" s="318">
        <f>(J936-G936)/G936</f>
        <v>0.12264150943396215</v>
      </c>
      <c r="R936" s="147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</row>
    <row r="937" spans="1:37">
      <c r="A937" s="209" t="s">
        <v>223</v>
      </c>
      <c r="B937" s="136"/>
      <c r="C937" s="205">
        <f t="shared" si="130"/>
        <v>0</v>
      </c>
      <c r="D937" s="225">
        <v>0.84</v>
      </c>
      <c r="E937" s="225"/>
      <c r="F937" s="127">
        <f>ROUND(D937*$C937,0)</f>
        <v>0</v>
      </c>
      <c r="G937" s="225">
        <v>0.96</v>
      </c>
      <c r="H937" s="207"/>
      <c r="I937" s="127">
        <f t="shared" si="131"/>
        <v>0</v>
      </c>
      <c r="J937" s="225">
        <f>ROUND(G937*(1+$Q$927),2)</f>
        <v>1.08</v>
      </c>
      <c r="K937" s="207"/>
      <c r="L937" s="127">
        <f>ROUND(J937*$C937,0)</f>
        <v>0</v>
      </c>
      <c r="N937" s="54"/>
      <c r="O937" s="54"/>
      <c r="Q937" s="318">
        <f>(J937-G937)/G937</f>
        <v>0.12500000000000011</v>
      </c>
      <c r="R937" s="147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</row>
    <row r="938" spans="1:37">
      <c r="A938" s="149" t="s">
        <v>150</v>
      </c>
      <c r="B938" s="136"/>
      <c r="C938" s="205">
        <f t="shared" si="130"/>
        <v>648754</v>
      </c>
      <c r="D938" s="225">
        <v>6.22</v>
      </c>
      <c r="E938" s="225"/>
      <c r="F938" s="127">
        <f>ROUND(D938*$C938,0)</f>
        <v>4035250</v>
      </c>
      <c r="G938" s="225">
        <v>7.12</v>
      </c>
      <c r="H938" s="207"/>
      <c r="I938" s="127">
        <f t="shared" si="131"/>
        <v>4619128</v>
      </c>
      <c r="J938" s="225">
        <f>ROUND(G938*(1+$Q$927),2)+0.3</f>
        <v>8.3000000000000007</v>
      </c>
      <c r="K938" s="207"/>
      <c r="L938" s="127">
        <f>ROUND(J938*$C938,0)</f>
        <v>5384658</v>
      </c>
      <c r="N938" s="54"/>
      <c r="O938" s="54"/>
      <c r="Q938" s="318">
        <f>(J938-G938)/G938</f>
        <v>0.16573033707865176</v>
      </c>
      <c r="R938" s="147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  <c r="AH938" s="54"/>
      <c r="AI938" s="54"/>
    </row>
    <row r="939" spans="1:37">
      <c r="A939" s="209" t="s">
        <v>172</v>
      </c>
      <c r="B939" s="136"/>
      <c r="C939" s="205"/>
      <c r="D939" s="225" t="s">
        <v>0</v>
      </c>
      <c r="E939" s="225"/>
      <c r="F939" s="127"/>
      <c r="G939" s="225" t="s">
        <v>0</v>
      </c>
      <c r="H939" s="207"/>
      <c r="I939" s="127"/>
      <c r="J939" s="225" t="s">
        <v>0</v>
      </c>
      <c r="K939" s="207"/>
      <c r="L939" s="127"/>
      <c r="N939" s="54"/>
      <c r="O939" s="54"/>
      <c r="Q939" s="319"/>
      <c r="R939" s="109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  <c r="AH939" s="54"/>
      <c r="AI939" s="54"/>
    </row>
    <row r="940" spans="1:37">
      <c r="A940" s="209" t="s">
        <v>211</v>
      </c>
      <c r="B940" s="136"/>
      <c r="C940" s="205">
        <f>C960+C978</f>
        <v>292306193</v>
      </c>
      <c r="D940" s="305">
        <v>3.718</v>
      </c>
      <c r="E940" s="207" t="s">
        <v>99</v>
      </c>
      <c r="F940" s="127">
        <f>ROUND(D940/100*$C940,0)</f>
        <v>10867944</v>
      </c>
      <c r="G940" s="305">
        <v>4.2460000000000004</v>
      </c>
      <c r="H940" s="207" t="s">
        <v>99</v>
      </c>
      <c r="I940" s="127">
        <f>ROUND(G940/100*C940,0)</f>
        <v>12411321</v>
      </c>
      <c r="J940" s="305">
        <f>ROUND(G940*(1+$Q$927)-J942,3)-0.075</f>
        <v>1.677</v>
      </c>
      <c r="K940" s="207" t="s">
        <v>99</v>
      </c>
      <c r="L940" s="127">
        <f>ROUND(J940/100*$C940,0)</f>
        <v>4901975</v>
      </c>
      <c r="N940" s="54"/>
      <c r="O940" s="54"/>
      <c r="Q940" s="318">
        <f>(J940+J942-G940)/G940</f>
        <v>0.10574658502119637</v>
      </c>
      <c r="R940" s="147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  <c r="AH940" s="54"/>
      <c r="AI940" s="54"/>
    </row>
    <row r="941" spans="1:37">
      <c r="A941" s="209" t="s">
        <v>141</v>
      </c>
      <c r="B941" s="136"/>
      <c r="C941" s="205">
        <f>C961+C979</f>
        <v>183678</v>
      </c>
      <c r="D941" s="225">
        <v>0.48</v>
      </c>
      <c r="E941" s="207"/>
      <c r="F941" s="127">
        <f>ROUND(D941*$C941,0)</f>
        <v>88165</v>
      </c>
      <c r="G941" s="225">
        <v>0.55000000000000004</v>
      </c>
      <c r="H941" s="207"/>
      <c r="I941" s="127">
        <f>ROUND(G941*C941,0)</f>
        <v>101023</v>
      </c>
      <c r="J941" s="225">
        <f>ROUND(G941*(1+$Q$927),2)</f>
        <v>0.62</v>
      </c>
      <c r="K941" s="207"/>
      <c r="L941" s="127">
        <f>ROUND(J941*$C941,0)</f>
        <v>113880</v>
      </c>
      <c r="N941" s="54"/>
      <c r="O941" s="54"/>
      <c r="Q941" s="318">
        <f>(J941-G941)/G941</f>
        <v>0.12727272727272718</v>
      </c>
      <c r="R941" s="147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  <c r="AH941" s="54"/>
      <c r="AI941" s="54"/>
    </row>
    <row r="942" spans="1:37">
      <c r="A942" s="134" t="s">
        <v>212</v>
      </c>
      <c r="C942" s="205">
        <f>C962+C980</f>
        <v>292306193</v>
      </c>
      <c r="D942" s="133"/>
      <c r="E942" s="54"/>
      <c r="F942" s="127"/>
      <c r="G942" s="133"/>
      <c r="H942" s="54"/>
      <c r="I942" s="127"/>
      <c r="J942" s="135">
        <f>ROUND(O942/(C942+C881)*100,3)</f>
        <v>3.0179999999999998</v>
      </c>
      <c r="K942" s="207" t="s">
        <v>99</v>
      </c>
      <c r="L942" s="127">
        <f>ROUND(J942/100*$C942,0)</f>
        <v>8821801</v>
      </c>
      <c r="N942" s="128"/>
      <c r="O942" s="128">
        <v>8873878.9220714904</v>
      </c>
      <c r="P942" s="93" t="s">
        <v>18</v>
      </c>
      <c r="Q942" s="108"/>
      <c r="R942" s="108"/>
      <c r="S942" s="129"/>
      <c r="T942" s="129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K942" s="128"/>
    </row>
    <row r="943" spans="1:37">
      <c r="A943" s="179" t="s">
        <v>213</v>
      </c>
      <c r="B943" s="180"/>
      <c r="C943" s="216"/>
      <c r="D943" s="182"/>
      <c r="E943" s="183"/>
      <c r="F943" s="184"/>
      <c r="G943" s="320">
        <f>G940</f>
        <v>4.2460000000000004</v>
      </c>
      <c r="H943" s="269" t="s">
        <v>99</v>
      </c>
      <c r="I943" s="184"/>
      <c r="J943" s="185">
        <f>J940+J942</f>
        <v>4.6950000000000003</v>
      </c>
      <c r="K943" s="269" t="s">
        <v>99</v>
      </c>
      <c r="L943" s="184"/>
      <c r="N943" s="128"/>
      <c r="O943" s="128"/>
      <c r="P943" s="93"/>
      <c r="Q943" s="318">
        <f>(J943-G943)/G943</f>
        <v>0.10574658502119637</v>
      </c>
      <c r="R943" s="108"/>
      <c r="S943" s="129"/>
      <c r="T943" s="129"/>
      <c r="Y943" s="54"/>
      <c r="Z943" s="54"/>
      <c r="AA943" s="54"/>
      <c r="AB943" s="54"/>
      <c r="AC943" s="54"/>
      <c r="AD943" s="54"/>
      <c r="AE943" s="54"/>
      <c r="AF943" s="54"/>
      <c r="AG943" s="54"/>
      <c r="AH943" s="54"/>
      <c r="AI943" s="54"/>
      <c r="AK943" s="128"/>
    </row>
    <row r="944" spans="1:37">
      <c r="A944" s="136" t="s">
        <v>122</v>
      </c>
      <c r="B944" s="136"/>
      <c r="C944" s="205">
        <f>C940</f>
        <v>292306193</v>
      </c>
      <c r="D944" s="215"/>
      <c r="E944" s="127"/>
      <c r="F944" s="127">
        <f>SUM(F933:F941)</f>
        <v>16405046</v>
      </c>
      <c r="G944" s="215"/>
      <c r="H944" s="136"/>
      <c r="I944" s="127">
        <f>SUM(I933:I941)</f>
        <v>18752450</v>
      </c>
      <c r="J944" s="215"/>
      <c r="K944" s="136"/>
      <c r="L944" s="127">
        <f>SUM(L933:L942)</f>
        <v>21037590</v>
      </c>
      <c r="N944" s="54"/>
      <c r="O944" s="54"/>
      <c r="P944" s="109"/>
      <c r="Q944" s="109"/>
      <c r="R944" s="109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  <c r="AE944" s="54"/>
      <c r="AF944" s="54"/>
      <c r="AG944" s="54"/>
      <c r="AH944" s="54"/>
      <c r="AI944" s="54"/>
    </row>
    <row r="945" spans="1:35">
      <c r="A945" s="136" t="s">
        <v>102</v>
      </c>
      <c r="B945" s="136"/>
      <c r="C945" s="205">
        <f>C964+C982</f>
        <v>2651326.442353046</v>
      </c>
      <c r="D945" s="149"/>
      <c r="E945" s="149"/>
      <c r="F945" s="321" t="e">
        <f>F964+F982</f>
        <v>#REF!</v>
      </c>
      <c r="G945" s="149"/>
      <c r="H945" s="149"/>
      <c r="I945" s="228">
        <f>I964+I982</f>
        <v>169058.49388907425</v>
      </c>
      <c r="J945" s="149"/>
      <c r="K945" s="149"/>
      <c r="L945" s="229">
        <f>I945</f>
        <v>169058.49388907425</v>
      </c>
      <c r="N945" s="164"/>
      <c r="O945" s="164"/>
      <c r="P945" s="162"/>
      <c r="Q945" s="109"/>
      <c r="R945" s="109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  <c r="AE945" s="54"/>
      <c r="AF945" s="54"/>
      <c r="AG945" s="54"/>
      <c r="AH945" s="54"/>
      <c r="AI945" s="54"/>
    </row>
    <row r="946" spans="1:35" ht="18" customHeight="1" thickBot="1">
      <c r="A946" s="136" t="s">
        <v>123</v>
      </c>
      <c r="B946" s="136"/>
      <c r="C946" s="302">
        <f>SUM(C944)+C945</f>
        <v>294957519.44235307</v>
      </c>
      <c r="D946" s="231"/>
      <c r="E946" s="232"/>
      <c r="F946" s="233" t="e">
        <f>F944+F945</f>
        <v>#REF!</v>
      </c>
      <c r="G946" s="231"/>
      <c r="H946" s="235"/>
      <c r="I946" s="233">
        <f>I944+I945</f>
        <v>18921508.493889075</v>
      </c>
      <c r="J946" s="231"/>
      <c r="K946" s="235"/>
      <c r="L946" s="233">
        <f>L944+L945</f>
        <v>21206648.493889075</v>
      </c>
      <c r="N946" s="165"/>
      <c r="O946" s="199" t="s">
        <v>0</v>
      </c>
      <c r="P946" s="317" t="s">
        <v>0</v>
      </c>
      <c r="Q946" s="109"/>
      <c r="R946" s="109"/>
      <c r="S946" s="96" t="s">
        <v>0</v>
      </c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  <c r="AE946" s="54"/>
      <c r="AF946" s="54"/>
      <c r="AG946" s="54"/>
      <c r="AH946" s="54"/>
      <c r="AI946" s="54"/>
    </row>
    <row r="947" spans="1:35" ht="16.5" thickTop="1">
      <c r="A947" s="136"/>
      <c r="B947" s="136"/>
      <c r="C947" s="168"/>
      <c r="D947" s="225"/>
      <c r="E947" s="127"/>
      <c r="F947" s="127"/>
      <c r="G947" s="225"/>
      <c r="H947" s="136"/>
      <c r="I947" s="127" t="s">
        <v>0</v>
      </c>
      <c r="J947" s="225"/>
      <c r="K947" s="136"/>
      <c r="L947" s="282"/>
      <c r="N947" s="54"/>
      <c r="O947" s="54"/>
      <c r="P947" s="109"/>
      <c r="Q947" s="109"/>
      <c r="R947" s="109"/>
      <c r="S947" s="199" t="s">
        <v>0</v>
      </c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  <c r="AE947" s="54"/>
      <c r="AF947" s="54"/>
      <c r="AG947" s="54"/>
      <c r="AH947" s="54"/>
      <c r="AI947" s="54"/>
    </row>
    <row r="948" spans="1:35" hidden="1">
      <c r="A948" s="136"/>
      <c r="B948" s="136"/>
      <c r="C948" s="168"/>
      <c r="D948" s="225"/>
      <c r="E948" s="127"/>
      <c r="F948" s="127"/>
      <c r="G948" s="225"/>
      <c r="H948" s="136"/>
      <c r="I948" s="127"/>
      <c r="J948" s="225"/>
      <c r="K948" s="136"/>
      <c r="L948" s="282"/>
      <c r="N948" s="54"/>
      <c r="Q948" s="109"/>
      <c r="R948" s="109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/>
      <c r="AE948" s="54"/>
      <c r="AF948" s="54"/>
      <c r="AG948" s="54"/>
      <c r="AH948" s="54"/>
      <c r="AI948" s="54"/>
    </row>
    <row r="949" spans="1:35" hidden="1">
      <c r="A949" s="167" t="s">
        <v>224</v>
      </c>
      <c r="B949" s="136"/>
      <c r="C949" s="136"/>
      <c r="D949" s="127"/>
      <c r="E949" s="127"/>
      <c r="F949" s="136"/>
      <c r="G949" s="127"/>
      <c r="H949" s="136"/>
      <c r="I949" s="136"/>
      <c r="J949" s="127"/>
      <c r="K949" s="136"/>
      <c r="L949" s="136"/>
      <c r="N949" s="54"/>
      <c r="O949" s="54"/>
      <c r="P949" s="109"/>
      <c r="Q949" s="109"/>
      <c r="R949" s="109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  <c r="AE949" s="54"/>
      <c r="AF949" s="54"/>
      <c r="AG949" s="54"/>
      <c r="AH949" s="54"/>
      <c r="AI949" s="54"/>
    </row>
    <row r="950" spans="1:35" hidden="1">
      <c r="A950" s="149" t="s">
        <v>229</v>
      </c>
      <c r="B950" s="136"/>
      <c r="C950" s="136"/>
      <c r="D950" s="127"/>
      <c r="E950" s="127"/>
      <c r="F950" s="136"/>
      <c r="G950" s="127"/>
      <c r="H950" s="136"/>
      <c r="I950" s="136"/>
      <c r="J950" s="127"/>
      <c r="K950" s="136"/>
      <c r="L950" s="136"/>
      <c r="N950" s="54"/>
      <c r="O950" s="54"/>
      <c r="P950" s="109"/>
      <c r="Q950" s="109"/>
      <c r="R950" s="109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4"/>
      <c r="AE950" s="54"/>
      <c r="AF950" s="54"/>
      <c r="AG950" s="54"/>
      <c r="AH950" s="54"/>
      <c r="AI950" s="54"/>
    </row>
    <row r="951" spans="1:35" hidden="1">
      <c r="A951" s="209"/>
      <c r="B951" s="136"/>
      <c r="C951" s="136"/>
      <c r="D951" s="127"/>
      <c r="E951" s="127"/>
      <c r="F951" s="136"/>
      <c r="G951" s="127"/>
      <c r="H951" s="136"/>
      <c r="I951" s="136"/>
      <c r="J951" s="127"/>
      <c r="K951" s="136"/>
      <c r="L951" s="136"/>
      <c r="N951" s="54"/>
      <c r="O951" s="54"/>
      <c r="P951" s="109"/>
      <c r="Q951" s="109"/>
      <c r="R951" s="109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4"/>
      <c r="AE951" s="54"/>
      <c r="AF951" s="54"/>
      <c r="AG951" s="54"/>
      <c r="AH951" s="54"/>
      <c r="AI951" s="54"/>
    </row>
    <row r="952" spans="1:35" hidden="1">
      <c r="A952" s="209" t="s">
        <v>135</v>
      </c>
      <c r="B952" s="136"/>
      <c r="C952" s="205"/>
      <c r="D952" s="127"/>
      <c r="E952" s="127"/>
      <c r="F952" s="136"/>
      <c r="G952" s="127"/>
      <c r="H952" s="136"/>
      <c r="I952" s="136"/>
      <c r="J952" s="127"/>
      <c r="K952" s="136"/>
      <c r="L952" s="136"/>
      <c r="N952" s="54"/>
      <c r="O952" s="54"/>
      <c r="P952" s="109" t="s">
        <v>0</v>
      </c>
      <c r="Q952" s="109"/>
      <c r="R952" s="109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4"/>
      <c r="AE952" s="54"/>
      <c r="AF952" s="54"/>
      <c r="AG952" s="54"/>
      <c r="AH952" s="54"/>
      <c r="AI952" s="54"/>
    </row>
    <row r="953" spans="1:35" hidden="1">
      <c r="A953" s="209" t="s">
        <v>220</v>
      </c>
      <c r="B953" s="136"/>
      <c r="C953" s="205">
        <v>214</v>
      </c>
      <c r="D953" s="225">
        <v>1215</v>
      </c>
      <c r="E953" s="225"/>
      <c r="F953" s="127">
        <f>ROUND(D953*$C953,0)</f>
        <v>260010</v>
      </c>
      <c r="G953" s="225">
        <v>1386</v>
      </c>
      <c r="H953" s="207"/>
      <c r="I953" s="127">
        <f>ROUND(G953*C953,0)</f>
        <v>296604</v>
      </c>
      <c r="J953" s="225">
        <f>J933</f>
        <v>1548</v>
      </c>
      <c r="K953" s="207"/>
      <c r="L953" s="127">
        <f>ROUND(J953*$C953,0)</f>
        <v>331272</v>
      </c>
      <c r="N953" s="54"/>
      <c r="O953" s="54"/>
      <c r="P953" s="109"/>
      <c r="Q953" s="109"/>
      <c r="R953" s="109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  <c r="AE953" s="54"/>
      <c r="AF953" s="54"/>
      <c r="AG953" s="54"/>
      <c r="AH953" s="54"/>
      <c r="AI953" s="54"/>
    </row>
    <row r="954" spans="1:35" hidden="1">
      <c r="A954" s="209" t="s">
        <v>221</v>
      </c>
      <c r="B954" s="136"/>
      <c r="C954" s="205">
        <v>0</v>
      </c>
      <c r="D954" s="225">
        <v>1465</v>
      </c>
      <c r="E954" s="225"/>
      <c r="F954" s="127">
        <f>ROUND(D954*$C954,0)</f>
        <v>0</v>
      </c>
      <c r="G954" s="225">
        <v>1675</v>
      </c>
      <c r="H954" s="210"/>
      <c r="I954" s="127">
        <f>ROUND(G954*C954,0)</f>
        <v>0</v>
      </c>
      <c r="J954" s="225">
        <f>J934</f>
        <v>1882</v>
      </c>
      <c r="K954" s="210"/>
      <c r="L954" s="127">
        <f>ROUND(J954*$C954,0)</f>
        <v>0</v>
      </c>
      <c r="N954" s="54"/>
      <c r="O954" s="54"/>
      <c r="P954" s="109"/>
      <c r="Q954" s="109"/>
      <c r="R954" s="109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4"/>
      <c r="AE954" s="54"/>
      <c r="AF954" s="54"/>
      <c r="AG954" s="54"/>
      <c r="AH954" s="54"/>
      <c r="AI954" s="54"/>
    </row>
    <row r="955" spans="1:35" hidden="1">
      <c r="A955" s="209" t="s">
        <v>136</v>
      </c>
      <c r="B955" s="136"/>
      <c r="C955" s="205">
        <f>SUM(C953:C954)</f>
        <v>214</v>
      </c>
      <c r="D955" s="225" t="s">
        <v>0</v>
      </c>
      <c r="E955" s="225"/>
      <c r="F955" s="127" t="s">
        <v>0</v>
      </c>
      <c r="G955" s="225" t="s">
        <v>0</v>
      </c>
      <c r="H955" s="207"/>
      <c r="I955" s="127" t="s">
        <v>0</v>
      </c>
      <c r="J955" s="225" t="s">
        <v>0</v>
      </c>
      <c r="K955" s="207"/>
      <c r="L955" s="127" t="s">
        <v>0</v>
      </c>
      <c r="N955" s="54"/>
      <c r="O955" s="54"/>
      <c r="P955" s="109"/>
      <c r="Q955" s="109"/>
      <c r="R955" s="109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  <c r="AE955" s="54"/>
      <c r="AF955" s="54"/>
      <c r="AG955" s="54"/>
      <c r="AH955" s="54"/>
      <c r="AI955" s="54"/>
    </row>
    <row r="956" spans="1:35" hidden="1">
      <c r="A956" s="209" t="s">
        <v>222</v>
      </c>
      <c r="B956" s="136"/>
      <c r="C956" s="205">
        <f>252258</f>
        <v>252258</v>
      </c>
      <c r="D956" s="225">
        <v>0.92</v>
      </c>
      <c r="E956" s="225"/>
      <c r="F956" s="127">
        <f>ROUND(D956*$C956,0)</f>
        <v>232077</v>
      </c>
      <c r="G956" s="225">
        <v>1.06</v>
      </c>
      <c r="H956" s="207"/>
      <c r="I956" s="127">
        <f t="shared" ref="I956:I958" si="132">ROUND(G956*C956,0)</f>
        <v>267393</v>
      </c>
      <c r="J956" s="225">
        <f>J936</f>
        <v>1.19</v>
      </c>
      <c r="K956" s="207"/>
      <c r="L956" s="127">
        <f>ROUND(J956*$C956,0)</f>
        <v>300187</v>
      </c>
      <c r="N956" s="54"/>
      <c r="O956" s="54"/>
      <c r="P956" s="109"/>
      <c r="Q956" s="109"/>
      <c r="R956" s="109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  <c r="AE956" s="54"/>
      <c r="AF956" s="54"/>
      <c r="AG956" s="54"/>
      <c r="AH956" s="54"/>
      <c r="AI956" s="54"/>
    </row>
    <row r="957" spans="1:35" hidden="1">
      <c r="A957" s="209" t="s">
        <v>223</v>
      </c>
      <c r="B957" s="136"/>
      <c r="C957" s="205">
        <v>0</v>
      </c>
      <c r="D957" s="225">
        <v>0.84</v>
      </c>
      <c r="E957" s="225"/>
      <c r="F957" s="127">
        <f>ROUND(D957*$C957,0)</f>
        <v>0</v>
      </c>
      <c r="G957" s="225">
        <v>0.96</v>
      </c>
      <c r="H957" s="207"/>
      <c r="I957" s="127">
        <f t="shared" si="132"/>
        <v>0</v>
      </c>
      <c r="J957" s="225">
        <f>J937</f>
        <v>1.08</v>
      </c>
      <c r="K957" s="207"/>
      <c r="L957" s="127">
        <f>ROUND(J957*$C957,0)</f>
        <v>0</v>
      </c>
      <c r="N957" s="54"/>
      <c r="O957" s="54"/>
      <c r="P957" s="109"/>
      <c r="Q957" s="109"/>
      <c r="R957" s="109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  <c r="AE957" s="54"/>
      <c r="AF957" s="54"/>
      <c r="AG957" s="54"/>
      <c r="AH957" s="54"/>
      <c r="AI957" s="54"/>
    </row>
    <row r="958" spans="1:35" hidden="1">
      <c r="A958" s="149" t="s">
        <v>150</v>
      </c>
      <c r="B958" s="136"/>
      <c r="C958" s="205">
        <f>181843</f>
        <v>181843</v>
      </c>
      <c r="D958" s="225">
        <v>6.22</v>
      </c>
      <c r="E958" s="225"/>
      <c r="F958" s="127">
        <f>ROUND(D958*$C958,0)</f>
        <v>1131063</v>
      </c>
      <c r="G958" s="225">
        <v>7.12</v>
      </c>
      <c r="H958" s="207"/>
      <c r="I958" s="127">
        <f t="shared" si="132"/>
        <v>1294722</v>
      </c>
      <c r="J958" s="225">
        <f>J938</f>
        <v>8.3000000000000007</v>
      </c>
      <c r="K958" s="207"/>
      <c r="L958" s="127">
        <f>ROUND(J958*$C958,0)</f>
        <v>1509297</v>
      </c>
      <c r="N958" s="54"/>
      <c r="O958" s="54"/>
      <c r="P958" s="109"/>
      <c r="Q958" s="109"/>
      <c r="R958" s="109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  <c r="AE958" s="54"/>
      <c r="AF958" s="54"/>
      <c r="AG958" s="54"/>
      <c r="AH958" s="54"/>
      <c r="AI958" s="54"/>
    </row>
    <row r="959" spans="1:35" hidden="1">
      <c r="A959" s="209" t="s">
        <v>172</v>
      </c>
      <c r="B959" s="136"/>
      <c r="C959" s="205"/>
      <c r="D959" s="225" t="s">
        <v>0</v>
      </c>
      <c r="E959" s="225"/>
      <c r="F959" s="127"/>
      <c r="G959" s="225" t="s">
        <v>0</v>
      </c>
      <c r="H959" s="207"/>
      <c r="I959" s="127"/>
      <c r="J959" s="225" t="s">
        <v>0</v>
      </c>
      <c r="K959" s="207"/>
      <c r="L959" s="127"/>
      <c r="N959" s="54"/>
      <c r="O959" s="54"/>
      <c r="P959" s="109"/>
      <c r="Q959" s="109"/>
      <c r="R959" s="109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  <c r="AE959" s="54"/>
      <c r="AF959" s="54"/>
      <c r="AG959" s="54"/>
      <c r="AH959" s="54"/>
      <c r="AI959" s="54"/>
    </row>
    <row r="960" spans="1:35" hidden="1">
      <c r="A960" s="209" t="s">
        <v>211</v>
      </c>
      <c r="B960" s="136"/>
      <c r="C960" s="205">
        <f>83386441</f>
        <v>83386441</v>
      </c>
      <c r="D960" s="305">
        <v>3.718</v>
      </c>
      <c r="E960" s="207" t="s">
        <v>99</v>
      </c>
      <c r="F960" s="127">
        <f>ROUND(D960/100*$C960,0)</f>
        <v>3100308</v>
      </c>
      <c r="G960" s="305">
        <v>4.2460000000000004</v>
      </c>
      <c r="H960" s="207" t="s">
        <v>99</v>
      </c>
      <c r="I960" s="127">
        <f>ROUND(G960/100*C960,0)</f>
        <v>3540588</v>
      </c>
      <c r="J960" s="305">
        <f>J940</f>
        <v>1.677</v>
      </c>
      <c r="K960" s="207" t="s">
        <v>99</v>
      </c>
      <c r="L960" s="127">
        <f>ROUND(J960/100*$C960,0)</f>
        <v>1398391</v>
      </c>
      <c r="N960" s="54"/>
      <c r="O960" s="54"/>
      <c r="P960" s="109"/>
      <c r="Q960" s="109"/>
      <c r="R960" s="109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4"/>
      <c r="AE960" s="54"/>
      <c r="AF960" s="54"/>
      <c r="AG960" s="54"/>
      <c r="AH960" s="54"/>
      <c r="AI960" s="54"/>
    </row>
    <row r="961" spans="1:37" hidden="1">
      <c r="A961" s="209" t="s">
        <v>141</v>
      </c>
      <c r="B961" s="136"/>
      <c r="C961" s="205">
        <f>24759</f>
        <v>24759</v>
      </c>
      <c r="D961" s="225">
        <v>0.48</v>
      </c>
      <c r="E961" s="207"/>
      <c r="F961" s="127">
        <f>ROUND(D961*$C961,0)</f>
        <v>11884</v>
      </c>
      <c r="G961" s="225">
        <v>0.55000000000000004</v>
      </c>
      <c r="H961" s="207"/>
      <c r="I961" s="127">
        <f>ROUND(G961*C961,0)</f>
        <v>13617</v>
      </c>
      <c r="J961" s="225">
        <f>J941</f>
        <v>0.62</v>
      </c>
      <c r="K961" s="207"/>
      <c r="L961" s="127">
        <f>ROUND(J961*$C961,0)</f>
        <v>15351</v>
      </c>
      <c r="N961" s="54"/>
      <c r="O961" s="54"/>
      <c r="P961" s="109"/>
      <c r="Q961" s="109"/>
      <c r="R961" s="109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  <c r="AE961" s="54"/>
      <c r="AF961" s="54"/>
      <c r="AG961" s="54"/>
      <c r="AH961" s="54"/>
      <c r="AI961" s="54"/>
    </row>
    <row r="962" spans="1:37" hidden="1">
      <c r="A962" s="134" t="s">
        <v>212</v>
      </c>
      <c r="C962" s="125">
        <f>C960</f>
        <v>83386441</v>
      </c>
      <c r="D962" s="133"/>
      <c r="E962" s="54"/>
      <c r="F962" s="127"/>
      <c r="G962" s="133"/>
      <c r="H962" s="54"/>
      <c r="I962" s="127"/>
      <c r="J962" s="135">
        <f>J942</f>
        <v>3.0179999999999998</v>
      </c>
      <c r="K962" s="207" t="s">
        <v>99</v>
      </c>
      <c r="L962" s="127">
        <f>ROUND(J962*$C962/100,0)</f>
        <v>2516603</v>
      </c>
      <c r="N962" s="128"/>
      <c r="P962" s="93"/>
      <c r="Q962" s="108"/>
      <c r="R962" s="108"/>
      <c r="S962" s="129"/>
      <c r="T962" s="129"/>
      <c r="Y962" s="54"/>
      <c r="Z962" s="54"/>
      <c r="AA962" s="54"/>
      <c r="AB962" s="54"/>
      <c r="AC962" s="54"/>
      <c r="AD962" s="54"/>
      <c r="AE962" s="54"/>
      <c r="AF962" s="54"/>
      <c r="AG962" s="54"/>
      <c r="AH962" s="54"/>
      <c r="AI962" s="54"/>
      <c r="AK962" s="128"/>
    </row>
    <row r="963" spans="1:37" hidden="1">
      <c r="A963" s="136" t="s">
        <v>122</v>
      </c>
      <c r="B963" s="136"/>
      <c r="C963" s="205">
        <f>C960</f>
        <v>83386441</v>
      </c>
      <c r="D963" s="215"/>
      <c r="E963" s="127"/>
      <c r="F963" s="127">
        <f>SUM(F953:F961)</f>
        <v>4735342</v>
      </c>
      <c r="G963" s="215"/>
      <c r="H963" s="136"/>
      <c r="I963" s="127">
        <f>SUM(I953:I961)</f>
        <v>5412924</v>
      </c>
      <c r="J963" s="215"/>
      <c r="K963" s="136"/>
      <c r="L963" s="127">
        <f>SUM(L953:L962)</f>
        <v>6071101</v>
      </c>
      <c r="N963" s="54"/>
      <c r="O963" s="54"/>
      <c r="P963" s="109"/>
      <c r="Q963" s="147"/>
      <c r="R963" s="147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  <c r="AE963" s="54"/>
      <c r="AF963" s="54"/>
      <c r="AG963" s="54"/>
      <c r="AH963" s="54"/>
      <c r="AI963" s="54"/>
    </row>
    <row r="964" spans="1:37" hidden="1">
      <c r="A964" s="136" t="s">
        <v>102</v>
      </c>
      <c r="B964" s="136"/>
      <c r="C964" s="205">
        <f>C963/($C$963+$C$1020)*$C$1057</f>
        <v>-214984.84813304298</v>
      </c>
      <c r="D964" s="149"/>
      <c r="E964" s="149"/>
      <c r="F964" s="306" t="e">
        <f>F963/($F$963+$F$1020)*$F$1057</f>
        <v>#REF!</v>
      </c>
      <c r="G964" s="149"/>
      <c r="H964" s="149"/>
      <c r="I964" s="228">
        <f>I963/($C$963+$C$1020)*$C$1057</f>
        <v>-13955.466022296161</v>
      </c>
      <c r="J964" s="149"/>
      <c r="K964" s="149"/>
      <c r="L964" s="229">
        <f>I964</f>
        <v>-13955.466022296161</v>
      </c>
      <c r="N964" s="164"/>
      <c r="O964" s="164"/>
      <c r="P964" s="147" t="s">
        <v>0</v>
      </c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  <c r="AE964" s="54"/>
      <c r="AF964" s="54"/>
      <c r="AG964" s="54"/>
      <c r="AH964" s="54"/>
      <c r="AI964" s="54"/>
    </row>
    <row r="965" spans="1:37" ht="16.5" hidden="1" thickBot="1">
      <c r="A965" s="136" t="s">
        <v>123</v>
      </c>
      <c r="B965" s="136"/>
      <c r="C965" s="302">
        <f>SUM(C963)+C964</f>
        <v>83171456.151866958</v>
      </c>
      <c r="D965" s="231"/>
      <c r="E965" s="232"/>
      <c r="F965" s="233" t="e">
        <f>F963+F964</f>
        <v>#REF!</v>
      </c>
      <c r="G965" s="231"/>
      <c r="H965" s="235"/>
      <c r="I965" s="233">
        <f>I963+I964</f>
        <v>5398968.5339777041</v>
      </c>
      <c r="J965" s="231"/>
      <c r="K965" s="235"/>
      <c r="L965" s="233">
        <f>L963+L964</f>
        <v>6057145.5339777041</v>
      </c>
      <c r="N965" s="165"/>
      <c r="O965" s="165"/>
      <c r="P965" s="147" t="s">
        <v>0</v>
      </c>
      <c r="Q965" s="109"/>
      <c r="R965" s="109"/>
      <c r="S965" s="96" t="s">
        <v>0</v>
      </c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  <c r="AH965" s="54"/>
      <c r="AI965" s="54"/>
    </row>
    <row r="966" spans="1:37" hidden="1">
      <c r="A966" s="136"/>
      <c r="B966" s="136"/>
      <c r="C966" s="168"/>
      <c r="D966" s="225"/>
      <c r="E966" s="127"/>
      <c r="F966" s="127"/>
      <c r="G966" s="225"/>
      <c r="H966" s="136"/>
      <c r="I966" s="127"/>
      <c r="J966" s="225"/>
      <c r="K966" s="136"/>
      <c r="L966" s="282"/>
      <c r="N966" s="54"/>
      <c r="O966" s="54"/>
      <c r="P966" s="109"/>
      <c r="Q966" s="109"/>
      <c r="R966" s="109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4"/>
      <c r="AE966" s="54"/>
      <c r="AF966" s="54"/>
      <c r="AG966" s="54"/>
      <c r="AH966" s="54"/>
      <c r="AI966" s="54"/>
    </row>
    <row r="967" spans="1:37" hidden="1">
      <c r="A967" s="167" t="s">
        <v>224</v>
      </c>
      <c r="B967" s="136"/>
      <c r="C967" s="136"/>
      <c r="D967" s="127"/>
      <c r="E967" s="127"/>
      <c r="F967" s="136"/>
      <c r="G967" s="127"/>
      <c r="H967" s="136"/>
      <c r="I967" s="136"/>
      <c r="J967" s="127"/>
      <c r="K967" s="136"/>
      <c r="L967" s="136"/>
      <c r="N967" s="54"/>
      <c r="O967" s="54"/>
      <c r="P967" s="109"/>
      <c r="Q967" s="109"/>
      <c r="R967" s="109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  <c r="AE967" s="54"/>
      <c r="AF967" s="54"/>
      <c r="AG967" s="54"/>
      <c r="AH967" s="54"/>
      <c r="AI967" s="54"/>
    </row>
    <row r="968" spans="1:37" hidden="1">
      <c r="A968" s="149" t="s">
        <v>230</v>
      </c>
      <c r="B968" s="136"/>
      <c r="C968" s="136"/>
      <c r="D968" s="127"/>
      <c r="E968" s="127"/>
      <c r="F968" s="136"/>
      <c r="G968" s="127"/>
      <c r="H968" s="136"/>
      <c r="I968" s="136"/>
      <c r="J968" s="127"/>
      <c r="K968" s="136"/>
      <c r="L968" s="136"/>
      <c r="N968" s="54"/>
      <c r="O968" s="54"/>
      <c r="P968" s="109"/>
      <c r="Q968" s="109"/>
      <c r="R968" s="109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  <c r="AH968" s="54"/>
      <c r="AI968" s="54"/>
    </row>
    <row r="969" spans="1:37" hidden="1">
      <c r="A969" s="209"/>
      <c r="B969" s="136"/>
      <c r="C969" s="136"/>
      <c r="D969" s="127"/>
      <c r="E969" s="127"/>
      <c r="F969" s="136"/>
      <c r="G969" s="127"/>
      <c r="H969" s="136"/>
      <c r="I969" s="136"/>
      <c r="J969" s="127"/>
      <c r="K969" s="136"/>
      <c r="L969" s="136"/>
      <c r="N969" s="54"/>
      <c r="O969" s="54"/>
      <c r="P969" s="109"/>
      <c r="Q969" s="109"/>
      <c r="R969" s="109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  <c r="AH969" s="54"/>
      <c r="AI969" s="54"/>
    </row>
    <row r="970" spans="1:37" hidden="1">
      <c r="A970" s="209" t="s">
        <v>135</v>
      </c>
      <c r="B970" s="136"/>
      <c r="C970" s="205"/>
      <c r="D970" s="127"/>
      <c r="E970" s="127"/>
      <c r="F970" s="136"/>
      <c r="G970" s="127"/>
      <c r="H970" s="136"/>
      <c r="I970" s="136"/>
      <c r="J970" s="127"/>
      <c r="K970" s="136"/>
      <c r="L970" s="136"/>
      <c r="N970" s="54"/>
      <c r="O970" s="54"/>
      <c r="P970" s="109"/>
      <c r="Q970" s="109"/>
      <c r="R970" s="109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  <c r="AH970" s="54"/>
      <c r="AI970" s="54"/>
    </row>
    <row r="971" spans="1:37" hidden="1">
      <c r="A971" s="209" t="s">
        <v>220</v>
      </c>
      <c r="B971" s="136"/>
      <c r="C971" s="205">
        <f>350</f>
        <v>350</v>
      </c>
      <c r="D971" s="225">
        <v>1215</v>
      </c>
      <c r="E971" s="225"/>
      <c r="F971" s="127">
        <f>ROUND(D971*$C971,0)</f>
        <v>425250</v>
      </c>
      <c r="G971" s="225">
        <v>1386</v>
      </c>
      <c r="H971" s="207"/>
      <c r="I971" s="127">
        <f>ROUND(G971*C971,0)</f>
        <v>485100</v>
      </c>
      <c r="J971" s="225">
        <f>J933</f>
        <v>1548</v>
      </c>
      <c r="K971" s="207"/>
      <c r="L971" s="127">
        <f>ROUND(J971*$C971,0)</f>
        <v>541800</v>
      </c>
      <c r="N971" s="54"/>
      <c r="O971" s="54"/>
      <c r="P971" s="109"/>
      <c r="Q971" s="109"/>
      <c r="R971" s="109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  <c r="AC971" s="54"/>
      <c r="AD971" s="54"/>
      <c r="AE971" s="54"/>
      <c r="AF971" s="54"/>
      <c r="AG971" s="54"/>
      <c r="AH971" s="54"/>
      <c r="AI971" s="54"/>
    </row>
    <row r="972" spans="1:37" hidden="1">
      <c r="A972" s="209" t="s">
        <v>221</v>
      </c>
      <c r="B972" s="136"/>
      <c r="C972" s="205">
        <v>0</v>
      </c>
      <c r="D972" s="225">
        <v>1465</v>
      </c>
      <c r="E972" s="225"/>
      <c r="F972" s="127">
        <f>ROUND(D972*$C972,0)</f>
        <v>0</v>
      </c>
      <c r="G972" s="225">
        <v>1675</v>
      </c>
      <c r="H972" s="210"/>
      <c r="I972" s="127">
        <f>ROUND(G972*C972,0)</f>
        <v>0</v>
      </c>
      <c r="J972" s="225">
        <f>J934</f>
        <v>1882</v>
      </c>
      <c r="K972" s="210"/>
      <c r="L972" s="127">
        <f>ROUND(J972*$C972,0)</f>
        <v>0</v>
      </c>
      <c r="N972" s="54"/>
      <c r="O972" s="54"/>
      <c r="P972" s="109"/>
      <c r="Q972" s="109"/>
      <c r="R972" s="109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4"/>
      <c r="AE972" s="54"/>
      <c r="AF972" s="54"/>
      <c r="AG972" s="54"/>
      <c r="AH972" s="54"/>
      <c r="AI972" s="54"/>
    </row>
    <row r="973" spans="1:37" hidden="1">
      <c r="A973" s="209" t="s">
        <v>136</v>
      </c>
      <c r="B973" s="136"/>
      <c r="C973" s="205">
        <f>SUM(C971:C972)</f>
        <v>350</v>
      </c>
      <c r="D973" s="225" t="s">
        <v>0</v>
      </c>
      <c r="E973" s="225"/>
      <c r="F973" s="127" t="s">
        <v>0</v>
      </c>
      <c r="G973" s="225" t="s">
        <v>0</v>
      </c>
      <c r="H973" s="207"/>
      <c r="I973" s="127" t="s">
        <v>0</v>
      </c>
      <c r="J973" s="225" t="s">
        <v>0</v>
      </c>
      <c r="K973" s="207"/>
      <c r="L973" s="127" t="s">
        <v>0</v>
      </c>
      <c r="N973" s="54"/>
      <c r="O973" s="54"/>
      <c r="P973" s="109"/>
      <c r="Q973" s="109"/>
      <c r="R973" s="109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  <c r="AE973" s="54"/>
      <c r="AF973" s="54"/>
      <c r="AG973" s="54"/>
      <c r="AH973" s="54"/>
      <c r="AI973" s="54"/>
    </row>
    <row r="974" spans="1:37" hidden="1">
      <c r="A974" s="209" t="s">
        <v>222</v>
      </c>
      <c r="B974" s="136"/>
      <c r="C974" s="205">
        <f>539510</f>
        <v>539510</v>
      </c>
      <c r="D974" s="225">
        <v>0.92</v>
      </c>
      <c r="E974" s="225"/>
      <c r="F974" s="127">
        <f>ROUND(D974*$C974,0)</f>
        <v>496349</v>
      </c>
      <c r="G974" s="225">
        <v>1.06</v>
      </c>
      <c r="H974" s="207"/>
      <c r="I974" s="127">
        <f t="shared" ref="I974:I976" si="133">ROUND(G974*C974,0)</f>
        <v>571881</v>
      </c>
      <c r="J974" s="225">
        <f>J936</f>
        <v>1.19</v>
      </c>
      <c r="K974" s="207"/>
      <c r="L974" s="127">
        <f>ROUND(J974*$C974,0)</f>
        <v>642017</v>
      </c>
      <c r="N974" s="54"/>
      <c r="O974" s="54"/>
      <c r="P974" s="109"/>
      <c r="Q974" s="109"/>
      <c r="R974" s="109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</row>
    <row r="975" spans="1:37" hidden="1">
      <c r="A975" s="209" t="s">
        <v>223</v>
      </c>
      <c r="B975" s="136"/>
      <c r="C975" s="205">
        <v>0</v>
      </c>
      <c r="D975" s="225">
        <v>0.84</v>
      </c>
      <c r="E975" s="225"/>
      <c r="F975" s="127">
        <f>ROUND(D975*$C975,0)</f>
        <v>0</v>
      </c>
      <c r="G975" s="225">
        <v>0.96</v>
      </c>
      <c r="H975" s="207"/>
      <c r="I975" s="127">
        <f t="shared" si="133"/>
        <v>0</v>
      </c>
      <c r="J975" s="225">
        <f>J937</f>
        <v>1.08</v>
      </c>
      <c r="K975" s="207"/>
      <c r="L975" s="127">
        <f>ROUND(J975*$C975,0)</f>
        <v>0</v>
      </c>
      <c r="N975" s="54"/>
      <c r="O975" s="54"/>
      <c r="P975" s="109"/>
      <c r="Q975" s="109"/>
      <c r="R975" s="109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</row>
    <row r="976" spans="1:37" hidden="1">
      <c r="A976" s="149" t="s">
        <v>150</v>
      </c>
      <c r="B976" s="136"/>
      <c r="C976" s="205">
        <f>466911</f>
        <v>466911</v>
      </c>
      <c r="D976" s="225">
        <v>6.22</v>
      </c>
      <c r="E976" s="225"/>
      <c r="F976" s="127">
        <f>ROUND(D976*$C976,0)</f>
        <v>2904186</v>
      </c>
      <c r="G976" s="225">
        <v>7.12</v>
      </c>
      <c r="H976" s="207"/>
      <c r="I976" s="127">
        <f t="shared" si="133"/>
        <v>3324406</v>
      </c>
      <c r="J976" s="225">
        <f>J938</f>
        <v>8.3000000000000007</v>
      </c>
      <c r="K976" s="207"/>
      <c r="L976" s="127">
        <f>ROUND(J976*$C976,0)</f>
        <v>3875361</v>
      </c>
      <c r="N976" s="54"/>
      <c r="O976" s="54"/>
      <c r="P976" s="109"/>
      <c r="Q976" s="109"/>
      <c r="R976" s="109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</row>
    <row r="977" spans="1:37" hidden="1">
      <c r="A977" s="209" t="s">
        <v>172</v>
      </c>
      <c r="B977" s="136"/>
      <c r="C977" s="205"/>
      <c r="D977" s="225" t="s">
        <v>0</v>
      </c>
      <c r="E977" s="225"/>
      <c r="F977" s="127"/>
      <c r="G977" s="225" t="s">
        <v>0</v>
      </c>
      <c r="H977" s="207"/>
      <c r="I977" s="127"/>
      <c r="J977" s="225" t="s">
        <v>0</v>
      </c>
      <c r="K977" s="207"/>
      <c r="L977" s="127"/>
      <c r="N977" s="54"/>
      <c r="O977" s="54"/>
      <c r="P977" s="109"/>
      <c r="Q977" s="109"/>
      <c r="R977" s="109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</row>
    <row r="978" spans="1:37" hidden="1">
      <c r="A978" s="209" t="s">
        <v>211</v>
      </c>
      <c r="B978" s="136"/>
      <c r="C978" s="205">
        <f>208919752</f>
        <v>208919752</v>
      </c>
      <c r="D978" s="305">
        <v>3.718</v>
      </c>
      <c r="E978" s="207" t="s">
        <v>99</v>
      </c>
      <c r="F978" s="127">
        <f>ROUND(D978/100*$C978,0)</f>
        <v>7767636</v>
      </c>
      <c r="G978" s="305">
        <v>4.2460000000000004</v>
      </c>
      <c r="H978" s="207" t="s">
        <v>99</v>
      </c>
      <c r="I978" s="127">
        <f>ROUND(G978/100*C978,0)</f>
        <v>8870733</v>
      </c>
      <c r="J978" s="305">
        <f>J940</f>
        <v>1.677</v>
      </c>
      <c r="K978" s="207" t="s">
        <v>99</v>
      </c>
      <c r="L978" s="127">
        <f>ROUND(J978/100*$C978,0)</f>
        <v>3503584</v>
      </c>
      <c r="N978" s="54"/>
      <c r="O978" s="54"/>
      <c r="P978" s="109"/>
      <c r="Q978" s="109"/>
      <c r="R978" s="109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</row>
    <row r="979" spans="1:37" hidden="1">
      <c r="A979" s="209" t="s">
        <v>141</v>
      </c>
      <c r="B979" s="136"/>
      <c r="C979" s="205">
        <f>158919</f>
        <v>158919</v>
      </c>
      <c r="D979" s="225">
        <v>0.48</v>
      </c>
      <c r="E979" s="207"/>
      <c r="F979" s="127">
        <f>ROUND(D979*$C979,0)</f>
        <v>76281</v>
      </c>
      <c r="G979" s="225">
        <v>0.55000000000000004</v>
      </c>
      <c r="H979" s="207"/>
      <c r="I979" s="127">
        <f>ROUND(G979*C979,0)</f>
        <v>87405</v>
      </c>
      <c r="J979" s="225">
        <f>J941</f>
        <v>0.62</v>
      </c>
      <c r="K979" s="207"/>
      <c r="L979" s="127">
        <f>ROUND(J979*$C979,0)</f>
        <v>98530</v>
      </c>
      <c r="N979" s="54"/>
      <c r="O979" s="54"/>
      <c r="P979" s="109"/>
      <c r="Q979" s="109"/>
      <c r="R979" s="109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</row>
    <row r="980" spans="1:37" hidden="1">
      <c r="A980" s="134" t="s">
        <v>212</v>
      </c>
      <c r="C980" s="125">
        <f>C978</f>
        <v>208919752</v>
      </c>
      <c r="D980" s="133"/>
      <c r="E980" s="54"/>
      <c r="F980" s="127"/>
      <c r="G980" s="133"/>
      <c r="H980" s="54"/>
      <c r="I980" s="127"/>
      <c r="J980" s="135">
        <f>J942</f>
        <v>3.0179999999999998</v>
      </c>
      <c r="K980" s="207" t="s">
        <v>99</v>
      </c>
      <c r="L980" s="127">
        <f>ROUND(J980*$C980/100,0)</f>
        <v>6305198</v>
      </c>
      <c r="N980" s="128"/>
      <c r="P980" s="93"/>
      <c r="Q980" s="108"/>
      <c r="R980" s="108"/>
      <c r="S980" s="129"/>
      <c r="T980" s="129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K980" s="128"/>
    </row>
    <row r="981" spans="1:37" hidden="1">
      <c r="A981" s="136" t="s">
        <v>122</v>
      </c>
      <c r="B981" s="136"/>
      <c r="C981" s="205">
        <f>C978</f>
        <v>208919752</v>
      </c>
      <c r="D981" s="215"/>
      <c r="E981" s="127"/>
      <c r="F981" s="127">
        <f>SUM(F971:F979)</f>
        <v>11669702</v>
      </c>
      <c r="G981" s="215"/>
      <c r="H981" s="136"/>
      <c r="I981" s="127">
        <f>SUM(I971:I979)</f>
        <v>13339525</v>
      </c>
      <c r="J981" s="215"/>
      <c r="K981" s="136"/>
      <c r="L981" s="127">
        <f>SUM(L971:L980)</f>
        <v>14966490</v>
      </c>
      <c r="N981" s="54"/>
      <c r="O981" s="199" t="s">
        <v>0</v>
      </c>
      <c r="P981" s="109"/>
      <c r="Q981" s="109"/>
      <c r="R981" s="109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</row>
    <row r="982" spans="1:37" hidden="1">
      <c r="A982" s="136" t="s">
        <v>102</v>
      </c>
      <c r="B982" s="136"/>
      <c r="C982" s="205">
        <f>C981/($C$981+$C$1038)*$C$1076</f>
        <v>2866311.290486089</v>
      </c>
      <c r="D982" s="149"/>
      <c r="E982" s="149"/>
      <c r="F982" s="306" t="e">
        <f>F981/($F$981+$F$1038)*$F$1076</f>
        <v>#REF!</v>
      </c>
      <c r="G982" s="149"/>
      <c r="H982" s="149"/>
      <c r="I982" s="228">
        <f>I981/($C$981+$C$1038)*$C$1076</f>
        <v>183013.95991137042</v>
      </c>
      <c r="J982" s="149"/>
      <c r="K982" s="149"/>
      <c r="L982" s="229">
        <f>I982</f>
        <v>183013.95991137042</v>
      </c>
      <c r="N982" s="164"/>
      <c r="O982" s="164"/>
      <c r="P982" s="162"/>
      <c r="Q982" s="109"/>
      <c r="R982" s="109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  <c r="AE982" s="54"/>
      <c r="AF982" s="54"/>
      <c r="AG982" s="54"/>
      <c r="AH982" s="54"/>
      <c r="AI982" s="54"/>
    </row>
    <row r="983" spans="1:37" ht="16.5" hidden="1" thickBot="1">
      <c r="A983" s="136" t="s">
        <v>123</v>
      </c>
      <c r="B983" s="136"/>
      <c r="C983" s="302">
        <f>SUM(C981)+C982</f>
        <v>211786063.2904861</v>
      </c>
      <c r="D983" s="231"/>
      <c r="E983" s="232"/>
      <c r="F983" s="233" t="e">
        <f>F981+F982</f>
        <v>#REF!</v>
      </c>
      <c r="G983" s="231"/>
      <c r="H983" s="235"/>
      <c r="I983" s="233">
        <f>I981+I982</f>
        <v>13522538.959911371</v>
      </c>
      <c r="J983" s="231"/>
      <c r="K983" s="235"/>
      <c r="L983" s="233">
        <f>L981+L982</f>
        <v>15149503.959911371</v>
      </c>
      <c r="N983" s="165"/>
      <c r="O983" s="165"/>
      <c r="P983" s="166"/>
      <c r="Q983" s="109"/>
      <c r="R983" s="109"/>
      <c r="S983" s="96" t="s">
        <v>0</v>
      </c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</row>
    <row r="984" spans="1:37" hidden="1">
      <c r="A984" s="136"/>
      <c r="B984" s="136"/>
      <c r="C984" s="168"/>
      <c r="D984" s="225"/>
      <c r="E984" s="127"/>
      <c r="F984" s="127"/>
      <c r="G984" s="225"/>
      <c r="H984" s="136"/>
      <c r="I984" s="127"/>
      <c r="J984" s="225"/>
      <c r="K984" s="136"/>
      <c r="L984" s="282"/>
      <c r="N984" s="54"/>
      <c r="P984" s="109"/>
      <c r="Q984" s="147" t="s">
        <v>0</v>
      </c>
      <c r="R984" s="147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</row>
    <row r="985" spans="1:37">
      <c r="A985" s="340" t="s">
        <v>224</v>
      </c>
      <c r="B985" s="136"/>
      <c r="C985" s="136"/>
      <c r="D985" s="127"/>
      <c r="E985" s="127"/>
      <c r="F985" s="136"/>
      <c r="G985" s="127"/>
      <c r="H985" s="136"/>
      <c r="I985" s="136"/>
      <c r="J985" s="127"/>
      <c r="K985" s="136"/>
      <c r="L985" s="136"/>
      <c r="N985" s="54"/>
      <c r="O985" s="54"/>
      <c r="P985" s="109"/>
      <c r="Q985" s="109"/>
      <c r="R985" s="109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</row>
    <row r="986" spans="1:37">
      <c r="A986" s="149" t="s">
        <v>231</v>
      </c>
      <c r="B986" s="136"/>
      <c r="C986" s="136"/>
      <c r="D986" s="127"/>
      <c r="E986" s="127"/>
      <c r="F986" s="136"/>
      <c r="G986" s="127"/>
      <c r="H986" s="136"/>
      <c r="I986" s="136"/>
      <c r="J986" s="127"/>
      <c r="K986" s="136"/>
      <c r="L986" s="136"/>
      <c r="N986" s="54"/>
      <c r="O986" s="54"/>
      <c r="P986" s="109"/>
      <c r="Q986" s="109"/>
      <c r="R986" s="109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</row>
    <row r="987" spans="1:37">
      <c r="A987" s="136" t="s">
        <v>0</v>
      </c>
      <c r="B987" s="136"/>
      <c r="C987" s="136"/>
      <c r="D987" s="127"/>
      <c r="E987" s="127"/>
      <c r="F987" s="136"/>
      <c r="G987" s="127"/>
      <c r="H987" s="136"/>
      <c r="I987" s="136"/>
      <c r="J987" s="127"/>
      <c r="K987" s="136"/>
      <c r="L987" s="136"/>
      <c r="N987" s="54"/>
      <c r="O987" s="54"/>
      <c r="P987" s="109"/>
      <c r="Q987" s="109"/>
      <c r="R987" s="109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</row>
    <row r="988" spans="1:37">
      <c r="A988" s="209" t="s">
        <v>135</v>
      </c>
      <c r="B988" s="136"/>
      <c r="C988" s="205"/>
      <c r="D988" s="127"/>
      <c r="E988" s="127"/>
      <c r="F988" s="136"/>
      <c r="G988" s="127"/>
      <c r="H988" s="136"/>
      <c r="I988" s="136"/>
      <c r="J988" s="127"/>
      <c r="K988" s="136"/>
      <c r="L988" s="136"/>
      <c r="N988" s="54"/>
      <c r="P988" s="109"/>
      <c r="Q988" s="109"/>
      <c r="R988" s="109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  <c r="AE988" s="54"/>
      <c r="AF988" s="54"/>
      <c r="AG988" s="54"/>
      <c r="AH988" s="54"/>
      <c r="AI988" s="54"/>
    </row>
    <row r="989" spans="1:37">
      <c r="A989" s="209" t="s">
        <v>220</v>
      </c>
      <c r="B989" s="136"/>
      <c r="C989" s="205">
        <f t="shared" ref="C989:C994" si="134">C1010+C1028</f>
        <v>131</v>
      </c>
      <c r="D989" s="225">
        <v>1245</v>
      </c>
      <c r="E989" s="225"/>
      <c r="F989" s="127">
        <f>ROUND(D989*$C989,0)</f>
        <v>163095</v>
      </c>
      <c r="G989" s="225">
        <v>1419</v>
      </c>
      <c r="H989" s="207"/>
      <c r="I989" s="127">
        <f>ROUND(G989*C989,0)</f>
        <v>185889</v>
      </c>
      <c r="J989" s="225">
        <f>ROUND(G989*(1+$Q$927),0)+1</f>
        <v>1595</v>
      </c>
      <c r="K989" s="207"/>
      <c r="L989" s="127">
        <f>ROUND(J989*$C989,0)</f>
        <v>208945</v>
      </c>
      <c r="N989" s="54"/>
      <c r="O989" s="54"/>
      <c r="Q989" s="318">
        <f>(J989-G989)/G989</f>
        <v>0.12403100775193798</v>
      </c>
      <c r="R989" s="147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  <c r="AH989" s="54"/>
      <c r="AI989" s="54"/>
    </row>
    <row r="990" spans="1:37">
      <c r="A990" s="209" t="s">
        <v>221</v>
      </c>
      <c r="B990" s="136"/>
      <c r="C990" s="205">
        <f t="shared" si="134"/>
        <v>0</v>
      </c>
      <c r="D990" s="225">
        <v>1490</v>
      </c>
      <c r="E990" s="225"/>
      <c r="F990" s="127">
        <f>ROUND(D990*$C990,0)</f>
        <v>0</v>
      </c>
      <c r="G990" s="225">
        <v>1707</v>
      </c>
      <c r="H990" s="210"/>
      <c r="I990" s="127">
        <f>ROUND(G990*C990,0)</f>
        <v>0</v>
      </c>
      <c r="J990" s="225">
        <f>ROUND(G990*(1+$Q$927),0)+2</f>
        <v>1920</v>
      </c>
      <c r="K990" s="210"/>
      <c r="L990" s="127">
        <f>ROUND(J990*$C990,0)</f>
        <v>0</v>
      </c>
      <c r="N990" s="54"/>
      <c r="O990" s="54"/>
      <c r="Q990" s="318">
        <f>(J990-G990)/G990</f>
        <v>0.12478031634446397</v>
      </c>
      <c r="R990" s="147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</row>
    <row r="991" spans="1:37">
      <c r="A991" s="209" t="s">
        <v>136</v>
      </c>
      <c r="B991" s="136"/>
      <c r="C991" s="205">
        <f t="shared" si="134"/>
        <v>131</v>
      </c>
      <c r="D991" s="225" t="s">
        <v>0</v>
      </c>
      <c r="E991" s="225"/>
      <c r="F991" s="127" t="s">
        <v>0</v>
      </c>
      <c r="G991" s="225" t="s">
        <v>0</v>
      </c>
      <c r="H991" s="207"/>
      <c r="I991" s="127" t="s">
        <v>0</v>
      </c>
      <c r="J991" s="225" t="s">
        <v>0</v>
      </c>
      <c r="K991" s="207"/>
      <c r="L991" s="127" t="s">
        <v>0</v>
      </c>
      <c r="N991" s="54"/>
      <c r="O991" s="54"/>
      <c r="Q991" s="319"/>
      <c r="R991" s="109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</row>
    <row r="992" spans="1:37">
      <c r="A992" s="209" t="s">
        <v>222</v>
      </c>
      <c r="B992" s="136"/>
      <c r="C992" s="205">
        <f t="shared" si="134"/>
        <v>201885</v>
      </c>
      <c r="D992" s="225">
        <v>0.45</v>
      </c>
      <c r="E992" s="225"/>
      <c r="F992" s="127">
        <f>ROUND(D992*$C992,0)</f>
        <v>90848</v>
      </c>
      <c r="G992" s="225">
        <v>0.53</v>
      </c>
      <c r="H992" s="207"/>
      <c r="I992" s="127">
        <f t="shared" ref="I992:I994" si="135">ROUND(G992*C992,0)</f>
        <v>106999</v>
      </c>
      <c r="J992" s="225">
        <f>ROUND(G992*(1+$Q$927),2)</f>
        <v>0.6</v>
      </c>
      <c r="K992" s="207"/>
      <c r="L992" s="127">
        <f>ROUND(J992*$C992,0)</f>
        <v>121131</v>
      </c>
      <c r="N992" s="54"/>
      <c r="Q992" s="318">
        <f>(J992-G992)/G992</f>
        <v>0.13207547169811309</v>
      </c>
      <c r="R992" s="147"/>
      <c r="S992" s="54" t="s">
        <v>0</v>
      </c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</row>
    <row r="993" spans="1:37">
      <c r="A993" s="209" t="s">
        <v>223</v>
      </c>
      <c r="B993" s="136"/>
      <c r="C993" s="205">
        <f t="shared" si="134"/>
        <v>0</v>
      </c>
      <c r="D993" s="225">
        <v>0.38000000000000006</v>
      </c>
      <c r="E993" s="225"/>
      <c r="F993" s="127">
        <f>ROUND(D993*$C993,0)</f>
        <v>0</v>
      </c>
      <c r="G993" s="225">
        <v>0.43</v>
      </c>
      <c r="H993" s="207"/>
      <c r="I993" s="127">
        <f t="shared" si="135"/>
        <v>0</v>
      </c>
      <c r="J993" s="225">
        <f>ROUND(G993*(1+$Q$927),2)</f>
        <v>0.48</v>
      </c>
      <c r="K993" s="207"/>
      <c r="L993" s="127">
        <f>ROUND(J993*$C993,0)</f>
        <v>0</v>
      </c>
      <c r="N993" s="54"/>
      <c r="O993" s="54"/>
      <c r="Q993" s="318">
        <f>(J993-G993)/G993</f>
        <v>0.11627906976744183</v>
      </c>
      <c r="R993" s="147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/>
    </row>
    <row r="994" spans="1:37">
      <c r="A994" s="149" t="s">
        <v>150</v>
      </c>
      <c r="B994" s="136"/>
      <c r="C994" s="205">
        <f t="shared" si="134"/>
        <v>165661</v>
      </c>
      <c r="D994" s="225">
        <v>6.12</v>
      </c>
      <c r="E994" s="225"/>
      <c r="F994" s="127">
        <f>ROUND(D994*$C994,0)</f>
        <v>1013845</v>
      </c>
      <c r="G994" s="225">
        <v>6.99</v>
      </c>
      <c r="H994" s="207"/>
      <c r="I994" s="127">
        <f t="shared" si="135"/>
        <v>1157970</v>
      </c>
      <c r="J994" s="225">
        <f>ROUND(G994*(1+$Q$938),2)</f>
        <v>8.15</v>
      </c>
      <c r="K994" s="207"/>
      <c r="L994" s="127">
        <f>ROUND(J994*$C994,0)</f>
        <v>1350137</v>
      </c>
      <c r="N994" s="54"/>
      <c r="O994" s="54"/>
      <c r="Q994" s="318">
        <f>(J994-G994)/G994</f>
        <v>0.16595135908440631</v>
      </c>
      <c r="R994" s="147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</row>
    <row r="995" spans="1:37">
      <c r="A995" s="209" t="s">
        <v>172</v>
      </c>
      <c r="B995" s="136"/>
      <c r="C995" s="205"/>
      <c r="D995" s="225" t="s">
        <v>0</v>
      </c>
      <c r="E995" s="225"/>
      <c r="F995" s="127"/>
      <c r="G995" s="225" t="s">
        <v>0</v>
      </c>
      <c r="H995" s="207"/>
      <c r="I995" s="127"/>
      <c r="J995" s="225" t="s">
        <v>0</v>
      </c>
      <c r="K995" s="207"/>
      <c r="L995" s="127"/>
      <c r="N995" s="54"/>
      <c r="O995" s="54"/>
      <c r="Q995" s="319"/>
      <c r="R995" s="109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  <c r="AH995" s="54"/>
      <c r="AI995" s="54"/>
    </row>
    <row r="996" spans="1:37">
      <c r="A996" s="209" t="s">
        <v>211</v>
      </c>
      <c r="B996" s="136"/>
      <c r="C996" s="205">
        <f>C1017+C1035</f>
        <v>63486200</v>
      </c>
      <c r="D996" s="305">
        <v>3.6669999999999998</v>
      </c>
      <c r="E996" s="207" t="s">
        <v>99</v>
      </c>
      <c r="F996" s="127">
        <f>ROUND(D996/100*$C996,0)</f>
        <v>2328039</v>
      </c>
      <c r="G996" s="305">
        <v>4.1920000000000002</v>
      </c>
      <c r="H996" s="207" t="s">
        <v>99</v>
      </c>
      <c r="I996" s="127">
        <f>ROUND(G996/100*C996,0)</f>
        <v>2661342</v>
      </c>
      <c r="J996" s="305">
        <f>ROUND(G996*(1+$Q$940)-J998,3)</f>
        <v>1.123</v>
      </c>
      <c r="K996" s="207" t="s">
        <v>99</v>
      </c>
      <c r="L996" s="127">
        <f>ROUND(J996/100*$C996,0)</f>
        <v>712950</v>
      </c>
      <c r="N996" s="54"/>
      <c r="O996" s="54"/>
      <c r="Q996" s="318">
        <f>(J996+J998-G996)/G996</f>
        <v>0.10567748091603044</v>
      </c>
      <c r="R996" s="147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</row>
    <row r="997" spans="1:37">
      <c r="A997" s="209" t="s">
        <v>141</v>
      </c>
      <c r="B997" s="136"/>
      <c r="C997" s="205">
        <f>C1018+C1036</f>
        <v>16320</v>
      </c>
      <c r="D997" s="225">
        <v>0.47</v>
      </c>
      <c r="E997" s="207"/>
      <c r="F997" s="127">
        <f>ROUND(D997*$C997,0)</f>
        <v>7670</v>
      </c>
      <c r="G997" s="225">
        <v>0.54</v>
      </c>
      <c r="H997" s="207"/>
      <c r="I997" s="127">
        <f>ROUND(G997*C997,0)</f>
        <v>8813</v>
      </c>
      <c r="J997" s="225">
        <f>ROUND(G997*(1+$Q$927),2)</f>
        <v>0.61</v>
      </c>
      <c r="K997" s="207"/>
      <c r="L997" s="127">
        <f>ROUND(J997*$C997,0)</f>
        <v>9955</v>
      </c>
      <c r="N997" s="54"/>
      <c r="O997" s="54"/>
      <c r="Q997" s="318">
        <f>(J997-G997)/G997</f>
        <v>0.12962962962962954</v>
      </c>
      <c r="R997" s="147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</row>
    <row r="998" spans="1:37">
      <c r="A998" s="134" t="s">
        <v>212</v>
      </c>
      <c r="C998" s="125">
        <f>C996</f>
        <v>63486200</v>
      </c>
      <c r="D998" s="133"/>
      <c r="E998" s="54"/>
      <c r="F998" s="127"/>
      <c r="G998" s="133"/>
      <c r="H998" s="54"/>
      <c r="I998" s="127"/>
      <c r="J998" s="135">
        <f>ROUND(O998/C998*100,3)</f>
        <v>3.512</v>
      </c>
      <c r="K998" s="207" t="s">
        <v>99</v>
      </c>
      <c r="L998" s="127">
        <f>ROUND(J998/100*$C998,0)</f>
        <v>2229635</v>
      </c>
      <c r="N998" s="128"/>
      <c r="O998" s="128">
        <v>2229391.1239596475</v>
      </c>
      <c r="P998" s="93" t="s">
        <v>18</v>
      </c>
      <c r="Q998" s="108"/>
      <c r="R998" s="108"/>
      <c r="S998" s="129"/>
      <c r="T998" s="129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K998" s="128"/>
    </row>
    <row r="999" spans="1:37">
      <c r="A999" s="179" t="s">
        <v>213</v>
      </c>
      <c r="B999" s="180"/>
      <c r="C999" s="322"/>
      <c r="D999" s="182"/>
      <c r="E999" s="183"/>
      <c r="F999" s="184"/>
      <c r="G999" s="320">
        <f>G996</f>
        <v>4.1920000000000002</v>
      </c>
      <c r="H999" s="269" t="s">
        <v>99</v>
      </c>
      <c r="I999" s="184"/>
      <c r="J999" s="185">
        <f>J996+J998</f>
        <v>4.6349999999999998</v>
      </c>
      <c r="K999" s="269" t="s">
        <v>99</v>
      </c>
      <c r="L999" s="184"/>
      <c r="N999" s="128"/>
      <c r="O999" s="128"/>
      <c r="P999" s="93"/>
      <c r="Q999" s="318">
        <f>(J999-G999)/G999</f>
        <v>0.10567748091603044</v>
      </c>
      <c r="R999" s="108"/>
      <c r="S999" s="129"/>
      <c r="T999" s="129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K999" s="128"/>
    </row>
    <row r="1000" spans="1:37">
      <c r="A1000" s="136" t="s">
        <v>122</v>
      </c>
      <c r="B1000" s="136"/>
      <c r="C1000" s="205">
        <f>C996</f>
        <v>63486200</v>
      </c>
      <c r="D1000" s="215"/>
      <c r="E1000" s="127"/>
      <c r="F1000" s="127">
        <f>SUM(F989:F997)</f>
        <v>3603497</v>
      </c>
      <c r="G1000" s="215"/>
      <c r="H1000" s="136"/>
      <c r="I1000" s="127">
        <f>SUM(I989:I997)</f>
        <v>4121013</v>
      </c>
      <c r="J1000" s="215"/>
      <c r="K1000" s="136"/>
      <c r="L1000" s="127">
        <f>SUM(L989:L998)</f>
        <v>4632753</v>
      </c>
      <c r="N1000" s="54"/>
      <c r="O1000" s="54"/>
      <c r="P1000" s="109"/>
      <c r="Q1000" s="109"/>
      <c r="R1000" s="109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</row>
    <row r="1001" spans="1:37">
      <c r="A1001" s="136" t="s">
        <v>102</v>
      </c>
      <c r="B1001" s="136"/>
      <c r="C1001" s="205">
        <f>C1021+C1039</f>
        <v>-88949.63514489145</v>
      </c>
      <c r="D1001" s="149"/>
      <c r="E1001" s="149"/>
      <c r="F1001" s="321" t="e">
        <f>F1021+F1039</f>
        <v>#REF!</v>
      </c>
      <c r="G1001" s="149"/>
      <c r="H1001" s="149"/>
      <c r="I1001" s="228">
        <f>I1021+I1039</f>
        <v>196038.57052329986</v>
      </c>
      <c r="J1001" s="149"/>
      <c r="K1001" s="149"/>
      <c r="L1001" s="229">
        <f>I1001</f>
        <v>196038.57052329986</v>
      </c>
      <c r="N1001" s="164"/>
      <c r="O1001" s="164"/>
      <c r="P1001" s="162"/>
      <c r="Q1001" s="109"/>
      <c r="R1001" s="109"/>
      <c r="S1001" s="54"/>
      <c r="T1001" s="54"/>
      <c r="U1001" s="54"/>
      <c r="V1001" s="54"/>
      <c r="W1001" s="54"/>
      <c r="X1001" s="54"/>
      <c r="Y1001" s="54"/>
      <c r="Z1001" s="54"/>
      <c r="AA1001" s="54"/>
      <c r="AB1001" s="54"/>
      <c r="AC1001" s="54"/>
      <c r="AD1001" s="54"/>
      <c r="AE1001" s="54"/>
      <c r="AF1001" s="54"/>
      <c r="AG1001" s="54"/>
      <c r="AH1001" s="54"/>
      <c r="AI1001" s="54"/>
    </row>
    <row r="1002" spans="1:37" ht="16.5" thickBot="1">
      <c r="A1002" s="136" t="s">
        <v>123</v>
      </c>
      <c r="B1002" s="136"/>
      <c r="C1002" s="302">
        <f>SUM(C1000)+C1001</f>
        <v>63397250.364855111</v>
      </c>
      <c r="D1002" s="231"/>
      <c r="E1002" s="232"/>
      <c r="F1002" s="233" t="e">
        <f>F1000+F1001</f>
        <v>#REF!</v>
      </c>
      <c r="G1002" s="231"/>
      <c r="H1002" s="235"/>
      <c r="I1002" s="233">
        <f>I1000+I1001</f>
        <v>4317051.5705233002</v>
      </c>
      <c r="J1002" s="231"/>
      <c r="K1002" s="235"/>
      <c r="L1002" s="233">
        <f>L1000+L1001</f>
        <v>4828791.5705233002</v>
      </c>
      <c r="N1002" s="165"/>
      <c r="O1002" s="165" t="s">
        <v>0</v>
      </c>
      <c r="P1002" s="147" t="s">
        <v>0</v>
      </c>
      <c r="Q1002" s="323">
        <f>(L1002-I1002)/I1002</f>
        <v>0.11853923717153288</v>
      </c>
      <c r="R1002" s="109"/>
      <c r="T1002" s="54"/>
      <c r="U1002" s="54"/>
      <c r="V1002" s="54"/>
      <c r="W1002" s="54"/>
      <c r="X1002" s="54"/>
      <c r="Y1002" s="54"/>
      <c r="Z1002" s="54"/>
      <c r="AA1002" s="54"/>
      <c r="AB1002" s="54"/>
      <c r="AC1002" s="54"/>
      <c r="AD1002" s="54"/>
      <c r="AE1002" s="54"/>
      <c r="AF1002" s="54"/>
      <c r="AG1002" s="54"/>
      <c r="AH1002" s="54"/>
      <c r="AI1002" s="54"/>
    </row>
    <row r="1003" spans="1:37" ht="16.5" thickTop="1">
      <c r="A1003" s="136"/>
      <c r="B1003" s="136"/>
      <c r="C1003" s="168"/>
      <c r="D1003" s="225"/>
      <c r="E1003" s="127"/>
      <c r="F1003" s="127"/>
      <c r="G1003" s="225" t="s">
        <v>0</v>
      </c>
      <c r="H1003" s="136"/>
      <c r="I1003" s="127"/>
      <c r="J1003" s="251" t="s">
        <v>0</v>
      </c>
      <c r="K1003" s="136"/>
      <c r="L1003" s="127" t="s">
        <v>0</v>
      </c>
      <c r="N1003" s="54"/>
      <c r="P1003" s="109"/>
      <c r="Q1003" s="147" t="s">
        <v>0</v>
      </c>
      <c r="R1003" s="147"/>
      <c r="S1003" s="54"/>
      <c r="T1003" s="54"/>
      <c r="U1003" s="54"/>
      <c r="V1003" s="54"/>
      <c r="W1003" s="54"/>
      <c r="X1003" s="54"/>
      <c r="Y1003" s="54"/>
      <c r="Z1003" s="54"/>
      <c r="AA1003" s="54"/>
      <c r="AB1003" s="54"/>
      <c r="AC1003" s="54"/>
      <c r="AD1003" s="54"/>
      <c r="AE1003" s="54"/>
      <c r="AF1003" s="54"/>
      <c r="AG1003" s="54"/>
      <c r="AH1003" s="54"/>
      <c r="AI1003" s="54"/>
    </row>
    <row r="1004" spans="1:37" hidden="1">
      <c r="A1004" s="136"/>
      <c r="B1004" s="136"/>
      <c r="C1004" s="168"/>
      <c r="D1004" s="225"/>
      <c r="E1004" s="127"/>
      <c r="F1004" s="127"/>
      <c r="G1004" s="225" t="s">
        <v>0</v>
      </c>
      <c r="H1004" s="136"/>
      <c r="I1004" s="127"/>
      <c r="J1004" s="251" t="s">
        <v>0</v>
      </c>
      <c r="K1004" s="136"/>
      <c r="L1004" s="127" t="s">
        <v>0</v>
      </c>
      <c r="N1004" s="54"/>
      <c r="O1004" s="54"/>
      <c r="P1004" s="109"/>
      <c r="Q1004" s="109"/>
      <c r="R1004" s="109"/>
      <c r="S1004" s="54"/>
      <c r="T1004" s="54"/>
      <c r="U1004" s="54"/>
      <c r="V1004" s="54"/>
      <c r="W1004" s="54"/>
      <c r="X1004" s="54"/>
      <c r="Y1004" s="54"/>
      <c r="Z1004" s="54"/>
      <c r="AA1004" s="54"/>
      <c r="AB1004" s="54"/>
      <c r="AC1004" s="54"/>
      <c r="AD1004" s="54"/>
      <c r="AE1004" s="54"/>
      <c r="AF1004" s="54"/>
      <c r="AG1004" s="54"/>
      <c r="AH1004" s="54"/>
      <c r="AI1004" s="54"/>
    </row>
    <row r="1005" spans="1:37" hidden="1">
      <c r="A1005" s="136"/>
      <c r="B1005" s="136"/>
      <c r="C1005" s="168"/>
      <c r="D1005" s="225"/>
      <c r="E1005" s="127"/>
      <c r="F1005" s="127"/>
      <c r="G1005" s="225"/>
      <c r="H1005" s="136"/>
      <c r="I1005" s="127"/>
      <c r="J1005" s="225"/>
      <c r="K1005" s="136"/>
      <c r="L1005" s="282"/>
      <c r="N1005" s="54"/>
      <c r="O1005" s="54"/>
      <c r="P1005" s="109"/>
      <c r="Q1005" s="109"/>
      <c r="R1005" s="109"/>
      <c r="S1005" s="54"/>
      <c r="T1005" s="54"/>
      <c r="U1005" s="54"/>
      <c r="V1005" s="54"/>
      <c r="W1005" s="54"/>
      <c r="X1005" s="54"/>
      <c r="Y1005" s="54"/>
      <c r="Z1005" s="54"/>
      <c r="AA1005" s="54"/>
      <c r="AB1005" s="54"/>
      <c r="AC1005" s="54"/>
      <c r="AD1005" s="54"/>
      <c r="AE1005" s="54"/>
      <c r="AF1005" s="54"/>
      <c r="AG1005" s="54"/>
      <c r="AH1005" s="54"/>
      <c r="AI1005" s="54"/>
    </row>
    <row r="1006" spans="1:37" hidden="1">
      <c r="A1006" s="167" t="s">
        <v>224</v>
      </c>
      <c r="B1006" s="136"/>
      <c r="C1006" s="136"/>
      <c r="D1006" s="127"/>
      <c r="E1006" s="127"/>
      <c r="F1006" s="136"/>
      <c r="G1006" s="127"/>
      <c r="H1006" s="136"/>
      <c r="I1006" s="136"/>
      <c r="J1006" s="127"/>
      <c r="K1006" s="136"/>
      <c r="L1006" s="136"/>
      <c r="N1006" s="54"/>
      <c r="O1006" s="54"/>
      <c r="P1006" s="109"/>
      <c r="Q1006" s="109"/>
      <c r="R1006" s="109"/>
      <c r="S1006" s="54"/>
      <c r="T1006" s="54"/>
      <c r="U1006" s="54"/>
      <c r="V1006" s="54"/>
      <c r="W1006" s="54"/>
      <c r="X1006" s="54"/>
      <c r="Y1006" s="54"/>
      <c r="Z1006" s="54"/>
      <c r="AA1006" s="54"/>
      <c r="AB1006" s="54"/>
      <c r="AC1006" s="54"/>
      <c r="AD1006" s="54"/>
      <c r="AE1006" s="54"/>
      <c r="AF1006" s="54"/>
      <c r="AG1006" s="54"/>
      <c r="AH1006" s="54"/>
      <c r="AI1006" s="54"/>
    </row>
    <row r="1007" spans="1:37" hidden="1">
      <c r="A1007" s="149" t="s">
        <v>232</v>
      </c>
      <c r="B1007" s="136"/>
      <c r="C1007" s="136"/>
      <c r="D1007" s="127"/>
      <c r="E1007" s="127"/>
      <c r="F1007" s="136"/>
      <c r="G1007" s="127"/>
      <c r="H1007" s="136"/>
      <c r="I1007" s="136"/>
      <c r="J1007" s="127"/>
      <c r="K1007" s="136"/>
      <c r="L1007" s="136"/>
      <c r="N1007" s="54"/>
      <c r="O1007" s="54"/>
      <c r="P1007" s="109"/>
      <c r="Q1007" s="109"/>
      <c r="R1007" s="109"/>
      <c r="S1007" s="54"/>
      <c r="T1007" s="54"/>
      <c r="U1007" s="54"/>
      <c r="V1007" s="54"/>
      <c r="W1007" s="54"/>
      <c r="X1007" s="54"/>
      <c r="Y1007" s="54"/>
      <c r="Z1007" s="54"/>
      <c r="AA1007" s="54"/>
      <c r="AB1007" s="54"/>
      <c r="AC1007" s="54"/>
      <c r="AD1007" s="54"/>
      <c r="AE1007" s="54"/>
      <c r="AF1007" s="54"/>
      <c r="AG1007" s="54"/>
      <c r="AH1007" s="54"/>
      <c r="AI1007" s="54"/>
    </row>
    <row r="1008" spans="1:37" hidden="1">
      <c r="A1008" s="136" t="s">
        <v>0</v>
      </c>
      <c r="B1008" s="136"/>
      <c r="C1008" s="136"/>
      <c r="D1008" s="127"/>
      <c r="E1008" s="127"/>
      <c r="F1008" s="136"/>
      <c r="G1008" s="127"/>
      <c r="H1008" s="136"/>
      <c r="I1008" s="136"/>
      <c r="J1008" s="127"/>
      <c r="K1008" s="136"/>
      <c r="L1008" s="136"/>
      <c r="N1008" s="54"/>
      <c r="O1008" s="54"/>
      <c r="P1008" s="109"/>
      <c r="Q1008" s="109"/>
      <c r="R1008" s="109"/>
      <c r="S1008" s="54"/>
      <c r="T1008" s="54"/>
      <c r="U1008" s="54"/>
      <c r="V1008" s="54"/>
      <c r="W1008" s="54"/>
      <c r="X1008" s="54"/>
      <c r="Y1008" s="54"/>
      <c r="Z1008" s="54"/>
      <c r="AA1008" s="54"/>
      <c r="AB1008" s="54"/>
      <c r="AC1008" s="54"/>
      <c r="AD1008" s="54"/>
      <c r="AE1008" s="54"/>
      <c r="AF1008" s="54"/>
      <c r="AG1008" s="54"/>
      <c r="AH1008" s="54"/>
      <c r="AI1008" s="54"/>
    </row>
    <row r="1009" spans="1:37" hidden="1">
      <c r="A1009" s="209" t="s">
        <v>135</v>
      </c>
      <c r="B1009" s="136"/>
      <c r="C1009" s="205"/>
      <c r="D1009" s="127"/>
      <c r="E1009" s="127"/>
      <c r="F1009" s="136"/>
      <c r="G1009" s="127"/>
      <c r="H1009" s="136"/>
      <c r="I1009" s="136"/>
      <c r="J1009" s="127"/>
      <c r="K1009" s="136"/>
      <c r="L1009" s="136"/>
      <c r="N1009" s="54"/>
      <c r="P1009" s="109"/>
      <c r="Q1009" s="109"/>
      <c r="R1009" s="109"/>
      <c r="S1009" s="54"/>
      <c r="T1009" s="54"/>
      <c r="U1009" s="54"/>
      <c r="V1009" s="54"/>
      <c r="W1009" s="54"/>
      <c r="X1009" s="54"/>
      <c r="Y1009" s="54"/>
      <c r="Z1009" s="54"/>
      <c r="AA1009" s="54"/>
      <c r="AB1009" s="54"/>
      <c r="AC1009" s="54"/>
      <c r="AD1009" s="54"/>
      <c r="AE1009" s="54"/>
      <c r="AF1009" s="54"/>
      <c r="AG1009" s="54"/>
      <c r="AH1009" s="54"/>
      <c r="AI1009" s="54"/>
    </row>
    <row r="1010" spans="1:37" hidden="1">
      <c r="A1010" s="209" t="s">
        <v>220</v>
      </c>
      <c r="B1010" s="136"/>
      <c r="C1010" s="205">
        <f>100</f>
        <v>100</v>
      </c>
      <c r="D1010" s="225">
        <v>1245</v>
      </c>
      <c r="E1010" s="225"/>
      <c r="F1010" s="127">
        <f>ROUND(D1010*$C1010,0)</f>
        <v>124500</v>
      </c>
      <c r="G1010" s="225">
        <v>1419</v>
      </c>
      <c r="H1010" s="207"/>
      <c r="I1010" s="127">
        <f>ROUND(G1010*C1010,0)</f>
        <v>141900</v>
      </c>
      <c r="J1010" s="225">
        <f>J989</f>
        <v>1595</v>
      </c>
      <c r="K1010" s="207"/>
      <c r="L1010" s="127">
        <f>ROUND(J1010*$C1010,0)</f>
        <v>159500</v>
      </c>
      <c r="N1010" s="54"/>
      <c r="O1010" s="54"/>
      <c r="P1010" s="109"/>
      <c r="Q1010" s="109"/>
      <c r="R1010" s="109"/>
      <c r="S1010" s="54"/>
      <c r="T1010" s="54"/>
      <c r="U1010" s="54"/>
      <c r="V1010" s="54"/>
      <c r="W1010" s="54"/>
      <c r="X1010" s="54"/>
      <c r="Y1010" s="54"/>
      <c r="Z1010" s="54"/>
      <c r="AA1010" s="54"/>
      <c r="AB1010" s="54"/>
      <c r="AC1010" s="54"/>
      <c r="AD1010" s="54"/>
      <c r="AE1010" s="54"/>
      <c r="AF1010" s="54"/>
      <c r="AG1010" s="54"/>
      <c r="AH1010" s="54"/>
      <c r="AI1010" s="54"/>
    </row>
    <row r="1011" spans="1:37" hidden="1">
      <c r="A1011" s="209" t="s">
        <v>221</v>
      </c>
      <c r="B1011" s="136"/>
      <c r="C1011" s="205">
        <v>0</v>
      </c>
      <c r="D1011" s="225">
        <v>1490</v>
      </c>
      <c r="E1011" s="225"/>
      <c r="F1011" s="127">
        <f>ROUND(D1011*$C1011,0)</f>
        <v>0</v>
      </c>
      <c r="G1011" s="225">
        <v>1707</v>
      </c>
      <c r="H1011" s="210"/>
      <c r="I1011" s="127">
        <f>ROUND(G1011*C1011,0)</f>
        <v>0</v>
      </c>
      <c r="J1011" s="225">
        <f>J990</f>
        <v>1920</v>
      </c>
      <c r="K1011" s="210"/>
      <c r="L1011" s="127">
        <f>ROUND(J1011*$C1011,0)</f>
        <v>0</v>
      </c>
      <c r="N1011" s="54"/>
      <c r="O1011" s="54"/>
      <c r="P1011" s="109"/>
      <c r="Q1011" s="109"/>
      <c r="R1011" s="109"/>
      <c r="S1011" s="54"/>
      <c r="T1011" s="54"/>
      <c r="U1011" s="54"/>
      <c r="V1011" s="54"/>
      <c r="W1011" s="54"/>
      <c r="X1011" s="54"/>
      <c r="Y1011" s="54"/>
      <c r="Z1011" s="54"/>
      <c r="AA1011" s="54"/>
      <c r="AB1011" s="54"/>
      <c r="AC1011" s="54"/>
      <c r="AD1011" s="54"/>
      <c r="AE1011" s="54"/>
      <c r="AF1011" s="54"/>
      <c r="AG1011" s="54"/>
      <c r="AH1011" s="54"/>
      <c r="AI1011" s="54"/>
    </row>
    <row r="1012" spans="1:37" hidden="1">
      <c r="A1012" s="209" t="s">
        <v>136</v>
      </c>
      <c r="B1012" s="136"/>
      <c r="C1012" s="205">
        <f>SUM(C1010:C1011)</f>
        <v>100</v>
      </c>
      <c r="D1012" s="225" t="s">
        <v>0</v>
      </c>
      <c r="E1012" s="225"/>
      <c r="F1012" s="127" t="s">
        <v>0</v>
      </c>
      <c r="G1012" s="225" t="s">
        <v>0</v>
      </c>
      <c r="H1012" s="207"/>
      <c r="I1012" s="127" t="s">
        <v>0</v>
      </c>
      <c r="J1012" s="225" t="s">
        <v>0</v>
      </c>
      <c r="K1012" s="207"/>
      <c r="L1012" s="127" t="s">
        <v>0</v>
      </c>
      <c r="N1012" s="54"/>
      <c r="O1012" s="54"/>
      <c r="P1012" s="109"/>
      <c r="Q1012" s="109"/>
      <c r="R1012" s="109"/>
      <c r="S1012" s="54"/>
      <c r="T1012" s="54"/>
      <c r="U1012" s="54"/>
      <c r="V1012" s="54"/>
      <c r="W1012" s="54"/>
      <c r="X1012" s="54"/>
      <c r="Y1012" s="54"/>
      <c r="Z1012" s="54"/>
      <c r="AA1012" s="54"/>
      <c r="AB1012" s="54"/>
      <c r="AC1012" s="54"/>
      <c r="AD1012" s="54"/>
      <c r="AE1012" s="54"/>
      <c r="AF1012" s="54"/>
      <c r="AG1012" s="54"/>
      <c r="AH1012" s="54"/>
      <c r="AI1012" s="54"/>
    </row>
    <row r="1013" spans="1:37" hidden="1">
      <c r="A1013" s="209" t="s">
        <v>222</v>
      </c>
      <c r="B1013" s="136"/>
      <c r="C1013" s="205">
        <f>176488</f>
        <v>176488</v>
      </c>
      <c r="D1013" s="225">
        <v>0.45</v>
      </c>
      <c r="E1013" s="225"/>
      <c r="F1013" s="127">
        <f>ROUND(D1013*$C1013,0)</f>
        <v>79420</v>
      </c>
      <c r="G1013" s="225">
        <v>0.53</v>
      </c>
      <c r="H1013" s="207"/>
      <c r="I1013" s="127">
        <f t="shared" ref="I1013:I1015" si="136">ROUND(G1013*C1013,0)</f>
        <v>93539</v>
      </c>
      <c r="J1013" s="225">
        <f>J992</f>
        <v>0.6</v>
      </c>
      <c r="K1013" s="207"/>
      <c r="L1013" s="127">
        <f>ROUND(J1013*$C1013,0)</f>
        <v>105893</v>
      </c>
      <c r="N1013" s="54"/>
      <c r="O1013" s="199" t="s">
        <v>0</v>
      </c>
      <c r="P1013" s="109"/>
      <c r="Q1013" s="109" t="s">
        <v>0</v>
      </c>
      <c r="R1013" s="109"/>
      <c r="S1013" s="54"/>
      <c r="T1013" s="54"/>
      <c r="U1013" s="54"/>
      <c r="V1013" s="54"/>
      <c r="W1013" s="54"/>
      <c r="X1013" s="54"/>
      <c r="Y1013" s="54"/>
      <c r="Z1013" s="54"/>
      <c r="AA1013" s="54"/>
      <c r="AB1013" s="54"/>
      <c r="AC1013" s="54"/>
      <c r="AD1013" s="54"/>
      <c r="AE1013" s="54"/>
      <c r="AF1013" s="54"/>
      <c r="AG1013" s="54"/>
      <c r="AH1013" s="54"/>
      <c r="AI1013" s="54"/>
    </row>
    <row r="1014" spans="1:37" hidden="1">
      <c r="A1014" s="209" t="s">
        <v>223</v>
      </c>
      <c r="B1014" s="136"/>
      <c r="C1014" s="205">
        <v>0</v>
      </c>
      <c r="D1014" s="225">
        <v>0.38000000000000006</v>
      </c>
      <c r="E1014" s="225"/>
      <c r="F1014" s="127">
        <f>ROUND(D1014*$C1014,0)</f>
        <v>0</v>
      </c>
      <c r="G1014" s="225">
        <v>0.43</v>
      </c>
      <c r="H1014" s="207"/>
      <c r="I1014" s="127">
        <f t="shared" si="136"/>
        <v>0</v>
      </c>
      <c r="J1014" s="225">
        <f>J993</f>
        <v>0.48</v>
      </c>
      <c r="K1014" s="207"/>
      <c r="L1014" s="127">
        <f>ROUND(J1014*$C1014,0)</f>
        <v>0</v>
      </c>
      <c r="N1014" s="54"/>
      <c r="O1014" s="54"/>
      <c r="P1014" s="109"/>
      <c r="Q1014" s="109"/>
      <c r="R1014" s="109"/>
      <c r="S1014" s="54"/>
      <c r="T1014" s="54"/>
      <c r="U1014" s="54"/>
      <c r="V1014" s="54"/>
      <c r="W1014" s="54"/>
      <c r="X1014" s="54"/>
      <c r="Y1014" s="54"/>
      <c r="Z1014" s="54"/>
      <c r="AA1014" s="54"/>
      <c r="AB1014" s="54"/>
      <c r="AC1014" s="54"/>
      <c r="AD1014" s="54"/>
      <c r="AE1014" s="54"/>
      <c r="AF1014" s="54"/>
      <c r="AG1014" s="54"/>
      <c r="AH1014" s="54"/>
      <c r="AI1014" s="54"/>
    </row>
    <row r="1015" spans="1:37" hidden="1">
      <c r="A1015" s="149" t="s">
        <v>150</v>
      </c>
      <c r="B1015" s="136"/>
      <c r="C1015" s="205">
        <f>140544</f>
        <v>140544</v>
      </c>
      <c r="D1015" s="225">
        <v>6.12</v>
      </c>
      <c r="E1015" s="225"/>
      <c r="F1015" s="127">
        <f>ROUND(D1015*$C1015,0)</f>
        <v>860129</v>
      </c>
      <c r="G1015" s="225">
        <v>6.99</v>
      </c>
      <c r="H1015" s="207"/>
      <c r="I1015" s="127">
        <f t="shared" si="136"/>
        <v>982403</v>
      </c>
      <c r="J1015" s="225">
        <f>J994</f>
        <v>8.15</v>
      </c>
      <c r="K1015" s="207"/>
      <c r="L1015" s="127">
        <f>ROUND(J1015*$C1015,0)</f>
        <v>1145434</v>
      </c>
      <c r="N1015" s="54"/>
      <c r="O1015" s="54"/>
      <c r="P1015" s="109"/>
      <c r="Q1015" s="109"/>
      <c r="R1015" s="109"/>
      <c r="S1015" s="54"/>
      <c r="T1015" s="54"/>
      <c r="U1015" s="54"/>
      <c r="V1015" s="54"/>
      <c r="W1015" s="54"/>
      <c r="X1015" s="54"/>
      <c r="Y1015" s="54"/>
      <c r="Z1015" s="54"/>
      <c r="AA1015" s="54"/>
      <c r="AB1015" s="54"/>
      <c r="AC1015" s="54"/>
      <c r="AD1015" s="54"/>
      <c r="AE1015" s="54"/>
      <c r="AF1015" s="54"/>
      <c r="AG1015" s="54"/>
      <c r="AH1015" s="54"/>
      <c r="AI1015" s="54"/>
    </row>
    <row r="1016" spans="1:37" hidden="1">
      <c r="A1016" s="209" t="s">
        <v>172</v>
      </c>
      <c r="B1016" s="136"/>
      <c r="C1016" s="205"/>
      <c r="D1016" s="225" t="s">
        <v>0</v>
      </c>
      <c r="E1016" s="225"/>
      <c r="F1016" s="127"/>
      <c r="G1016" s="225" t="s">
        <v>0</v>
      </c>
      <c r="H1016" s="207"/>
      <c r="I1016" s="127"/>
      <c r="J1016" s="225" t="s">
        <v>0</v>
      </c>
      <c r="K1016" s="207"/>
      <c r="L1016" s="127"/>
      <c r="N1016" s="54"/>
      <c r="O1016" s="54"/>
      <c r="P1016" s="109"/>
      <c r="Q1016" s="109"/>
      <c r="R1016" s="109"/>
      <c r="S1016" s="54"/>
      <c r="T1016" s="54"/>
      <c r="U1016" s="54"/>
      <c r="V1016" s="54"/>
      <c r="W1016" s="54"/>
      <c r="X1016" s="54"/>
      <c r="Y1016" s="54"/>
      <c r="Z1016" s="54"/>
      <c r="AA1016" s="54"/>
      <c r="AB1016" s="54"/>
      <c r="AC1016" s="54"/>
      <c r="AD1016" s="54"/>
      <c r="AE1016" s="54"/>
      <c r="AF1016" s="54"/>
      <c r="AG1016" s="54"/>
      <c r="AH1016" s="54"/>
      <c r="AI1016" s="54"/>
    </row>
    <row r="1017" spans="1:37" hidden="1">
      <c r="A1017" s="209" t="s">
        <v>211</v>
      </c>
      <c r="B1017" s="136"/>
      <c r="C1017" s="205">
        <f>58901000</f>
        <v>58901000</v>
      </c>
      <c r="D1017" s="305">
        <v>3.6669999999999998</v>
      </c>
      <c r="E1017" s="207" t="s">
        <v>99</v>
      </c>
      <c r="F1017" s="127">
        <f>ROUND(D1017/100*$C1017,0)</f>
        <v>2159900</v>
      </c>
      <c r="G1017" s="305">
        <v>4.1920000000000002</v>
      </c>
      <c r="H1017" s="207" t="s">
        <v>99</v>
      </c>
      <c r="I1017" s="127">
        <f>ROUND(G1017/100*C1017,0)</f>
        <v>2469130</v>
      </c>
      <c r="J1017" s="305">
        <f>J996</f>
        <v>1.123</v>
      </c>
      <c r="K1017" s="207" t="s">
        <v>99</v>
      </c>
      <c r="L1017" s="127">
        <f>ROUND(J1017/100*$C1017,0)</f>
        <v>661458</v>
      </c>
      <c r="N1017" s="54"/>
      <c r="O1017" s="54"/>
      <c r="P1017" s="109"/>
      <c r="Q1017" s="109"/>
      <c r="R1017" s="109"/>
      <c r="S1017" s="54"/>
      <c r="T1017" s="54"/>
      <c r="U1017" s="54"/>
      <c r="V1017" s="54"/>
      <c r="W1017" s="54"/>
      <c r="X1017" s="54"/>
      <c r="Y1017" s="54"/>
      <c r="Z1017" s="54"/>
      <c r="AA1017" s="54"/>
      <c r="AB1017" s="54"/>
      <c r="AC1017" s="54"/>
      <c r="AD1017" s="54"/>
      <c r="AE1017" s="54"/>
      <c r="AF1017" s="54"/>
      <c r="AG1017" s="54"/>
      <c r="AH1017" s="54"/>
      <c r="AI1017" s="54"/>
    </row>
    <row r="1018" spans="1:37" hidden="1">
      <c r="A1018" s="209" t="s">
        <v>141</v>
      </c>
      <c r="B1018" s="136"/>
      <c r="C1018" s="205">
        <f>12483</f>
        <v>12483</v>
      </c>
      <c r="D1018" s="225">
        <v>0.47</v>
      </c>
      <c r="E1018" s="207"/>
      <c r="F1018" s="127">
        <f>ROUND(D1018*$C1018,0)</f>
        <v>5867</v>
      </c>
      <c r="G1018" s="225">
        <v>0.54</v>
      </c>
      <c r="H1018" s="207"/>
      <c r="I1018" s="127">
        <f>ROUND(G1018*C1018,0)</f>
        <v>6741</v>
      </c>
      <c r="J1018" s="225">
        <f>J997</f>
        <v>0.61</v>
      </c>
      <c r="K1018" s="207"/>
      <c r="L1018" s="127">
        <f>ROUND(J1018*$C1018,0)</f>
        <v>7615</v>
      </c>
      <c r="N1018" s="54"/>
      <c r="O1018" s="54"/>
      <c r="P1018" s="109"/>
      <c r="Q1018" s="109"/>
      <c r="R1018" s="109"/>
      <c r="S1018" s="54"/>
      <c r="T1018" s="54"/>
      <c r="U1018" s="54"/>
      <c r="V1018" s="54"/>
      <c r="W1018" s="54"/>
      <c r="X1018" s="54"/>
      <c r="Y1018" s="54"/>
      <c r="Z1018" s="54"/>
      <c r="AA1018" s="54"/>
      <c r="AB1018" s="54"/>
      <c r="AC1018" s="54"/>
      <c r="AD1018" s="54"/>
      <c r="AE1018" s="54"/>
      <c r="AF1018" s="54"/>
      <c r="AG1018" s="54"/>
      <c r="AH1018" s="54"/>
      <c r="AI1018" s="54"/>
    </row>
    <row r="1019" spans="1:37" hidden="1">
      <c r="A1019" s="134" t="s">
        <v>212</v>
      </c>
      <c r="C1019" s="125">
        <f>C1017</f>
        <v>58901000</v>
      </c>
      <c r="D1019" s="133"/>
      <c r="E1019" s="54"/>
      <c r="F1019" s="127"/>
      <c r="G1019" s="133"/>
      <c r="H1019" s="54"/>
      <c r="I1019" s="127"/>
      <c r="J1019" s="135">
        <f>J998</f>
        <v>3.512</v>
      </c>
      <c r="K1019" s="207" t="s">
        <v>99</v>
      </c>
      <c r="L1019" s="127">
        <f>ROUND(J1019/100*$C1019,0)</f>
        <v>2068603</v>
      </c>
      <c r="N1019" s="128"/>
      <c r="P1019" s="93"/>
      <c r="Q1019" s="108"/>
      <c r="R1019" s="108"/>
      <c r="S1019" s="129"/>
      <c r="T1019" s="129"/>
      <c r="Y1019" s="54"/>
      <c r="Z1019" s="54"/>
      <c r="AA1019" s="54"/>
      <c r="AB1019" s="54"/>
      <c r="AC1019" s="54"/>
      <c r="AD1019" s="54"/>
      <c r="AE1019" s="54"/>
      <c r="AF1019" s="54"/>
      <c r="AG1019" s="54"/>
      <c r="AH1019" s="54"/>
      <c r="AI1019" s="54"/>
      <c r="AK1019" s="128"/>
    </row>
    <row r="1020" spans="1:37" hidden="1">
      <c r="A1020" s="136" t="s">
        <v>122</v>
      </c>
      <c r="B1020" s="136"/>
      <c r="C1020" s="205">
        <f>C1017</f>
        <v>58901000</v>
      </c>
      <c r="D1020" s="215"/>
      <c r="E1020" s="127"/>
      <c r="F1020" s="127">
        <f>SUM(F1010:F1018)</f>
        <v>3229816</v>
      </c>
      <c r="G1020" s="215"/>
      <c r="H1020" s="136"/>
      <c r="I1020" s="127">
        <f>SUM(I1010:I1018)</f>
        <v>3693713</v>
      </c>
      <c r="J1020" s="215"/>
      <c r="K1020" s="136"/>
      <c r="L1020" s="127">
        <f>SUM(L1010:L1019)</f>
        <v>4148503</v>
      </c>
      <c r="N1020" s="54"/>
      <c r="O1020" s="54"/>
      <c r="P1020" s="109"/>
      <c r="Q1020" s="109"/>
      <c r="R1020" s="109"/>
      <c r="S1020" s="54"/>
      <c r="T1020" s="54"/>
      <c r="U1020" s="54"/>
      <c r="V1020" s="54"/>
      <c r="W1020" s="54"/>
      <c r="X1020" s="54"/>
      <c r="Y1020" s="54"/>
      <c r="Z1020" s="54"/>
      <c r="AA1020" s="54"/>
      <c r="AB1020" s="54"/>
      <c r="AC1020" s="54"/>
      <c r="AD1020" s="54"/>
      <c r="AE1020" s="54"/>
      <c r="AF1020" s="54"/>
      <c r="AG1020" s="54"/>
      <c r="AH1020" s="54"/>
      <c r="AI1020" s="54"/>
    </row>
    <row r="1021" spans="1:37" hidden="1">
      <c r="A1021" s="136" t="s">
        <v>102</v>
      </c>
      <c r="B1021" s="136"/>
      <c r="C1021" s="205">
        <f>C1020/($C$963+$C$1020)*$C$1057</f>
        <v>-151857.09316799315</v>
      </c>
      <c r="D1021" s="149"/>
      <c r="E1021" s="149"/>
      <c r="F1021" s="306" t="e">
        <f>F1020/($F$963+$F$1020)*$F$1057</f>
        <v>#REF!</v>
      </c>
      <c r="G1021" s="149"/>
      <c r="H1021" s="149"/>
      <c r="I1021" s="229">
        <v>-26603.603302829546</v>
      </c>
      <c r="J1021" s="149"/>
      <c r="K1021" s="149"/>
      <c r="L1021" s="229">
        <f>I1021</f>
        <v>-26603.603302829546</v>
      </c>
      <c r="N1021" s="164"/>
      <c r="O1021" s="164"/>
      <c r="P1021" s="162"/>
      <c r="Q1021" s="109"/>
      <c r="R1021" s="109"/>
      <c r="S1021" s="54"/>
      <c r="T1021" s="54"/>
      <c r="U1021" s="54"/>
      <c r="V1021" s="54"/>
      <c r="W1021" s="54"/>
      <c r="X1021" s="54"/>
      <c r="Y1021" s="54"/>
      <c r="Z1021" s="54"/>
      <c r="AA1021" s="54"/>
      <c r="AB1021" s="54"/>
      <c r="AC1021" s="54"/>
      <c r="AD1021" s="54"/>
      <c r="AE1021" s="54"/>
      <c r="AF1021" s="54"/>
      <c r="AG1021" s="54"/>
      <c r="AH1021" s="54"/>
      <c r="AI1021" s="54"/>
    </row>
    <row r="1022" spans="1:37" ht="16.5" hidden="1" thickBot="1">
      <c r="A1022" s="136" t="s">
        <v>123</v>
      </c>
      <c r="B1022" s="136"/>
      <c r="C1022" s="302">
        <f>SUM(C1020)+C1021</f>
        <v>58749142.90683201</v>
      </c>
      <c r="D1022" s="231"/>
      <c r="E1022" s="232"/>
      <c r="F1022" s="233" t="e">
        <f>F1020+F1021</f>
        <v>#REF!</v>
      </c>
      <c r="G1022" s="231"/>
      <c r="H1022" s="235"/>
      <c r="I1022" s="233">
        <f>I1020+I1021</f>
        <v>3667109.3966971706</v>
      </c>
      <c r="J1022" s="231"/>
      <c r="K1022" s="235"/>
      <c r="L1022" s="233">
        <f>L1020+L1021</f>
        <v>4121899.3966971706</v>
      </c>
      <c r="N1022" s="165"/>
      <c r="O1022" s="165" t="s">
        <v>0</v>
      </c>
      <c r="P1022" s="166"/>
      <c r="Q1022" s="109"/>
      <c r="R1022" s="109"/>
      <c r="S1022" s="96" t="s">
        <v>0</v>
      </c>
      <c r="T1022" s="54"/>
      <c r="U1022" s="54"/>
      <c r="V1022" s="54"/>
      <c r="W1022" s="54"/>
      <c r="X1022" s="54"/>
      <c r="Y1022" s="54"/>
      <c r="Z1022" s="54"/>
      <c r="AA1022" s="54"/>
      <c r="AB1022" s="54"/>
      <c r="AC1022" s="54"/>
      <c r="AD1022" s="54"/>
      <c r="AE1022" s="54"/>
      <c r="AF1022" s="54"/>
      <c r="AG1022" s="54"/>
      <c r="AH1022" s="54"/>
      <c r="AI1022" s="54"/>
    </row>
    <row r="1023" spans="1:37" hidden="1">
      <c r="A1023" s="136"/>
      <c r="B1023" s="136"/>
      <c r="C1023" s="168"/>
      <c r="D1023" s="225"/>
      <c r="E1023" s="127"/>
      <c r="F1023" s="127"/>
      <c r="G1023" s="225" t="s">
        <v>0</v>
      </c>
      <c r="H1023" s="136"/>
      <c r="I1023" s="127"/>
      <c r="J1023" s="251" t="s">
        <v>0</v>
      </c>
      <c r="K1023" s="136"/>
      <c r="L1023" s="127" t="s">
        <v>0</v>
      </c>
      <c r="N1023" s="54"/>
      <c r="O1023" s="54"/>
      <c r="P1023" s="109"/>
      <c r="Q1023" s="109"/>
      <c r="R1023" s="109"/>
      <c r="S1023" s="54"/>
      <c r="T1023" s="54"/>
      <c r="U1023" s="54"/>
      <c r="V1023" s="54"/>
      <c r="W1023" s="54"/>
      <c r="X1023" s="54"/>
      <c r="Y1023" s="54"/>
      <c r="Z1023" s="54"/>
      <c r="AA1023" s="54"/>
      <c r="AB1023" s="54"/>
      <c r="AC1023" s="54"/>
      <c r="AD1023" s="54"/>
      <c r="AE1023" s="54"/>
      <c r="AF1023" s="54"/>
      <c r="AG1023" s="54"/>
      <c r="AH1023" s="54"/>
      <c r="AI1023" s="54"/>
    </row>
    <row r="1024" spans="1:37" hidden="1">
      <c r="A1024" s="167" t="s">
        <v>224</v>
      </c>
      <c r="B1024" s="136"/>
      <c r="C1024" s="136"/>
      <c r="D1024" s="127"/>
      <c r="E1024" s="127"/>
      <c r="F1024" s="136"/>
      <c r="G1024" s="127"/>
      <c r="H1024" s="136"/>
      <c r="I1024" s="136"/>
      <c r="J1024" s="127"/>
      <c r="K1024" s="136"/>
      <c r="L1024" s="136"/>
      <c r="N1024" s="54"/>
      <c r="O1024" s="54"/>
      <c r="P1024" s="109"/>
      <c r="Q1024" s="109"/>
      <c r="R1024" s="109"/>
      <c r="S1024" s="54"/>
      <c r="T1024" s="54"/>
      <c r="U1024" s="54"/>
      <c r="V1024" s="54"/>
      <c r="W1024" s="54"/>
      <c r="X1024" s="54"/>
      <c r="Y1024" s="54"/>
      <c r="Z1024" s="54"/>
      <c r="AA1024" s="54"/>
      <c r="AB1024" s="54"/>
      <c r="AC1024" s="54"/>
      <c r="AD1024" s="54"/>
      <c r="AE1024" s="54"/>
      <c r="AF1024" s="54"/>
      <c r="AG1024" s="54"/>
      <c r="AH1024" s="54"/>
      <c r="AI1024" s="54"/>
    </row>
    <row r="1025" spans="1:37" hidden="1">
      <c r="A1025" s="149" t="s">
        <v>233</v>
      </c>
      <c r="B1025" s="136"/>
      <c r="C1025" s="136"/>
      <c r="D1025" s="127"/>
      <c r="E1025" s="127"/>
      <c r="F1025" s="136"/>
      <c r="G1025" s="127"/>
      <c r="H1025" s="136"/>
      <c r="I1025" s="136"/>
      <c r="J1025" s="127"/>
      <c r="K1025" s="136"/>
      <c r="L1025" s="136"/>
      <c r="N1025" s="54"/>
      <c r="O1025" s="54"/>
      <c r="P1025" s="109"/>
      <c r="Q1025" s="109"/>
      <c r="R1025" s="109"/>
      <c r="S1025" s="54"/>
      <c r="T1025" s="54"/>
      <c r="U1025" s="54"/>
      <c r="V1025" s="54"/>
      <c r="W1025" s="54"/>
      <c r="X1025" s="54"/>
      <c r="Y1025" s="54"/>
      <c r="Z1025" s="54"/>
      <c r="AA1025" s="54"/>
      <c r="AB1025" s="54"/>
      <c r="AC1025" s="54"/>
      <c r="AD1025" s="54"/>
      <c r="AE1025" s="54"/>
      <c r="AF1025" s="54"/>
      <c r="AG1025" s="54"/>
      <c r="AH1025" s="54"/>
      <c r="AI1025" s="54"/>
    </row>
    <row r="1026" spans="1:37" hidden="1">
      <c r="A1026" s="136" t="s">
        <v>0</v>
      </c>
      <c r="B1026" s="136"/>
      <c r="C1026" s="136"/>
      <c r="D1026" s="127"/>
      <c r="E1026" s="127"/>
      <c r="F1026" s="136"/>
      <c r="G1026" s="127"/>
      <c r="H1026" s="136"/>
      <c r="I1026" s="136"/>
      <c r="J1026" s="127"/>
      <c r="K1026" s="136"/>
      <c r="L1026" s="136"/>
      <c r="N1026" s="54"/>
      <c r="O1026" s="54"/>
      <c r="P1026" s="109"/>
      <c r="Q1026" s="109"/>
      <c r="R1026" s="109"/>
      <c r="S1026" s="54"/>
      <c r="T1026" s="54"/>
      <c r="U1026" s="54"/>
      <c r="V1026" s="54"/>
      <c r="W1026" s="54"/>
      <c r="X1026" s="54"/>
      <c r="Y1026" s="54"/>
      <c r="Z1026" s="54"/>
      <c r="AA1026" s="54"/>
      <c r="AB1026" s="54"/>
      <c r="AC1026" s="54"/>
      <c r="AD1026" s="54"/>
      <c r="AE1026" s="54"/>
      <c r="AF1026" s="54"/>
      <c r="AG1026" s="54"/>
      <c r="AH1026" s="54"/>
      <c r="AI1026" s="54"/>
    </row>
    <row r="1027" spans="1:37" hidden="1">
      <c r="A1027" s="209" t="s">
        <v>135</v>
      </c>
      <c r="B1027" s="136"/>
      <c r="C1027" s="205"/>
      <c r="D1027" s="127"/>
      <c r="E1027" s="127"/>
      <c r="F1027" s="136"/>
      <c r="G1027" s="127"/>
      <c r="H1027" s="136"/>
      <c r="I1027" s="136"/>
      <c r="J1027" s="127"/>
      <c r="K1027" s="136"/>
      <c r="L1027" s="136"/>
      <c r="N1027" s="54"/>
      <c r="P1027" s="109"/>
      <c r="Q1027" s="109"/>
      <c r="R1027" s="109"/>
      <c r="S1027" s="54"/>
      <c r="T1027" s="54"/>
      <c r="U1027" s="54"/>
      <c r="V1027" s="54"/>
      <c r="W1027" s="54"/>
      <c r="X1027" s="54"/>
      <c r="Y1027" s="54"/>
      <c r="Z1027" s="54"/>
      <c r="AA1027" s="54"/>
      <c r="AB1027" s="54"/>
      <c r="AC1027" s="54"/>
      <c r="AD1027" s="54"/>
      <c r="AE1027" s="54"/>
      <c r="AF1027" s="54"/>
      <c r="AG1027" s="54"/>
      <c r="AH1027" s="54"/>
      <c r="AI1027" s="54"/>
    </row>
    <row r="1028" spans="1:37" hidden="1">
      <c r="A1028" s="209" t="s">
        <v>220</v>
      </c>
      <c r="B1028" s="136"/>
      <c r="C1028" s="205">
        <f>31</f>
        <v>31</v>
      </c>
      <c r="D1028" s="225">
        <v>1245</v>
      </c>
      <c r="E1028" s="225"/>
      <c r="F1028" s="127">
        <f>ROUND(D1028*$C1028,0)</f>
        <v>38595</v>
      </c>
      <c r="G1028" s="225">
        <v>1419</v>
      </c>
      <c r="H1028" s="207"/>
      <c r="I1028" s="127">
        <f>ROUND(G1028*C1028,0)</f>
        <v>43989</v>
      </c>
      <c r="J1028" s="225">
        <f>J989</f>
        <v>1595</v>
      </c>
      <c r="K1028" s="207"/>
      <c r="L1028" s="127">
        <f>ROUND(J1028*$C1028,0)</f>
        <v>49445</v>
      </c>
      <c r="N1028" s="54"/>
      <c r="O1028" s="54"/>
      <c r="P1028" s="109"/>
      <c r="Q1028" s="109"/>
      <c r="R1028" s="109"/>
      <c r="S1028" s="54"/>
      <c r="T1028" s="54"/>
      <c r="U1028" s="54"/>
      <c r="V1028" s="54"/>
      <c r="W1028" s="54"/>
      <c r="X1028" s="54"/>
      <c r="Y1028" s="54"/>
      <c r="Z1028" s="54"/>
      <c r="AA1028" s="54"/>
      <c r="AB1028" s="54"/>
      <c r="AC1028" s="54"/>
      <c r="AD1028" s="54"/>
      <c r="AE1028" s="54"/>
      <c r="AF1028" s="54"/>
      <c r="AG1028" s="54"/>
      <c r="AH1028" s="54"/>
      <c r="AI1028" s="54"/>
    </row>
    <row r="1029" spans="1:37" hidden="1">
      <c r="A1029" s="209" t="s">
        <v>221</v>
      </c>
      <c r="B1029" s="136"/>
      <c r="C1029" s="205">
        <v>0</v>
      </c>
      <c r="D1029" s="225">
        <v>1490</v>
      </c>
      <c r="E1029" s="225"/>
      <c r="F1029" s="127">
        <f>ROUND(D1029*$C1029,0)</f>
        <v>0</v>
      </c>
      <c r="G1029" s="225">
        <v>1707</v>
      </c>
      <c r="H1029" s="210"/>
      <c r="I1029" s="127">
        <f>ROUND(G1029*C1029,0)</f>
        <v>0</v>
      </c>
      <c r="J1029" s="225">
        <f>J990</f>
        <v>1920</v>
      </c>
      <c r="K1029" s="210"/>
      <c r="L1029" s="127">
        <f>ROUND(J1029*$C1029,0)</f>
        <v>0</v>
      </c>
      <c r="N1029" s="54"/>
      <c r="O1029" s="54"/>
      <c r="P1029" s="109"/>
      <c r="Q1029" s="109"/>
      <c r="R1029" s="109"/>
      <c r="S1029" s="54"/>
      <c r="T1029" s="54"/>
      <c r="U1029" s="54"/>
      <c r="V1029" s="54"/>
      <c r="W1029" s="54"/>
      <c r="X1029" s="54"/>
      <c r="Y1029" s="54"/>
      <c r="Z1029" s="54"/>
      <c r="AA1029" s="54"/>
      <c r="AB1029" s="54"/>
      <c r="AC1029" s="54"/>
      <c r="AD1029" s="54"/>
      <c r="AE1029" s="54"/>
      <c r="AF1029" s="54"/>
      <c r="AG1029" s="54"/>
      <c r="AH1029" s="54"/>
      <c r="AI1029" s="54"/>
    </row>
    <row r="1030" spans="1:37" hidden="1">
      <c r="A1030" s="209" t="s">
        <v>136</v>
      </c>
      <c r="B1030" s="136"/>
      <c r="C1030" s="205">
        <f>SUM(C1028:C1029)</f>
        <v>31</v>
      </c>
      <c r="D1030" s="225" t="s">
        <v>0</v>
      </c>
      <c r="E1030" s="225"/>
      <c r="F1030" s="127" t="s">
        <v>0</v>
      </c>
      <c r="G1030" s="225" t="s">
        <v>0</v>
      </c>
      <c r="H1030" s="207"/>
      <c r="I1030" s="127" t="s">
        <v>0</v>
      </c>
      <c r="J1030" s="225" t="s">
        <v>0</v>
      </c>
      <c r="K1030" s="207"/>
      <c r="L1030" s="127" t="s">
        <v>0</v>
      </c>
      <c r="N1030" s="54"/>
      <c r="O1030" s="54"/>
      <c r="P1030" s="109"/>
      <c r="Q1030" s="109"/>
      <c r="R1030" s="109"/>
      <c r="S1030" s="54"/>
      <c r="T1030" s="54"/>
      <c r="U1030" s="54"/>
      <c r="V1030" s="54"/>
      <c r="W1030" s="54"/>
      <c r="X1030" s="54"/>
      <c r="Y1030" s="54"/>
      <c r="Z1030" s="54"/>
      <c r="AA1030" s="54"/>
      <c r="AB1030" s="54"/>
      <c r="AC1030" s="54"/>
      <c r="AD1030" s="54"/>
      <c r="AE1030" s="54"/>
      <c r="AF1030" s="54"/>
      <c r="AG1030" s="54"/>
      <c r="AH1030" s="54"/>
      <c r="AI1030" s="54"/>
    </row>
    <row r="1031" spans="1:37" hidden="1">
      <c r="A1031" s="209" t="s">
        <v>222</v>
      </c>
      <c r="B1031" s="136"/>
      <c r="C1031" s="205">
        <f>25397</f>
        <v>25397</v>
      </c>
      <c r="D1031" s="225">
        <v>0.45</v>
      </c>
      <c r="E1031" s="225"/>
      <c r="F1031" s="127">
        <f>ROUND(D1031*$C1031,0)</f>
        <v>11429</v>
      </c>
      <c r="G1031" s="225">
        <v>0.53</v>
      </c>
      <c r="H1031" s="207"/>
      <c r="I1031" s="127">
        <f t="shared" ref="I1031:I1033" si="137">ROUND(G1031*C1031,0)</f>
        <v>13460</v>
      </c>
      <c r="J1031" s="225">
        <f>J992</f>
        <v>0.6</v>
      </c>
      <c r="K1031" s="207"/>
      <c r="L1031" s="127">
        <f>ROUND(J1031*$C1031,0)</f>
        <v>15238</v>
      </c>
      <c r="N1031" s="54"/>
      <c r="O1031" s="199" t="s">
        <v>0</v>
      </c>
      <c r="P1031" s="109"/>
      <c r="Q1031" s="109" t="s">
        <v>0</v>
      </c>
      <c r="R1031" s="109"/>
      <c r="S1031" s="54"/>
      <c r="T1031" s="54"/>
      <c r="U1031" s="54"/>
      <c r="V1031" s="54"/>
      <c r="W1031" s="54"/>
      <c r="X1031" s="54"/>
      <c r="Y1031" s="54"/>
      <c r="Z1031" s="54"/>
      <c r="AA1031" s="54"/>
      <c r="AB1031" s="54"/>
      <c r="AC1031" s="54"/>
      <c r="AD1031" s="54"/>
      <c r="AE1031" s="54"/>
      <c r="AF1031" s="54"/>
      <c r="AG1031" s="54"/>
      <c r="AH1031" s="54"/>
      <c r="AI1031" s="54"/>
    </row>
    <row r="1032" spans="1:37" hidden="1">
      <c r="A1032" s="209" t="s">
        <v>223</v>
      </c>
      <c r="B1032" s="136"/>
      <c r="C1032" s="205">
        <v>0</v>
      </c>
      <c r="D1032" s="225">
        <v>0.38000000000000006</v>
      </c>
      <c r="E1032" s="225"/>
      <c r="F1032" s="127">
        <f>ROUND(D1032*$C1032,0)</f>
        <v>0</v>
      </c>
      <c r="G1032" s="225">
        <v>0.43</v>
      </c>
      <c r="H1032" s="207"/>
      <c r="I1032" s="127">
        <f t="shared" si="137"/>
        <v>0</v>
      </c>
      <c r="J1032" s="225">
        <f>J993</f>
        <v>0.48</v>
      </c>
      <c r="K1032" s="207"/>
      <c r="L1032" s="127">
        <f>ROUND(J1032*$C1032,0)</f>
        <v>0</v>
      </c>
      <c r="N1032" s="54"/>
      <c r="O1032" s="54"/>
      <c r="P1032" s="109"/>
      <c r="Q1032" s="109"/>
      <c r="R1032" s="109"/>
      <c r="S1032" s="54"/>
      <c r="T1032" s="54"/>
      <c r="U1032" s="54"/>
      <c r="V1032" s="54"/>
      <c r="W1032" s="54"/>
      <c r="X1032" s="54"/>
      <c r="Y1032" s="54"/>
      <c r="Z1032" s="54"/>
      <c r="AA1032" s="54"/>
      <c r="AB1032" s="54"/>
      <c r="AC1032" s="54"/>
      <c r="AD1032" s="54"/>
      <c r="AE1032" s="54"/>
      <c r="AF1032" s="54"/>
      <c r="AG1032" s="54"/>
      <c r="AH1032" s="54"/>
      <c r="AI1032" s="54"/>
    </row>
    <row r="1033" spans="1:37" hidden="1">
      <c r="A1033" s="149" t="s">
        <v>150</v>
      </c>
      <c r="B1033" s="136"/>
      <c r="C1033" s="205">
        <f>25117</f>
        <v>25117</v>
      </c>
      <c r="D1033" s="225">
        <v>6.12</v>
      </c>
      <c r="E1033" s="225"/>
      <c r="F1033" s="127">
        <f>ROUND(D1033*$C1033,0)</f>
        <v>153716</v>
      </c>
      <c r="G1033" s="225">
        <v>6.99</v>
      </c>
      <c r="H1033" s="207"/>
      <c r="I1033" s="127">
        <f t="shared" si="137"/>
        <v>175568</v>
      </c>
      <c r="J1033" s="225">
        <f>J994</f>
        <v>8.15</v>
      </c>
      <c r="K1033" s="207"/>
      <c r="L1033" s="127">
        <f>ROUND(J1033*$C1033,0)</f>
        <v>204704</v>
      </c>
      <c r="N1033" s="54"/>
      <c r="O1033" s="54"/>
      <c r="P1033" s="109"/>
      <c r="Q1033" s="109"/>
      <c r="R1033" s="109"/>
      <c r="S1033" s="54"/>
      <c r="T1033" s="54"/>
      <c r="U1033" s="54"/>
      <c r="V1033" s="54"/>
      <c r="W1033" s="54"/>
      <c r="X1033" s="54"/>
      <c r="Y1033" s="54"/>
      <c r="Z1033" s="54"/>
      <c r="AA1033" s="54"/>
      <c r="AB1033" s="54"/>
      <c r="AC1033" s="54"/>
      <c r="AD1033" s="54"/>
      <c r="AE1033" s="54"/>
      <c r="AF1033" s="54"/>
      <c r="AG1033" s="54"/>
      <c r="AH1033" s="54"/>
      <c r="AI1033" s="54"/>
    </row>
    <row r="1034" spans="1:37" hidden="1">
      <c r="A1034" s="209" t="s">
        <v>172</v>
      </c>
      <c r="B1034" s="136"/>
      <c r="C1034" s="205"/>
      <c r="D1034" s="225" t="s">
        <v>0</v>
      </c>
      <c r="E1034" s="225"/>
      <c r="F1034" s="127"/>
      <c r="G1034" s="225" t="s">
        <v>0</v>
      </c>
      <c r="H1034" s="207"/>
      <c r="I1034" s="127"/>
      <c r="J1034" s="225" t="s">
        <v>0</v>
      </c>
      <c r="K1034" s="207"/>
      <c r="L1034" s="127"/>
      <c r="N1034" s="54"/>
      <c r="O1034" s="54"/>
      <c r="P1034" s="109"/>
      <c r="Q1034" s="109"/>
      <c r="R1034" s="109"/>
      <c r="S1034" s="54"/>
      <c r="T1034" s="54"/>
      <c r="U1034" s="54"/>
      <c r="V1034" s="54"/>
      <c r="W1034" s="54"/>
      <c r="X1034" s="54"/>
      <c r="Y1034" s="54"/>
      <c r="Z1034" s="54"/>
      <c r="AA1034" s="54"/>
      <c r="AB1034" s="54"/>
      <c r="AC1034" s="54"/>
      <c r="AD1034" s="54"/>
      <c r="AE1034" s="54"/>
      <c r="AF1034" s="54"/>
      <c r="AG1034" s="54"/>
      <c r="AH1034" s="54"/>
      <c r="AI1034" s="54"/>
    </row>
    <row r="1035" spans="1:37" hidden="1">
      <c r="A1035" s="209" t="s">
        <v>211</v>
      </c>
      <c r="B1035" s="136"/>
      <c r="C1035" s="205">
        <f>4585200</f>
        <v>4585200</v>
      </c>
      <c r="D1035" s="305">
        <v>3.6669999999999998</v>
      </c>
      <c r="E1035" s="207" t="s">
        <v>99</v>
      </c>
      <c r="F1035" s="127">
        <f>ROUND(D1035/100*$C1035,0)</f>
        <v>168139</v>
      </c>
      <c r="G1035" s="305">
        <v>4.1920000000000002</v>
      </c>
      <c r="H1035" s="207" t="s">
        <v>99</v>
      </c>
      <c r="I1035" s="127">
        <f>ROUND(G1035/100*C1035,0)</f>
        <v>192212</v>
      </c>
      <c r="J1035" s="305">
        <f>J996</f>
        <v>1.123</v>
      </c>
      <c r="K1035" s="207" t="s">
        <v>99</v>
      </c>
      <c r="L1035" s="127">
        <f>ROUND(J1035/100*$C1035,0)</f>
        <v>51492</v>
      </c>
      <c r="N1035" s="54"/>
      <c r="O1035" s="54"/>
      <c r="P1035" s="109"/>
      <c r="Q1035" s="109"/>
      <c r="R1035" s="109"/>
      <c r="S1035" s="54"/>
      <c r="T1035" s="54"/>
      <c r="U1035" s="54"/>
      <c r="V1035" s="54"/>
      <c r="W1035" s="54"/>
      <c r="X1035" s="54"/>
      <c r="Y1035" s="54"/>
      <c r="Z1035" s="54"/>
      <c r="AA1035" s="54"/>
      <c r="AB1035" s="54"/>
      <c r="AC1035" s="54"/>
      <c r="AD1035" s="54"/>
      <c r="AE1035" s="54"/>
      <c r="AF1035" s="54"/>
      <c r="AG1035" s="54"/>
      <c r="AH1035" s="54"/>
      <c r="AI1035" s="54"/>
    </row>
    <row r="1036" spans="1:37" hidden="1">
      <c r="A1036" s="209" t="s">
        <v>141</v>
      </c>
      <c r="B1036" s="136"/>
      <c r="C1036" s="205">
        <f>3837</f>
        <v>3837</v>
      </c>
      <c r="D1036" s="225">
        <v>0.47</v>
      </c>
      <c r="E1036" s="207"/>
      <c r="F1036" s="127">
        <f>ROUND(D1036*$C1036,0)</f>
        <v>1803</v>
      </c>
      <c r="G1036" s="225">
        <v>0.54</v>
      </c>
      <c r="H1036" s="207"/>
      <c r="I1036" s="127">
        <f>ROUND(G1036*C1036,0)</f>
        <v>2072</v>
      </c>
      <c r="J1036" s="225">
        <f>J997</f>
        <v>0.61</v>
      </c>
      <c r="K1036" s="207"/>
      <c r="L1036" s="127">
        <f>ROUND(J1036*$C1036,0)</f>
        <v>2341</v>
      </c>
      <c r="N1036" s="54"/>
      <c r="O1036" s="54"/>
      <c r="P1036" s="109"/>
      <c r="Q1036" s="109"/>
      <c r="R1036" s="109"/>
      <c r="S1036" s="54"/>
      <c r="T1036" s="54"/>
      <c r="U1036" s="54"/>
      <c r="V1036" s="54"/>
      <c r="W1036" s="54"/>
      <c r="X1036" s="54"/>
      <c r="Y1036" s="54"/>
      <c r="Z1036" s="54"/>
      <c r="AA1036" s="54"/>
      <c r="AB1036" s="54"/>
      <c r="AC1036" s="54"/>
      <c r="AD1036" s="54"/>
      <c r="AE1036" s="54"/>
      <c r="AF1036" s="54"/>
      <c r="AG1036" s="54"/>
      <c r="AH1036" s="54"/>
      <c r="AI1036" s="54"/>
    </row>
    <row r="1037" spans="1:37" hidden="1">
      <c r="A1037" s="134" t="s">
        <v>212</v>
      </c>
      <c r="C1037" s="125">
        <f>C1035</f>
        <v>4585200</v>
      </c>
      <c r="D1037" s="133"/>
      <c r="E1037" s="54"/>
      <c r="F1037" s="127"/>
      <c r="G1037" s="133"/>
      <c r="H1037" s="54"/>
      <c r="I1037" s="127"/>
      <c r="J1037" s="135">
        <f>J998</f>
        <v>3.512</v>
      </c>
      <c r="K1037" s="207" t="s">
        <v>99</v>
      </c>
      <c r="L1037" s="127">
        <f>ROUND(J1037/100*$C1037,0)</f>
        <v>161032</v>
      </c>
      <c r="N1037" s="128"/>
      <c r="P1037" s="93"/>
      <c r="Q1037" s="108"/>
      <c r="R1037" s="108"/>
      <c r="S1037" s="129"/>
      <c r="T1037" s="129"/>
      <c r="Y1037" s="54"/>
      <c r="Z1037" s="54"/>
      <c r="AA1037" s="54"/>
      <c r="AB1037" s="54"/>
      <c r="AC1037" s="54"/>
      <c r="AD1037" s="54"/>
      <c r="AE1037" s="54"/>
      <c r="AF1037" s="54"/>
      <c r="AG1037" s="54"/>
      <c r="AH1037" s="54"/>
      <c r="AI1037" s="54"/>
      <c r="AK1037" s="128"/>
    </row>
    <row r="1038" spans="1:37" hidden="1">
      <c r="A1038" s="136" t="s">
        <v>122</v>
      </c>
      <c r="B1038" s="136"/>
      <c r="C1038" s="205">
        <f>C1035</f>
        <v>4585200</v>
      </c>
      <c r="D1038" s="215"/>
      <c r="E1038" s="127"/>
      <c r="F1038" s="127">
        <f>SUM(F1028:F1036)</f>
        <v>373682</v>
      </c>
      <c r="G1038" s="215"/>
      <c r="H1038" s="136"/>
      <c r="I1038" s="127">
        <f>SUM(I1028:I1036)</f>
        <v>427301</v>
      </c>
      <c r="J1038" s="215"/>
      <c r="K1038" s="136"/>
      <c r="L1038" s="127">
        <f>SUM(L1028:L1037)</f>
        <v>484252</v>
      </c>
      <c r="N1038" s="54"/>
      <c r="O1038" s="54"/>
      <c r="P1038" s="109"/>
      <c r="Q1038" s="109"/>
      <c r="R1038" s="109"/>
      <c r="S1038" s="54"/>
      <c r="T1038" s="54"/>
      <c r="U1038" s="54"/>
      <c r="V1038" s="54"/>
      <c r="W1038" s="54"/>
      <c r="X1038" s="54"/>
      <c r="Y1038" s="54"/>
      <c r="Z1038" s="54"/>
      <c r="AA1038" s="54"/>
      <c r="AB1038" s="54"/>
      <c r="AC1038" s="54"/>
      <c r="AD1038" s="54"/>
      <c r="AE1038" s="54"/>
      <c r="AF1038" s="54"/>
      <c r="AG1038" s="54"/>
      <c r="AH1038" s="54"/>
      <c r="AI1038" s="54"/>
    </row>
    <row r="1039" spans="1:37" hidden="1">
      <c r="A1039" s="136" t="s">
        <v>102</v>
      </c>
      <c r="B1039" s="136"/>
      <c r="C1039" s="205">
        <f>C1038/($C$981+$C$1038)*$C$1076</f>
        <v>62907.458023101703</v>
      </c>
      <c r="D1039" s="149"/>
      <c r="E1039" s="149"/>
      <c r="F1039" s="306" t="e">
        <f>F1038/($F$981+$F$1038)*$F$1076</f>
        <v>#REF!</v>
      </c>
      <c r="G1039" s="149"/>
      <c r="H1039" s="149"/>
      <c r="I1039" s="229">
        <v>222642.17382612941</v>
      </c>
      <c r="J1039" s="149"/>
      <c r="K1039" s="149"/>
      <c r="L1039" s="229">
        <f>I1039</f>
        <v>222642.17382612941</v>
      </c>
      <c r="N1039" s="164"/>
      <c r="O1039" s="164"/>
      <c r="P1039" s="162"/>
      <c r="Q1039" s="109"/>
      <c r="R1039" s="109"/>
      <c r="S1039" s="54"/>
      <c r="T1039" s="54"/>
      <c r="U1039" s="54"/>
      <c r="V1039" s="54"/>
      <c r="W1039" s="54"/>
      <c r="X1039" s="54"/>
      <c r="Y1039" s="54"/>
      <c r="Z1039" s="54"/>
      <c r="AA1039" s="54"/>
      <c r="AB1039" s="54"/>
      <c r="AC1039" s="54"/>
      <c r="AD1039" s="54"/>
      <c r="AE1039" s="54"/>
      <c r="AF1039" s="54"/>
      <c r="AG1039" s="54"/>
      <c r="AH1039" s="54"/>
      <c r="AI1039" s="54"/>
    </row>
    <row r="1040" spans="1:37" ht="16.5" hidden="1" thickBot="1">
      <c r="A1040" s="136" t="s">
        <v>123</v>
      </c>
      <c r="B1040" s="136"/>
      <c r="C1040" s="302">
        <f>SUM(C1038)+C1039</f>
        <v>4648107.458023102</v>
      </c>
      <c r="D1040" s="231"/>
      <c r="E1040" s="232"/>
      <c r="F1040" s="233" t="e">
        <f>F1038+F1039</f>
        <v>#REF!</v>
      </c>
      <c r="G1040" s="231"/>
      <c r="H1040" s="235"/>
      <c r="I1040" s="233">
        <f>I1038+I1039</f>
        <v>649943.17382612941</v>
      </c>
      <c r="J1040" s="231"/>
      <c r="K1040" s="235"/>
      <c r="L1040" s="233">
        <f>L1038+L1039</f>
        <v>706894.17382612941</v>
      </c>
      <c r="N1040" s="165"/>
      <c r="O1040" s="165" t="s">
        <v>0</v>
      </c>
      <c r="P1040" s="166"/>
      <c r="Q1040" s="109"/>
      <c r="R1040" s="109"/>
      <c r="S1040" s="96" t="s">
        <v>0</v>
      </c>
      <c r="T1040" s="54"/>
      <c r="U1040" s="54"/>
      <c r="V1040" s="54"/>
      <c r="W1040" s="54"/>
      <c r="X1040" s="54"/>
      <c r="Y1040" s="54"/>
      <c r="Z1040" s="54"/>
      <c r="AA1040" s="54"/>
      <c r="AB1040" s="54"/>
      <c r="AC1040" s="54"/>
      <c r="AD1040" s="54"/>
      <c r="AE1040" s="54"/>
      <c r="AF1040" s="54"/>
      <c r="AG1040" s="54"/>
      <c r="AH1040" s="54"/>
      <c r="AI1040" s="54"/>
    </row>
    <row r="1041" spans="1:37" hidden="1">
      <c r="A1041" s="136"/>
      <c r="B1041" s="136"/>
      <c r="C1041" s="168"/>
      <c r="D1041" s="225"/>
      <c r="E1041" s="127"/>
      <c r="F1041" s="127"/>
      <c r="G1041" s="225" t="s">
        <v>0</v>
      </c>
      <c r="H1041" s="136"/>
      <c r="I1041" s="127"/>
      <c r="J1041" s="251" t="s">
        <v>0</v>
      </c>
      <c r="K1041" s="136"/>
      <c r="L1041" s="127" t="s">
        <v>0</v>
      </c>
      <c r="N1041" s="54"/>
      <c r="O1041" s="54"/>
      <c r="P1041" s="109"/>
      <c r="Q1041" s="109"/>
      <c r="R1041" s="109"/>
      <c r="S1041" s="54"/>
      <c r="T1041" s="54"/>
      <c r="U1041" s="54"/>
      <c r="V1041" s="54"/>
      <c r="W1041" s="54"/>
      <c r="X1041" s="54"/>
      <c r="Y1041" s="54"/>
      <c r="Z1041" s="54"/>
      <c r="AA1041" s="54"/>
      <c r="AB1041" s="54"/>
      <c r="AC1041" s="54"/>
      <c r="AD1041" s="54"/>
      <c r="AE1041" s="54"/>
      <c r="AF1041" s="54"/>
      <c r="AG1041" s="54"/>
      <c r="AH1041" s="54"/>
      <c r="AI1041" s="54"/>
    </row>
    <row r="1042" spans="1:37" hidden="1">
      <c r="A1042" s="167" t="s">
        <v>224</v>
      </c>
      <c r="B1042" s="136"/>
      <c r="C1042" s="136"/>
      <c r="D1042" s="127"/>
      <c r="E1042" s="127"/>
      <c r="F1042" s="136"/>
      <c r="G1042" s="127"/>
      <c r="H1042" s="136"/>
      <c r="I1042" s="136"/>
      <c r="J1042" s="127"/>
      <c r="K1042" s="136"/>
      <c r="L1042" s="136"/>
      <c r="N1042" s="54"/>
      <c r="O1042" s="54"/>
      <c r="P1042" s="109"/>
      <c r="Q1042" s="109"/>
      <c r="R1042" s="109"/>
      <c r="S1042" s="54"/>
      <c r="T1042" s="54"/>
      <c r="U1042" s="54"/>
      <c r="V1042" s="54"/>
      <c r="W1042" s="54"/>
      <c r="X1042" s="54"/>
      <c r="Y1042" s="54"/>
      <c r="Z1042" s="54"/>
      <c r="AA1042" s="54"/>
      <c r="AB1042" s="54"/>
      <c r="AC1042" s="54"/>
      <c r="AD1042" s="54"/>
      <c r="AE1042" s="54"/>
      <c r="AF1042" s="54"/>
      <c r="AG1042" s="54"/>
      <c r="AH1042" s="54"/>
      <c r="AI1042" s="54"/>
    </row>
    <row r="1043" spans="1:37" hidden="1">
      <c r="A1043" s="149" t="s">
        <v>234</v>
      </c>
      <c r="B1043" s="136"/>
      <c r="C1043" s="136"/>
      <c r="D1043" s="127"/>
      <c r="E1043" s="127"/>
      <c r="F1043" s="136"/>
      <c r="G1043" s="127"/>
      <c r="H1043" s="136"/>
      <c r="I1043" s="136"/>
      <c r="J1043" s="127"/>
      <c r="K1043" s="136"/>
      <c r="L1043" s="136"/>
      <c r="N1043" s="54"/>
      <c r="O1043" s="54"/>
      <c r="P1043" s="109"/>
      <c r="Q1043" s="109"/>
      <c r="R1043" s="109"/>
      <c r="S1043" s="54"/>
      <c r="T1043" s="54"/>
      <c r="U1043" s="54"/>
      <c r="V1043" s="54"/>
      <c r="W1043" s="54"/>
      <c r="X1043" s="54"/>
      <c r="Y1043" s="54"/>
      <c r="Z1043" s="54"/>
      <c r="AA1043" s="54"/>
      <c r="AB1043" s="54"/>
      <c r="AC1043" s="54"/>
      <c r="AD1043" s="54"/>
      <c r="AE1043" s="54"/>
      <c r="AF1043" s="54"/>
      <c r="AG1043" s="54"/>
      <c r="AH1043" s="54"/>
      <c r="AI1043" s="54"/>
    </row>
    <row r="1044" spans="1:37" hidden="1">
      <c r="A1044" s="209"/>
      <c r="B1044" s="136"/>
      <c r="C1044" s="136"/>
      <c r="D1044" s="127"/>
      <c r="E1044" s="127"/>
      <c r="F1044" s="136"/>
      <c r="G1044" s="127"/>
      <c r="H1044" s="136"/>
      <c r="I1044" s="136"/>
      <c r="J1044" s="127"/>
      <c r="K1044" s="136"/>
      <c r="L1044" s="136"/>
      <c r="N1044" s="54"/>
      <c r="O1044" s="54"/>
      <c r="P1044" s="109"/>
      <c r="Q1044" s="109"/>
      <c r="R1044" s="109"/>
      <c r="S1044" s="54"/>
      <c r="T1044" s="54"/>
      <c r="U1044" s="54"/>
      <c r="V1044" s="54"/>
      <c r="W1044" s="54"/>
      <c r="X1044" s="54"/>
      <c r="Y1044" s="54"/>
      <c r="Z1044" s="54"/>
      <c r="AA1044" s="54"/>
      <c r="AB1044" s="54"/>
      <c r="AC1044" s="54"/>
      <c r="AD1044" s="54"/>
      <c r="AE1044" s="54"/>
      <c r="AF1044" s="54"/>
      <c r="AG1044" s="54"/>
      <c r="AH1044" s="54"/>
      <c r="AI1044" s="54"/>
    </row>
    <row r="1045" spans="1:37" hidden="1">
      <c r="A1045" s="209" t="s">
        <v>135</v>
      </c>
      <c r="B1045" s="136"/>
      <c r="C1045" s="205"/>
      <c r="D1045" s="127"/>
      <c r="E1045" s="127"/>
      <c r="F1045" s="136"/>
      <c r="G1045" s="127"/>
      <c r="H1045" s="136"/>
      <c r="I1045" s="136"/>
      <c r="J1045" s="127"/>
      <c r="K1045" s="136"/>
      <c r="L1045" s="136"/>
      <c r="N1045" s="54"/>
      <c r="O1045" s="54"/>
      <c r="P1045" s="109"/>
      <c r="Q1045" s="109"/>
      <c r="R1045" s="109"/>
      <c r="S1045" s="54"/>
      <c r="T1045" s="54"/>
      <c r="U1045" s="54"/>
      <c r="V1045" s="54"/>
      <c r="W1045" s="54"/>
      <c r="X1045" s="54"/>
      <c r="Y1045" s="54"/>
      <c r="Z1045" s="54"/>
      <c r="AA1045" s="54"/>
      <c r="AB1045" s="54"/>
      <c r="AC1045" s="54"/>
      <c r="AD1045" s="54"/>
      <c r="AE1045" s="54"/>
      <c r="AF1045" s="54"/>
      <c r="AG1045" s="54"/>
      <c r="AH1045" s="54"/>
      <c r="AI1045" s="54"/>
    </row>
    <row r="1046" spans="1:37" hidden="1">
      <c r="A1046" s="209" t="s">
        <v>220</v>
      </c>
      <c r="B1046" s="136"/>
      <c r="C1046" s="205">
        <f t="shared" ref="C1046:C1051" si="138">C1010+C953</f>
        <v>314</v>
      </c>
      <c r="D1046" s="225"/>
      <c r="E1046" s="225"/>
      <c r="F1046" s="127">
        <f>F1010+F953</f>
        <v>384510</v>
      </c>
      <c r="G1046" s="225"/>
      <c r="H1046" s="207"/>
      <c r="I1046" s="127">
        <f>I1010+I953</f>
        <v>438504</v>
      </c>
      <c r="J1046" s="225"/>
      <c r="K1046" s="207"/>
      <c r="L1046" s="127">
        <f>L1010+L953</f>
        <v>490772</v>
      </c>
      <c r="N1046" s="54"/>
      <c r="O1046" s="54"/>
      <c r="P1046" s="109"/>
      <c r="Q1046" s="109"/>
      <c r="R1046" s="109"/>
      <c r="S1046" s="54"/>
      <c r="T1046" s="54"/>
      <c r="U1046" s="54"/>
      <c r="V1046" s="54"/>
      <c r="W1046" s="54"/>
      <c r="X1046" s="54"/>
      <c r="Y1046" s="54"/>
      <c r="Z1046" s="54"/>
      <c r="AA1046" s="54"/>
      <c r="AB1046" s="54"/>
      <c r="AC1046" s="54"/>
      <c r="AD1046" s="54"/>
      <c r="AE1046" s="54"/>
      <c r="AF1046" s="54"/>
      <c r="AG1046" s="54"/>
      <c r="AH1046" s="54"/>
      <c r="AI1046" s="54"/>
    </row>
    <row r="1047" spans="1:37" hidden="1">
      <c r="A1047" s="209" t="s">
        <v>221</v>
      </c>
      <c r="B1047" s="136"/>
      <c r="C1047" s="205">
        <f t="shared" si="138"/>
        <v>0</v>
      </c>
      <c r="D1047" s="225"/>
      <c r="E1047" s="225"/>
      <c r="F1047" s="127">
        <f>F1011+F954</f>
        <v>0</v>
      </c>
      <c r="G1047" s="225"/>
      <c r="H1047" s="210"/>
      <c r="I1047" s="127">
        <f>I1011+I954</f>
        <v>0</v>
      </c>
      <c r="J1047" s="225"/>
      <c r="K1047" s="210"/>
      <c r="L1047" s="127">
        <f>L1011+L954</f>
        <v>0</v>
      </c>
      <c r="N1047" s="54"/>
      <c r="O1047" s="54"/>
      <c r="P1047" s="109"/>
      <c r="Q1047" s="109"/>
      <c r="R1047" s="109"/>
      <c r="S1047" s="54"/>
      <c r="T1047" s="54"/>
      <c r="U1047" s="54"/>
      <c r="V1047" s="54"/>
      <c r="W1047" s="54"/>
      <c r="X1047" s="54"/>
      <c r="Y1047" s="54"/>
      <c r="Z1047" s="54"/>
      <c r="AA1047" s="54"/>
      <c r="AB1047" s="54"/>
      <c r="AC1047" s="54"/>
      <c r="AD1047" s="54"/>
      <c r="AE1047" s="54"/>
      <c r="AF1047" s="54"/>
      <c r="AG1047" s="54"/>
      <c r="AH1047" s="54"/>
      <c r="AI1047" s="54"/>
    </row>
    <row r="1048" spans="1:37" hidden="1">
      <c r="A1048" s="209" t="s">
        <v>136</v>
      </c>
      <c r="B1048" s="136"/>
      <c r="C1048" s="205">
        <f t="shared" si="138"/>
        <v>314</v>
      </c>
      <c r="D1048" s="225"/>
      <c r="E1048" s="225"/>
      <c r="F1048" s="127" t="s">
        <v>0</v>
      </c>
      <c r="G1048" s="225"/>
      <c r="H1048" s="207"/>
      <c r="I1048" s="127" t="s">
        <v>0</v>
      </c>
      <c r="J1048" s="225"/>
      <c r="K1048" s="207"/>
      <c r="L1048" s="127" t="s">
        <v>0</v>
      </c>
      <c r="N1048" s="54"/>
      <c r="O1048" s="54"/>
      <c r="P1048" s="109"/>
      <c r="Q1048" s="109"/>
      <c r="R1048" s="109"/>
      <c r="S1048" s="54"/>
      <c r="T1048" s="54"/>
      <c r="U1048" s="54"/>
      <c r="V1048" s="54"/>
      <c r="W1048" s="54"/>
      <c r="X1048" s="54"/>
      <c r="Y1048" s="54"/>
      <c r="Z1048" s="54"/>
      <c r="AA1048" s="54"/>
      <c r="AB1048" s="54"/>
      <c r="AC1048" s="54"/>
      <c r="AD1048" s="54"/>
      <c r="AE1048" s="54"/>
      <c r="AF1048" s="54"/>
      <c r="AG1048" s="54"/>
      <c r="AH1048" s="54"/>
      <c r="AI1048" s="54"/>
    </row>
    <row r="1049" spans="1:37" hidden="1">
      <c r="A1049" s="209" t="s">
        <v>222</v>
      </c>
      <c r="B1049" s="136"/>
      <c r="C1049" s="205">
        <f t="shared" si="138"/>
        <v>428746</v>
      </c>
      <c r="D1049" s="225"/>
      <c r="E1049" s="225"/>
      <c r="F1049" s="127">
        <f>F1013+F956</f>
        <v>311497</v>
      </c>
      <c r="G1049" s="225"/>
      <c r="H1049" s="207"/>
      <c r="I1049" s="127">
        <f>I1013+I956</f>
        <v>360932</v>
      </c>
      <c r="J1049" s="225"/>
      <c r="K1049" s="207"/>
      <c r="L1049" s="127">
        <f>L1013+L956</f>
        <v>406080</v>
      </c>
      <c r="N1049" s="54"/>
      <c r="O1049" s="54"/>
      <c r="P1049" s="109"/>
      <c r="Q1049" s="109"/>
      <c r="R1049" s="109"/>
      <c r="S1049" s="54"/>
      <c r="T1049" s="54"/>
      <c r="U1049" s="54"/>
      <c r="V1049" s="54"/>
      <c r="W1049" s="54"/>
      <c r="X1049" s="54"/>
      <c r="Y1049" s="54"/>
      <c r="Z1049" s="54"/>
      <c r="AA1049" s="54"/>
      <c r="AB1049" s="54"/>
      <c r="AC1049" s="54"/>
      <c r="AD1049" s="54"/>
      <c r="AE1049" s="54"/>
      <c r="AF1049" s="54"/>
      <c r="AG1049" s="54"/>
      <c r="AH1049" s="54"/>
      <c r="AI1049" s="54"/>
    </row>
    <row r="1050" spans="1:37" hidden="1">
      <c r="A1050" s="209" t="s">
        <v>223</v>
      </c>
      <c r="B1050" s="136"/>
      <c r="C1050" s="205">
        <f t="shared" si="138"/>
        <v>0</v>
      </c>
      <c r="D1050" s="225"/>
      <c r="E1050" s="225"/>
      <c r="F1050" s="127">
        <f>F1014+F957</f>
        <v>0</v>
      </c>
      <c r="G1050" s="225"/>
      <c r="H1050" s="207"/>
      <c r="I1050" s="127">
        <f>I1014+I957</f>
        <v>0</v>
      </c>
      <c r="J1050" s="225"/>
      <c r="K1050" s="207"/>
      <c r="L1050" s="127">
        <f>L1014+L957</f>
        <v>0</v>
      </c>
      <c r="N1050" s="54"/>
      <c r="O1050" s="54"/>
      <c r="P1050" s="109"/>
      <c r="Q1050" s="109"/>
      <c r="R1050" s="109"/>
      <c r="S1050" s="54"/>
      <c r="T1050" s="54"/>
      <c r="U1050" s="54"/>
      <c r="V1050" s="54"/>
      <c r="W1050" s="54"/>
      <c r="X1050" s="54"/>
      <c r="Y1050" s="54"/>
      <c r="Z1050" s="54"/>
      <c r="AA1050" s="54"/>
      <c r="AB1050" s="54"/>
      <c r="AC1050" s="54"/>
      <c r="AD1050" s="54"/>
      <c r="AE1050" s="54"/>
      <c r="AF1050" s="54"/>
      <c r="AG1050" s="54"/>
      <c r="AH1050" s="54"/>
      <c r="AI1050" s="54"/>
    </row>
    <row r="1051" spans="1:37" hidden="1">
      <c r="A1051" s="149" t="s">
        <v>150</v>
      </c>
      <c r="B1051" s="136"/>
      <c r="C1051" s="205">
        <f t="shared" si="138"/>
        <v>322387</v>
      </c>
      <c r="D1051" s="225"/>
      <c r="E1051" s="225"/>
      <c r="F1051" s="127">
        <f>F1015+F958</f>
        <v>1991192</v>
      </c>
      <c r="G1051" s="225"/>
      <c r="H1051" s="207"/>
      <c r="I1051" s="127">
        <f>I1015+I958</f>
        <v>2277125</v>
      </c>
      <c r="J1051" s="225"/>
      <c r="K1051" s="207"/>
      <c r="L1051" s="127">
        <f>L1015+L958</f>
        <v>2654731</v>
      </c>
      <c r="N1051" s="54"/>
      <c r="O1051" s="54"/>
      <c r="P1051" s="109"/>
      <c r="Q1051" s="109"/>
      <c r="R1051" s="109"/>
      <c r="S1051" s="54"/>
      <c r="T1051" s="54"/>
      <c r="U1051" s="54"/>
      <c r="V1051" s="54"/>
      <c r="W1051" s="54"/>
      <c r="X1051" s="54"/>
      <c r="Y1051" s="54"/>
      <c r="Z1051" s="54"/>
      <c r="AA1051" s="54"/>
      <c r="AB1051" s="54"/>
      <c r="AC1051" s="54"/>
      <c r="AD1051" s="54"/>
      <c r="AE1051" s="54"/>
      <c r="AF1051" s="54"/>
      <c r="AG1051" s="54"/>
      <c r="AH1051" s="54"/>
      <c r="AI1051" s="54"/>
    </row>
    <row r="1052" spans="1:37" hidden="1">
      <c r="A1052" s="209" t="s">
        <v>172</v>
      </c>
      <c r="B1052" s="136"/>
      <c r="C1052" s="205"/>
      <c r="D1052" s="225"/>
      <c r="E1052" s="225"/>
      <c r="F1052" s="127"/>
      <c r="G1052" s="225"/>
      <c r="H1052" s="207"/>
      <c r="I1052" s="127"/>
      <c r="J1052" s="225"/>
      <c r="K1052" s="207"/>
      <c r="L1052" s="127"/>
      <c r="N1052" s="54"/>
      <c r="O1052" s="54"/>
      <c r="P1052" s="109"/>
      <c r="Q1052" s="109"/>
      <c r="R1052" s="109"/>
      <c r="S1052" s="54"/>
      <c r="T1052" s="54"/>
      <c r="U1052" s="54"/>
      <c r="V1052" s="54"/>
      <c r="W1052" s="54"/>
      <c r="X1052" s="54"/>
      <c r="Y1052" s="54"/>
      <c r="Z1052" s="54"/>
      <c r="AA1052" s="54"/>
      <c r="AB1052" s="54"/>
      <c r="AC1052" s="54"/>
      <c r="AD1052" s="54"/>
      <c r="AE1052" s="54"/>
      <c r="AF1052" s="54"/>
      <c r="AG1052" s="54"/>
      <c r="AH1052" s="54"/>
      <c r="AI1052" s="54"/>
    </row>
    <row r="1053" spans="1:37" hidden="1">
      <c r="A1053" s="209" t="s">
        <v>211</v>
      </c>
      <c r="B1053" s="136"/>
      <c r="C1053" s="205">
        <f>C1017+C960</f>
        <v>142287441</v>
      </c>
      <c r="D1053" s="305"/>
      <c r="E1053" s="124" t="s">
        <v>0</v>
      </c>
      <c r="F1053" s="127">
        <f>F1017+F960</f>
        <v>5260208</v>
      </c>
      <c r="G1053" s="305"/>
      <c r="H1053" s="207"/>
      <c r="I1053" s="127">
        <f>I1017+I960</f>
        <v>6009718</v>
      </c>
      <c r="J1053" s="305"/>
      <c r="K1053" s="207"/>
      <c r="L1053" s="127">
        <f>L1017+L960</f>
        <v>2059849</v>
      </c>
      <c r="N1053" s="54"/>
      <c r="O1053" s="54"/>
      <c r="P1053" s="109"/>
      <c r="Q1053" s="109"/>
      <c r="R1053" s="109"/>
      <c r="S1053" s="54"/>
      <c r="T1053" s="54"/>
      <c r="U1053" s="54"/>
      <c r="V1053" s="54"/>
      <c r="W1053" s="54"/>
      <c r="X1053" s="54"/>
      <c r="Y1053" s="54"/>
      <c r="Z1053" s="54"/>
      <c r="AA1053" s="54"/>
      <c r="AB1053" s="54"/>
      <c r="AC1053" s="54"/>
      <c r="AD1053" s="54"/>
      <c r="AE1053" s="54"/>
      <c r="AF1053" s="54"/>
      <c r="AG1053" s="54"/>
      <c r="AH1053" s="54"/>
      <c r="AI1053" s="54"/>
    </row>
    <row r="1054" spans="1:37" hidden="1">
      <c r="A1054" s="209" t="s">
        <v>141</v>
      </c>
      <c r="B1054" s="136"/>
      <c r="C1054" s="205">
        <f>C1018+C961</f>
        <v>37242</v>
      </c>
      <c r="D1054" s="225"/>
      <c r="E1054" s="207"/>
      <c r="F1054" s="127">
        <f>F1018+F961</f>
        <v>17751</v>
      </c>
      <c r="G1054" s="225"/>
      <c r="H1054" s="207"/>
      <c r="I1054" s="127">
        <f>I1018+I961</f>
        <v>20358</v>
      </c>
      <c r="J1054" s="225"/>
      <c r="K1054" s="207"/>
      <c r="L1054" s="127">
        <f>L1018+L961</f>
        <v>22966</v>
      </c>
      <c r="N1054" s="54"/>
      <c r="O1054" s="54"/>
      <c r="P1054" s="109"/>
      <c r="Q1054" s="109"/>
      <c r="R1054" s="109"/>
      <c r="S1054" s="54"/>
      <c r="T1054" s="54"/>
      <c r="U1054" s="54"/>
      <c r="V1054" s="54"/>
      <c r="W1054" s="54"/>
      <c r="X1054" s="54"/>
      <c r="Y1054" s="54"/>
      <c r="Z1054" s="54"/>
      <c r="AA1054" s="54"/>
      <c r="AB1054" s="54"/>
      <c r="AC1054" s="54"/>
      <c r="AD1054" s="54"/>
      <c r="AE1054" s="54"/>
      <c r="AF1054" s="54"/>
      <c r="AG1054" s="54"/>
      <c r="AH1054" s="54"/>
      <c r="AI1054" s="54"/>
    </row>
    <row r="1055" spans="1:37" hidden="1">
      <c r="A1055" s="134" t="s">
        <v>212</v>
      </c>
      <c r="C1055" s="205">
        <f>C1019+C962</f>
        <v>142287441</v>
      </c>
      <c r="D1055" s="133"/>
      <c r="E1055" s="54"/>
      <c r="F1055" s="127"/>
      <c r="G1055" s="133"/>
      <c r="H1055" s="54"/>
      <c r="I1055" s="127"/>
      <c r="J1055" s="126"/>
      <c r="K1055" s="54"/>
      <c r="L1055" s="127">
        <f>L1019+L962</f>
        <v>4585206</v>
      </c>
      <c r="N1055" s="128"/>
      <c r="P1055" s="93"/>
      <c r="Q1055" s="108"/>
      <c r="R1055" s="108"/>
      <c r="S1055" s="129"/>
      <c r="T1055" s="129"/>
      <c r="Y1055" s="54"/>
      <c r="Z1055" s="54"/>
      <c r="AA1055" s="54"/>
      <c r="AB1055" s="54"/>
      <c r="AC1055" s="54"/>
      <c r="AD1055" s="54"/>
      <c r="AE1055" s="54"/>
      <c r="AF1055" s="54"/>
      <c r="AG1055" s="54"/>
      <c r="AH1055" s="54"/>
      <c r="AI1055" s="54"/>
      <c r="AK1055" s="128"/>
    </row>
    <row r="1056" spans="1:37" hidden="1">
      <c r="A1056" s="136" t="s">
        <v>122</v>
      </c>
      <c r="B1056" s="136"/>
      <c r="C1056" s="205">
        <f>C1020+C963</f>
        <v>142287441</v>
      </c>
      <c r="D1056" s="215"/>
      <c r="E1056" s="127"/>
      <c r="F1056" s="127">
        <f>F1020+F963</f>
        <v>7965158</v>
      </c>
      <c r="G1056" s="215"/>
      <c r="H1056" s="136"/>
      <c r="I1056" s="127">
        <f>I1020+I963</f>
        <v>9106637</v>
      </c>
      <c r="J1056" s="215"/>
      <c r="K1056" s="136"/>
      <c r="L1056" s="127">
        <f>L1020+L963</f>
        <v>10219604</v>
      </c>
      <c r="N1056" s="54"/>
      <c r="O1056" s="54"/>
      <c r="P1056" s="109"/>
      <c r="Q1056" s="109"/>
      <c r="R1056" s="109"/>
      <c r="S1056" s="54"/>
      <c r="T1056" s="54"/>
      <c r="U1056" s="54"/>
      <c r="V1056" s="54"/>
      <c r="W1056" s="54"/>
      <c r="X1056" s="54"/>
      <c r="Y1056" s="54"/>
      <c r="Z1056" s="54"/>
      <c r="AA1056" s="54"/>
      <c r="AB1056" s="54"/>
      <c r="AC1056" s="54"/>
      <c r="AD1056" s="54"/>
      <c r="AE1056" s="54"/>
      <c r="AF1056" s="54"/>
      <c r="AG1056" s="54"/>
      <c r="AH1056" s="54"/>
      <c r="AI1056" s="54"/>
    </row>
    <row r="1057" spans="1:35" hidden="1">
      <c r="A1057" s="136" t="s">
        <v>102</v>
      </c>
      <c r="B1057" s="136"/>
      <c r="C1057" s="228">
        <v>-366841.9413010361</v>
      </c>
      <c r="D1057" s="149"/>
      <c r="E1057" s="149"/>
      <c r="F1057" s="306" t="e">
        <f>#REF!</f>
        <v>#REF!</v>
      </c>
      <c r="G1057" s="149"/>
      <c r="H1057" s="149"/>
      <c r="I1057" s="306">
        <v>-26603.603302829546</v>
      </c>
      <c r="J1057" s="149"/>
      <c r="K1057" s="149"/>
      <c r="L1057" s="306">
        <f>I1057</f>
        <v>-26603.603302829546</v>
      </c>
      <c r="N1057" s="164"/>
      <c r="O1057" s="164"/>
      <c r="P1057" s="162"/>
      <c r="Q1057" s="109"/>
      <c r="R1057" s="109"/>
      <c r="S1057" s="54"/>
      <c r="T1057" s="54"/>
      <c r="U1057" s="54"/>
      <c r="V1057" s="54"/>
      <c r="W1057" s="54"/>
      <c r="X1057" s="54"/>
      <c r="Y1057" s="54"/>
      <c r="Z1057" s="54"/>
      <c r="AA1057" s="54"/>
      <c r="AB1057" s="54"/>
      <c r="AC1057" s="54"/>
      <c r="AD1057" s="54"/>
      <c r="AE1057" s="54"/>
      <c r="AF1057" s="54"/>
      <c r="AG1057" s="54"/>
      <c r="AH1057" s="54"/>
      <c r="AI1057" s="54"/>
    </row>
    <row r="1058" spans="1:35" ht="16.5" hidden="1" thickBot="1">
      <c r="A1058" s="136" t="s">
        <v>123</v>
      </c>
      <c r="B1058" s="136"/>
      <c r="C1058" s="313">
        <f>C1056+C1057</f>
        <v>141920599.05869895</v>
      </c>
      <c r="D1058" s="231"/>
      <c r="E1058" s="232"/>
      <c r="F1058" s="314" t="e">
        <f>F1056+F1057</f>
        <v>#REF!</v>
      </c>
      <c r="G1058" s="231"/>
      <c r="H1058" s="235"/>
      <c r="I1058" s="314">
        <f>I1056+I1057</f>
        <v>9080033.396697171</v>
      </c>
      <c r="J1058" s="231"/>
      <c r="K1058" s="235"/>
      <c r="L1058" s="314">
        <f>L1056+L1057</f>
        <v>10193000.396697171</v>
      </c>
      <c r="N1058" s="165"/>
      <c r="O1058" s="165"/>
      <c r="P1058" s="166"/>
      <c r="Q1058" s="109"/>
      <c r="R1058" s="109"/>
      <c r="S1058" s="54"/>
      <c r="T1058" s="54"/>
      <c r="U1058" s="54"/>
      <c r="V1058" s="54"/>
      <c r="W1058" s="54"/>
      <c r="X1058" s="54"/>
      <c r="Y1058" s="54"/>
      <c r="Z1058" s="54"/>
      <c r="AA1058" s="54"/>
      <c r="AB1058" s="54"/>
      <c r="AC1058" s="54"/>
      <c r="AD1058" s="54"/>
      <c r="AE1058" s="54"/>
      <c r="AF1058" s="54"/>
      <c r="AG1058" s="54"/>
      <c r="AH1058" s="54"/>
      <c r="AI1058" s="54"/>
    </row>
    <row r="1059" spans="1:35" hidden="1">
      <c r="A1059" s="136"/>
      <c r="B1059" s="136"/>
      <c r="C1059" s="168"/>
      <c r="D1059" s="225"/>
      <c r="E1059" s="127"/>
      <c r="F1059" s="127"/>
      <c r="G1059" s="225" t="s">
        <v>0</v>
      </c>
      <c r="H1059" s="136"/>
      <c r="I1059" s="127"/>
      <c r="J1059" s="251" t="s">
        <v>0</v>
      </c>
      <c r="K1059" s="136"/>
      <c r="L1059" s="127" t="s">
        <v>0</v>
      </c>
      <c r="N1059" s="54"/>
      <c r="O1059" s="54"/>
      <c r="P1059" s="109"/>
      <c r="Q1059" s="109"/>
      <c r="R1059" s="109"/>
      <c r="S1059" s="54"/>
      <c r="T1059" s="54"/>
      <c r="U1059" s="54"/>
      <c r="V1059" s="54"/>
      <c r="W1059" s="54"/>
      <c r="X1059" s="54"/>
      <c r="Y1059" s="54"/>
      <c r="Z1059" s="54"/>
      <c r="AA1059" s="54"/>
      <c r="AB1059" s="54"/>
      <c r="AC1059" s="54"/>
      <c r="AD1059" s="54"/>
      <c r="AE1059" s="54"/>
      <c r="AF1059" s="54"/>
      <c r="AG1059" s="54"/>
      <c r="AH1059" s="54"/>
      <c r="AI1059" s="54"/>
    </row>
    <row r="1060" spans="1:35" hidden="1">
      <c r="A1060" s="136"/>
      <c r="B1060" s="136"/>
      <c r="C1060" s="168"/>
      <c r="D1060" s="225"/>
      <c r="E1060" s="127"/>
      <c r="F1060" s="127"/>
      <c r="G1060" s="225"/>
      <c r="H1060" s="136"/>
      <c r="I1060" s="127"/>
      <c r="J1060" s="225"/>
      <c r="K1060" s="136"/>
      <c r="L1060" s="282"/>
      <c r="N1060" s="54"/>
      <c r="O1060" s="54"/>
      <c r="P1060" s="109"/>
      <c r="Q1060" s="109"/>
      <c r="R1060" s="109"/>
      <c r="S1060" s="54"/>
      <c r="T1060" s="54"/>
      <c r="U1060" s="54"/>
      <c r="V1060" s="54"/>
      <c r="W1060" s="54"/>
      <c r="X1060" s="54"/>
      <c r="Y1060" s="54"/>
      <c r="Z1060" s="54"/>
      <c r="AA1060" s="54"/>
      <c r="AB1060" s="54"/>
      <c r="AC1060" s="54"/>
      <c r="AD1060" s="54"/>
      <c r="AE1060" s="54"/>
      <c r="AF1060" s="54"/>
      <c r="AG1060" s="54"/>
      <c r="AH1060" s="54"/>
      <c r="AI1060" s="54"/>
    </row>
    <row r="1061" spans="1:35" hidden="1">
      <c r="A1061" s="167" t="s">
        <v>224</v>
      </c>
      <c r="B1061" s="136"/>
      <c r="C1061" s="136"/>
      <c r="D1061" s="127"/>
      <c r="E1061" s="127"/>
      <c r="F1061" s="136"/>
      <c r="G1061" s="127"/>
      <c r="H1061" s="136"/>
      <c r="I1061" s="136"/>
      <c r="J1061" s="127"/>
      <c r="K1061" s="136"/>
      <c r="L1061" s="136"/>
      <c r="N1061" s="54"/>
      <c r="O1061" s="54"/>
      <c r="P1061" s="109"/>
      <c r="Q1061" s="109"/>
      <c r="R1061" s="109"/>
      <c r="S1061" s="54"/>
      <c r="T1061" s="54"/>
      <c r="U1061" s="54"/>
      <c r="V1061" s="54"/>
      <c r="W1061" s="54"/>
      <c r="X1061" s="54"/>
      <c r="Y1061" s="54"/>
      <c r="Z1061" s="54"/>
      <c r="AA1061" s="54"/>
      <c r="AB1061" s="54"/>
      <c r="AC1061" s="54"/>
      <c r="AD1061" s="54"/>
      <c r="AE1061" s="54"/>
      <c r="AF1061" s="54"/>
      <c r="AG1061" s="54"/>
      <c r="AH1061" s="54"/>
      <c r="AI1061" s="54"/>
    </row>
    <row r="1062" spans="1:35" hidden="1">
      <c r="A1062" s="149" t="s">
        <v>235</v>
      </c>
      <c r="B1062" s="136"/>
      <c r="C1062" s="136"/>
      <c r="D1062" s="127"/>
      <c r="E1062" s="127"/>
      <c r="F1062" s="136"/>
      <c r="G1062" s="127"/>
      <c r="H1062" s="136"/>
      <c r="I1062" s="136"/>
      <c r="J1062" s="127"/>
      <c r="K1062" s="136"/>
      <c r="L1062" s="136"/>
      <c r="N1062" s="54"/>
      <c r="O1062" s="54"/>
      <c r="P1062" s="109"/>
      <c r="Q1062" s="109"/>
      <c r="R1062" s="109"/>
      <c r="S1062" s="54"/>
      <c r="T1062" s="54"/>
      <c r="U1062" s="54"/>
      <c r="V1062" s="54"/>
      <c r="W1062" s="54"/>
      <c r="X1062" s="54"/>
      <c r="Y1062" s="54"/>
      <c r="Z1062" s="54"/>
      <c r="AA1062" s="54"/>
      <c r="AB1062" s="54"/>
      <c r="AC1062" s="54"/>
      <c r="AD1062" s="54"/>
      <c r="AE1062" s="54"/>
      <c r="AF1062" s="54"/>
      <c r="AG1062" s="54"/>
      <c r="AH1062" s="54"/>
      <c r="AI1062" s="54"/>
    </row>
    <row r="1063" spans="1:35" hidden="1">
      <c r="A1063" s="209"/>
      <c r="B1063" s="136"/>
      <c r="C1063" s="136"/>
      <c r="D1063" s="127"/>
      <c r="E1063" s="127"/>
      <c r="F1063" s="136"/>
      <c r="G1063" s="127"/>
      <c r="H1063" s="136"/>
      <c r="I1063" s="136"/>
      <c r="J1063" s="127"/>
      <c r="K1063" s="136"/>
      <c r="L1063" s="136"/>
      <c r="N1063" s="54"/>
      <c r="O1063" s="54"/>
      <c r="P1063" s="109"/>
      <c r="Q1063" s="109"/>
      <c r="R1063" s="109"/>
      <c r="S1063" s="54"/>
      <c r="T1063" s="54"/>
      <c r="U1063" s="54"/>
      <c r="V1063" s="54"/>
      <c r="W1063" s="54"/>
      <c r="X1063" s="54"/>
      <c r="Y1063" s="54"/>
      <c r="Z1063" s="54"/>
      <c r="AA1063" s="54"/>
      <c r="AB1063" s="54"/>
      <c r="AC1063" s="54"/>
      <c r="AD1063" s="54"/>
      <c r="AE1063" s="54"/>
      <c r="AF1063" s="54"/>
      <c r="AG1063" s="54"/>
      <c r="AH1063" s="54"/>
      <c r="AI1063" s="54"/>
    </row>
    <row r="1064" spans="1:35" hidden="1">
      <c r="A1064" s="209" t="s">
        <v>135</v>
      </c>
      <c r="B1064" s="136"/>
      <c r="C1064" s="205"/>
      <c r="D1064" s="127"/>
      <c r="E1064" s="127"/>
      <c r="F1064" s="136"/>
      <c r="G1064" s="127"/>
      <c r="H1064" s="136"/>
      <c r="I1064" s="136"/>
      <c r="J1064" s="127"/>
      <c r="K1064" s="136"/>
      <c r="L1064" s="136"/>
      <c r="N1064" s="54"/>
      <c r="O1064" s="54"/>
      <c r="P1064" s="109"/>
      <c r="Q1064" s="109"/>
      <c r="R1064" s="109"/>
      <c r="S1064" s="54"/>
      <c r="T1064" s="54"/>
      <c r="U1064" s="54"/>
      <c r="V1064" s="54"/>
      <c r="W1064" s="54"/>
      <c r="X1064" s="54"/>
      <c r="Y1064" s="54"/>
      <c r="Z1064" s="54"/>
      <c r="AA1064" s="54"/>
      <c r="AB1064" s="54"/>
      <c r="AC1064" s="54"/>
      <c r="AD1064" s="54"/>
      <c r="AE1064" s="54"/>
      <c r="AF1064" s="54"/>
      <c r="AG1064" s="54"/>
      <c r="AH1064" s="54"/>
      <c r="AI1064" s="54"/>
    </row>
    <row r="1065" spans="1:35" hidden="1">
      <c r="A1065" s="209" t="s">
        <v>220</v>
      </c>
      <c r="B1065" s="136"/>
      <c r="C1065" s="205">
        <f t="shared" ref="C1065:C1070" si="139">C1028+C971</f>
        <v>381</v>
      </c>
      <c r="D1065" s="225"/>
      <c r="E1065" s="225"/>
      <c r="F1065" s="127">
        <f>F1028+F971</f>
        <v>463845</v>
      </c>
      <c r="G1065" s="225"/>
      <c r="H1065" s="207"/>
      <c r="I1065" s="127">
        <f>I1028+I971</f>
        <v>529089</v>
      </c>
      <c r="J1065" s="225"/>
      <c r="K1065" s="207"/>
      <c r="L1065" s="127">
        <f>L1028+L971</f>
        <v>591245</v>
      </c>
      <c r="N1065" s="54"/>
      <c r="O1065" s="54"/>
      <c r="P1065" s="109"/>
      <c r="Q1065" s="109"/>
      <c r="R1065" s="109"/>
      <c r="S1065" s="54"/>
      <c r="T1065" s="54"/>
      <c r="U1065" s="54"/>
      <c r="V1065" s="54"/>
      <c r="W1065" s="54"/>
      <c r="X1065" s="54"/>
      <c r="Y1065" s="54"/>
      <c r="Z1065" s="54"/>
      <c r="AA1065" s="54"/>
      <c r="AB1065" s="54"/>
      <c r="AC1065" s="54"/>
      <c r="AD1065" s="54"/>
      <c r="AE1065" s="54"/>
      <c r="AF1065" s="54"/>
      <c r="AG1065" s="54"/>
      <c r="AH1065" s="54"/>
      <c r="AI1065" s="54"/>
    </row>
    <row r="1066" spans="1:35" hidden="1">
      <c r="A1066" s="209" t="s">
        <v>221</v>
      </c>
      <c r="B1066" s="136"/>
      <c r="C1066" s="205">
        <f t="shared" si="139"/>
        <v>0</v>
      </c>
      <c r="D1066" s="225"/>
      <c r="E1066" s="225"/>
      <c r="F1066" s="127">
        <f>F1029+F972</f>
        <v>0</v>
      </c>
      <c r="G1066" s="225"/>
      <c r="H1066" s="210"/>
      <c r="I1066" s="127">
        <f>I1029+I972</f>
        <v>0</v>
      </c>
      <c r="J1066" s="225"/>
      <c r="K1066" s="210"/>
      <c r="L1066" s="127">
        <f>L1029+L972</f>
        <v>0</v>
      </c>
      <c r="N1066" s="54"/>
      <c r="O1066" s="54"/>
      <c r="P1066" s="109"/>
      <c r="Q1066" s="109"/>
      <c r="R1066" s="109"/>
      <c r="S1066" s="54"/>
      <c r="T1066" s="54"/>
      <c r="U1066" s="54"/>
      <c r="V1066" s="54"/>
      <c r="W1066" s="54"/>
      <c r="X1066" s="54"/>
      <c r="Y1066" s="54"/>
      <c r="Z1066" s="54"/>
      <c r="AA1066" s="54"/>
      <c r="AB1066" s="54"/>
      <c r="AC1066" s="54"/>
      <c r="AD1066" s="54"/>
      <c r="AE1066" s="54"/>
      <c r="AF1066" s="54"/>
      <c r="AG1066" s="54"/>
      <c r="AH1066" s="54"/>
      <c r="AI1066" s="54"/>
    </row>
    <row r="1067" spans="1:35" hidden="1">
      <c r="A1067" s="209" t="s">
        <v>136</v>
      </c>
      <c r="B1067" s="136"/>
      <c r="C1067" s="205">
        <f t="shared" si="139"/>
        <v>381</v>
      </c>
      <c r="D1067" s="225"/>
      <c r="E1067" s="225"/>
      <c r="F1067" s="127" t="s">
        <v>0</v>
      </c>
      <c r="G1067" s="225"/>
      <c r="H1067" s="207"/>
      <c r="I1067" s="127" t="s">
        <v>0</v>
      </c>
      <c r="J1067" s="225"/>
      <c r="K1067" s="207"/>
      <c r="L1067" s="127" t="s">
        <v>0</v>
      </c>
      <c r="N1067" s="54"/>
      <c r="O1067" s="54"/>
      <c r="P1067" s="109"/>
      <c r="Q1067" s="109"/>
      <c r="R1067" s="109"/>
      <c r="S1067" s="54"/>
      <c r="T1067" s="54"/>
      <c r="U1067" s="54"/>
      <c r="V1067" s="54"/>
      <c r="W1067" s="54"/>
      <c r="X1067" s="54"/>
      <c r="Y1067" s="54"/>
      <c r="Z1067" s="54"/>
      <c r="AA1067" s="54"/>
      <c r="AB1067" s="54"/>
      <c r="AC1067" s="54"/>
      <c r="AD1067" s="54"/>
      <c r="AE1067" s="54"/>
      <c r="AF1067" s="54"/>
      <c r="AG1067" s="54"/>
      <c r="AH1067" s="54"/>
      <c r="AI1067" s="54"/>
    </row>
    <row r="1068" spans="1:35" hidden="1">
      <c r="A1068" s="209" t="s">
        <v>222</v>
      </c>
      <c r="B1068" s="136"/>
      <c r="C1068" s="205">
        <f t="shared" si="139"/>
        <v>564907</v>
      </c>
      <c r="D1068" s="225"/>
      <c r="E1068" s="225"/>
      <c r="F1068" s="127">
        <f>F1031+F974</f>
        <v>507778</v>
      </c>
      <c r="G1068" s="225"/>
      <c r="H1068" s="207"/>
      <c r="I1068" s="127">
        <f>I1031+I974</f>
        <v>585341</v>
      </c>
      <c r="J1068" s="225"/>
      <c r="K1068" s="207"/>
      <c r="L1068" s="127">
        <f>L1031+L974</f>
        <v>657255</v>
      </c>
      <c r="N1068" s="54"/>
      <c r="O1068" s="54"/>
      <c r="P1068" s="109"/>
      <c r="Q1068" s="109"/>
      <c r="R1068" s="109"/>
      <c r="S1068" s="54"/>
      <c r="T1068" s="54"/>
      <c r="U1068" s="54"/>
      <c r="V1068" s="54"/>
      <c r="W1068" s="54"/>
      <c r="X1068" s="54"/>
      <c r="Y1068" s="54"/>
      <c r="Z1068" s="54"/>
      <c r="AA1068" s="54"/>
      <c r="AB1068" s="54"/>
      <c r="AC1068" s="54"/>
      <c r="AD1068" s="54"/>
      <c r="AE1068" s="54"/>
      <c r="AF1068" s="54"/>
      <c r="AG1068" s="54"/>
      <c r="AH1068" s="54"/>
      <c r="AI1068" s="54"/>
    </row>
    <row r="1069" spans="1:35" hidden="1">
      <c r="A1069" s="209" t="s">
        <v>223</v>
      </c>
      <c r="B1069" s="136"/>
      <c r="C1069" s="205">
        <f t="shared" si="139"/>
        <v>0</v>
      </c>
      <c r="D1069" s="225"/>
      <c r="E1069" s="225"/>
      <c r="F1069" s="127">
        <f>F1032+F975</f>
        <v>0</v>
      </c>
      <c r="G1069" s="225"/>
      <c r="H1069" s="207"/>
      <c r="I1069" s="127">
        <f>I1032+I975</f>
        <v>0</v>
      </c>
      <c r="J1069" s="225"/>
      <c r="K1069" s="207"/>
      <c r="L1069" s="127">
        <f>L1032+L975</f>
        <v>0</v>
      </c>
      <c r="N1069" s="54"/>
      <c r="O1069" s="54"/>
      <c r="P1069" s="109"/>
      <c r="Q1069" s="109"/>
      <c r="R1069" s="109"/>
      <c r="S1069" s="54"/>
      <c r="T1069" s="54"/>
      <c r="U1069" s="54"/>
      <c r="V1069" s="54"/>
      <c r="W1069" s="54"/>
      <c r="X1069" s="54"/>
      <c r="Y1069" s="54"/>
      <c r="Z1069" s="54"/>
      <c r="AA1069" s="54"/>
      <c r="AB1069" s="54"/>
      <c r="AC1069" s="54"/>
      <c r="AD1069" s="54"/>
      <c r="AE1069" s="54"/>
      <c r="AF1069" s="54"/>
      <c r="AG1069" s="54"/>
      <c r="AH1069" s="54"/>
      <c r="AI1069" s="54"/>
    </row>
    <row r="1070" spans="1:35" hidden="1">
      <c r="A1070" s="149" t="s">
        <v>150</v>
      </c>
      <c r="B1070" s="136"/>
      <c r="C1070" s="205">
        <f t="shared" si="139"/>
        <v>492028</v>
      </c>
      <c r="D1070" s="225"/>
      <c r="E1070" s="225"/>
      <c r="F1070" s="127">
        <f>F1033+F976</f>
        <v>3057902</v>
      </c>
      <c r="G1070" s="225"/>
      <c r="H1070" s="207"/>
      <c r="I1070" s="127">
        <f>I1033+I976</f>
        <v>3499974</v>
      </c>
      <c r="J1070" s="225"/>
      <c r="K1070" s="207"/>
      <c r="L1070" s="127">
        <f>L1033+L976</f>
        <v>4080065</v>
      </c>
      <c r="N1070" s="54"/>
      <c r="O1070" s="54"/>
      <c r="P1070" s="109"/>
      <c r="Q1070" s="109"/>
      <c r="R1070" s="109"/>
      <c r="S1070" s="54"/>
      <c r="T1070" s="54"/>
      <c r="U1070" s="54"/>
      <c r="V1070" s="54"/>
      <c r="W1070" s="54"/>
      <c r="X1070" s="54"/>
      <c r="Y1070" s="54"/>
      <c r="Z1070" s="54"/>
      <c r="AA1070" s="54"/>
      <c r="AB1070" s="54"/>
      <c r="AC1070" s="54"/>
      <c r="AD1070" s="54"/>
      <c r="AE1070" s="54"/>
      <c r="AF1070" s="54"/>
      <c r="AG1070" s="54"/>
      <c r="AH1070" s="54"/>
      <c r="AI1070" s="54"/>
    </row>
    <row r="1071" spans="1:35" hidden="1">
      <c r="A1071" s="209" t="s">
        <v>172</v>
      </c>
      <c r="B1071" s="136"/>
      <c r="C1071" s="205"/>
      <c r="D1071" s="225"/>
      <c r="E1071" s="225"/>
      <c r="F1071" s="127"/>
      <c r="G1071" s="225"/>
      <c r="H1071" s="207"/>
      <c r="I1071" s="127"/>
      <c r="J1071" s="225"/>
      <c r="K1071" s="207"/>
      <c r="L1071" s="127"/>
      <c r="N1071" s="54"/>
      <c r="O1071" s="54"/>
      <c r="P1071" s="109"/>
      <c r="Q1071" s="109"/>
      <c r="R1071" s="109"/>
      <c r="S1071" s="54"/>
      <c r="T1071" s="54"/>
      <c r="U1071" s="54"/>
      <c r="V1071" s="54"/>
      <c r="W1071" s="54"/>
      <c r="X1071" s="54"/>
      <c r="Y1071" s="54"/>
      <c r="Z1071" s="54"/>
      <c r="AA1071" s="54"/>
      <c r="AB1071" s="54"/>
      <c r="AC1071" s="54"/>
      <c r="AD1071" s="54"/>
      <c r="AE1071" s="54"/>
      <c r="AF1071" s="54"/>
      <c r="AG1071" s="54"/>
      <c r="AH1071" s="54"/>
      <c r="AI1071" s="54"/>
    </row>
    <row r="1072" spans="1:35" hidden="1">
      <c r="A1072" s="209" t="s">
        <v>211</v>
      </c>
      <c r="B1072" s="136"/>
      <c r="C1072" s="205">
        <f>C1035+C978</f>
        <v>213504952</v>
      </c>
      <c r="D1072" s="305"/>
      <c r="E1072" s="207"/>
      <c r="F1072" s="127">
        <f>F1035+F978</f>
        <v>7935775</v>
      </c>
      <c r="G1072" s="305"/>
      <c r="H1072" s="207"/>
      <c r="I1072" s="127">
        <f>I1035+I978</f>
        <v>9062945</v>
      </c>
      <c r="J1072" s="305"/>
      <c r="K1072" s="207"/>
      <c r="L1072" s="127">
        <f>L1035+L978</f>
        <v>3555076</v>
      </c>
      <c r="N1072" s="54"/>
      <c r="O1072" s="54"/>
      <c r="P1072" s="109"/>
      <c r="Q1072" s="109"/>
      <c r="R1072" s="109"/>
      <c r="S1072" s="54"/>
      <c r="T1072" s="54"/>
      <c r="U1072" s="54"/>
      <c r="V1072" s="54"/>
      <c r="W1072" s="54"/>
      <c r="X1072" s="54"/>
      <c r="Y1072" s="54"/>
      <c r="Z1072" s="54"/>
      <c r="AA1072" s="54"/>
      <c r="AB1072" s="54"/>
      <c r="AC1072" s="54"/>
      <c r="AD1072" s="54"/>
      <c r="AE1072" s="54"/>
      <c r="AF1072" s="54"/>
      <c r="AG1072" s="54"/>
      <c r="AH1072" s="54"/>
      <c r="AI1072" s="54"/>
    </row>
    <row r="1073" spans="1:37" hidden="1">
      <c r="A1073" s="209" t="s">
        <v>141</v>
      </c>
      <c r="B1073" s="136"/>
      <c r="C1073" s="205">
        <f>C1036+C979</f>
        <v>162756</v>
      </c>
      <c r="D1073" s="225"/>
      <c r="E1073" s="207"/>
      <c r="F1073" s="127">
        <f>F1036+F979</f>
        <v>78084</v>
      </c>
      <c r="G1073" s="225"/>
      <c r="H1073" s="207"/>
      <c r="I1073" s="127">
        <f>I1036+I979</f>
        <v>89477</v>
      </c>
      <c r="J1073" s="225"/>
      <c r="K1073" s="207"/>
      <c r="L1073" s="127">
        <f>L1036+L979</f>
        <v>100871</v>
      </c>
      <c r="N1073" s="54"/>
      <c r="O1073" s="54"/>
      <c r="P1073" s="109"/>
      <c r="Q1073" s="109"/>
      <c r="R1073" s="109"/>
      <c r="S1073" s="54"/>
      <c r="T1073" s="54"/>
      <c r="U1073" s="54"/>
      <c r="V1073" s="54"/>
      <c r="W1073" s="54"/>
      <c r="X1073" s="54"/>
      <c r="Y1073" s="54"/>
      <c r="Z1073" s="54"/>
      <c r="AA1073" s="54"/>
      <c r="AB1073" s="54"/>
      <c r="AC1073" s="54"/>
      <c r="AD1073" s="54"/>
      <c r="AE1073" s="54"/>
      <c r="AF1073" s="54"/>
      <c r="AG1073" s="54"/>
      <c r="AH1073" s="54"/>
      <c r="AI1073" s="54"/>
    </row>
    <row r="1074" spans="1:37" hidden="1">
      <c r="A1074" s="134" t="s">
        <v>212</v>
      </c>
      <c r="C1074" s="205">
        <f>C1037+C980</f>
        <v>213504952</v>
      </c>
      <c r="D1074" s="133"/>
      <c r="E1074" s="54"/>
      <c r="F1074" s="127"/>
      <c r="G1074" s="133"/>
      <c r="H1074" s="54"/>
      <c r="I1074" s="127"/>
      <c r="J1074" s="126"/>
      <c r="K1074" s="54"/>
      <c r="L1074" s="127">
        <f>L1037+L980</f>
        <v>6466230</v>
      </c>
      <c r="N1074" s="128"/>
      <c r="P1074" s="93"/>
      <c r="Q1074" s="108"/>
      <c r="R1074" s="108"/>
      <c r="S1074" s="129"/>
      <c r="T1074" s="129"/>
      <c r="Y1074" s="54"/>
      <c r="Z1074" s="54"/>
      <c r="AA1074" s="54"/>
      <c r="AB1074" s="54"/>
      <c r="AC1074" s="54"/>
      <c r="AD1074" s="54"/>
      <c r="AE1074" s="54"/>
      <c r="AF1074" s="54"/>
      <c r="AG1074" s="54"/>
      <c r="AH1074" s="54"/>
      <c r="AI1074" s="54"/>
      <c r="AK1074" s="128"/>
    </row>
    <row r="1075" spans="1:37" hidden="1">
      <c r="A1075" s="136" t="s">
        <v>122</v>
      </c>
      <c r="B1075" s="136"/>
      <c r="C1075" s="247">
        <f>C1038+C981</f>
        <v>213504952</v>
      </c>
      <c r="D1075" s="215"/>
      <c r="E1075" s="127"/>
      <c r="F1075" s="200">
        <f>F1038+F981</f>
        <v>12043384</v>
      </c>
      <c r="G1075" s="215"/>
      <c r="H1075" s="136"/>
      <c r="I1075" s="200">
        <f>I1038+I981</f>
        <v>13766826</v>
      </c>
      <c r="J1075" s="215"/>
      <c r="K1075" s="136"/>
      <c r="L1075" s="200">
        <f>L1038+L981</f>
        <v>15450742</v>
      </c>
      <c r="N1075" s="54"/>
      <c r="O1075" s="54"/>
      <c r="P1075" s="109"/>
      <c r="Q1075" s="109"/>
      <c r="R1075" s="109"/>
      <c r="S1075" s="54"/>
      <c r="T1075" s="54"/>
      <c r="U1075" s="54"/>
      <c r="V1075" s="54"/>
      <c r="W1075" s="54"/>
      <c r="X1075" s="54"/>
      <c r="Y1075" s="54"/>
      <c r="Z1075" s="54"/>
      <c r="AA1075" s="54"/>
      <c r="AB1075" s="54"/>
      <c r="AC1075" s="54"/>
      <c r="AD1075" s="54"/>
      <c r="AE1075" s="54"/>
      <c r="AF1075" s="54"/>
      <c r="AG1075" s="54"/>
      <c r="AH1075" s="54"/>
      <c r="AI1075" s="54"/>
    </row>
    <row r="1076" spans="1:37" hidden="1">
      <c r="A1076" s="136" t="s">
        <v>102</v>
      </c>
      <c r="B1076" s="136"/>
      <c r="C1076" s="228">
        <v>2929218.748509191</v>
      </c>
      <c r="D1076" s="149"/>
      <c r="E1076" s="149"/>
      <c r="F1076" s="306" t="e">
        <f>#REF!</f>
        <v>#REF!</v>
      </c>
      <c r="G1076" s="149"/>
      <c r="H1076" s="149"/>
      <c r="I1076" s="306">
        <v>222642.17382612941</v>
      </c>
      <c r="J1076" s="149"/>
      <c r="K1076" s="149"/>
      <c r="L1076" s="306">
        <f>I1076</f>
        <v>222642.17382612941</v>
      </c>
      <c r="N1076" s="164"/>
      <c r="O1076" s="164"/>
      <c r="P1076" s="162"/>
      <c r="Q1076" s="109"/>
      <c r="R1076" s="109"/>
      <c r="S1076" s="54"/>
      <c r="T1076" s="54"/>
      <c r="U1076" s="54"/>
      <c r="V1076" s="54"/>
      <c r="W1076" s="54"/>
      <c r="X1076" s="54"/>
      <c r="Y1076" s="54"/>
      <c r="Z1076" s="54"/>
      <c r="AA1076" s="54"/>
      <c r="AB1076" s="54"/>
      <c r="AC1076" s="54"/>
      <c r="AD1076" s="54"/>
      <c r="AE1076" s="54"/>
      <c r="AF1076" s="54"/>
      <c r="AG1076" s="54"/>
      <c r="AH1076" s="54"/>
      <c r="AI1076" s="54"/>
    </row>
    <row r="1077" spans="1:37" ht="16.5" hidden="1" thickBot="1">
      <c r="A1077" s="136" t="s">
        <v>123</v>
      </c>
      <c r="B1077" s="136"/>
      <c r="C1077" s="313">
        <f>C1075+C1076</f>
        <v>216434170.7485092</v>
      </c>
      <c r="D1077" s="231"/>
      <c r="E1077" s="232"/>
      <c r="F1077" s="308" t="e">
        <f>F1075+F1076</f>
        <v>#REF!</v>
      </c>
      <c r="G1077" s="231"/>
      <c r="H1077" s="235"/>
      <c r="I1077" s="308">
        <f>I1075+I1076</f>
        <v>13989468.17382613</v>
      </c>
      <c r="J1077" s="231"/>
      <c r="K1077" s="235"/>
      <c r="L1077" s="308">
        <f>L1075+L1076</f>
        <v>15673384.17382613</v>
      </c>
      <c r="N1077" s="165"/>
      <c r="O1077" s="165"/>
      <c r="P1077" s="166"/>
      <c r="Q1077" s="109"/>
      <c r="R1077" s="109"/>
      <c r="S1077" s="54"/>
      <c r="T1077" s="54"/>
      <c r="U1077" s="54"/>
      <c r="V1077" s="54"/>
      <c r="W1077" s="54"/>
      <c r="X1077" s="54"/>
      <c r="Y1077" s="54"/>
      <c r="Z1077" s="54"/>
      <c r="AA1077" s="54"/>
      <c r="AB1077" s="54"/>
      <c r="AC1077" s="54"/>
      <c r="AD1077" s="54"/>
      <c r="AE1077" s="54"/>
      <c r="AF1077" s="54"/>
      <c r="AG1077" s="54"/>
      <c r="AH1077" s="54"/>
      <c r="AI1077" s="54"/>
    </row>
    <row r="1078" spans="1:37">
      <c r="A1078" s="136"/>
      <c r="B1078" s="136"/>
      <c r="C1078" s="168"/>
      <c r="D1078" s="225"/>
      <c r="E1078" s="127"/>
      <c r="F1078" s="127"/>
      <c r="G1078" s="225" t="s">
        <v>0</v>
      </c>
      <c r="H1078" s="136"/>
      <c r="I1078" s="127"/>
      <c r="J1078" s="251" t="s">
        <v>0</v>
      </c>
      <c r="K1078" s="136"/>
      <c r="L1078" s="127" t="s">
        <v>0</v>
      </c>
      <c r="N1078" s="54"/>
      <c r="O1078" s="54"/>
      <c r="P1078" s="109"/>
      <c r="Q1078" s="109"/>
      <c r="R1078" s="109"/>
      <c r="S1078" s="54"/>
      <c r="T1078" s="54"/>
      <c r="U1078" s="54"/>
      <c r="V1078" s="54"/>
      <c r="W1078" s="54"/>
      <c r="X1078" s="54"/>
      <c r="Y1078" s="54"/>
      <c r="Z1078" s="54"/>
      <c r="AA1078" s="54"/>
      <c r="AB1078" s="54"/>
      <c r="AC1078" s="54"/>
      <c r="AD1078" s="54"/>
      <c r="AE1078" s="54"/>
      <c r="AF1078" s="54"/>
      <c r="AG1078" s="54"/>
      <c r="AH1078" s="54"/>
      <c r="AI1078" s="54"/>
    </row>
    <row r="1079" spans="1:37">
      <c r="A1079" s="340" t="s">
        <v>224</v>
      </c>
      <c r="B1079" s="136"/>
      <c r="C1079" s="136"/>
      <c r="D1079" s="127"/>
      <c r="E1079" s="127"/>
      <c r="F1079" s="136"/>
      <c r="G1079" s="127"/>
      <c r="H1079" s="136"/>
      <c r="I1079" s="136"/>
      <c r="J1079" s="127"/>
      <c r="K1079" s="136"/>
      <c r="L1079" s="136"/>
      <c r="N1079" s="54"/>
      <c r="O1079" s="54"/>
      <c r="P1079" s="109"/>
      <c r="Q1079" s="109"/>
      <c r="R1079" s="109"/>
      <c r="S1079" s="54"/>
      <c r="T1079" s="54"/>
      <c r="U1079" s="54"/>
      <c r="V1079" s="54"/>
      <c r="W1079" s="54"/>
      <c r="X1079" s="54"/>
      <c r="Y1079" s="54"/>
      <c r="Z1079" s="54"/>
      <c r="AA1079" s="54"/>
      <c r="AB1079" s="54"/>
      <c r="AC1079" s="54"/>
      <c r="AD1079" s="54"/>
      <c r="AE1079" s="54"/>
      <c r="AF1079" s="54"/>
      <c r="AG1079" s="54"/>
      <c r="AH1079" s="54"/>
      <c r="AI1079" s="54"/>
    </row>
    <row r="1080" spans="1:37">
      <c r="A1080" s="149" t="s">
        <v>236</v>
      </c>
      <c r="B1080" s="136"/>
      <c r="C1080" s="136"/>
      <c r="D1080" s="127"/>
      <c r="E1080" s="127"/>
      <c r="F1080" s="136"/>
      <c r="G1080" s="127"/>
      <c r="H1080" s="136"/>
      <c r="I1080" s="136"/>
      <c r="J1080" s="127"/>
      <c r="K1080" s="136"/>
      <c r="L1080" s="136"/>
      <c r="N1080" s="54"/>
      <c r="O1080" s="54"/>
      <c r="P1080" s="109"/>
      <c r="Q1080" s="109"/>
      <c r="R1080" s="109"/>
      <c r="S1080" s="54"/>
      <c r="T1080" s="54"/>
      <c r="U1080" s="54"/>
      <c r="V1080" s="54"/>
      <c r="W1080" s="54"/>
      <c r="X1080" s="54"/>
      <c r="Y1080" s="54"/>
      <c r="Z1080" s="54"/>
      <c r="AA1080" s="54"/>
      <c r="AB1080" s="54"/>
      <c r="AC1080" s="54"/>
      <c r="AD1080" s="54"/>
      <c r="AE1080" s="54"/>
      <c r="AF1080" s="54"/>
      <c r="AG1080" s="54"/>
      <c r="AH1080" s="54"/>
      <c r="AI1080" s="54"/>
    </row>
    <row r="1081" spans="1:37">
      <c r="A1081" s="209"/>
      <c r="B1081" s="136"/>
      <c r="C1081" s="136"/>
      <c r="D1081" s="127"/>
      <c r="E1081" s="127"/>
      <c r="F1081" s="136"/>
      <c r="G1081" s="127"/>
      <c r="H1081" s="136"/>
      <c r="I1081" s="136"/>
      <c r="J1081" s="127"/>
      <c r="K1081" s="136"/>
      <c r="L1081" s="136"/>
      <c r="N1081" s="54"/>
      <c r="O1081" s="54"/>
      <c r="P1081" s="109"/>
      <c r="Q1081" s="109"/>
      <c r="R1081" s="109"/>
      <c r="S1081" s="54"/>
      <c r="T1081" s="54"/>
      <c r="U1081" s="54"/>
      <c r="V1081" s="54"/>
      <c r="W1081" s="54"/>
      <c r="X1081" s="54"/>
      <c r="Y1081" s="54"/>
      <c r="Z1081" s="54"/>
      <c r="AA1081" s="54"/>
      <c r="AB1081" s="54"/>
      <c r="AC1081" s="54"/>
      <c r="AD1081" s="54"/>
      <c r="AE1081" s="54"/>
      <c r="AF1081" s="54"/>
      <c r="AG1081" s="54"/>
      <c r="AH1081" s="54"/>
      <c r="AI1081" s="54"/>
    </row>
    <row r="1082" spans="1:37">
      <c r="A1082" s="209" t="s">
        <v>135</v>
      </c>
      <c r="B1082" s="136"/>
      <c r="C1082" s="205"/>
      <c r="D1082" s="127"/>
      <c r="E1082" s="127"/>
      <c r="F1082" s="136"/>
      <c r="G1082" s="127"/>
      <c r="H1082" s="136"/>
      <c r="I1082" s="136"/>
      <c r="J1082" s="127"/>
      <c r="K1082" s="136"/>
      <c r="L1082" s="136"/>
      <c r="N1082" s="54"/>
      <c r="O1082" s="54"/>
      <c r="AA1082" s="54"/>
      <c r="AB1082" s="54"/>
      <c r="AC1082" s="54"/>
      <c r="AD1082" s="54"/>
      <c r="AE1082" s="54"/>
      <c r="AF1082" s="54"/>
      <c r="AG1082" s="54"/>
      <c r="AH1082" s="54"/>
      <c r="AI1082" s="54"/>
    </row>
    <row r="1083" spans="1:37">
      <c r="A1083" s="149" t="s">
        <v>237</v>
      </c>
      <c r="B1083" s="136"/>
      <c r="C1083" s="205">
        <v>0</v>
      </c>
      <c r="D1083" s="225" t="s">
        <v>0</v>
      </c>
      <c r="E1083" s="225"/>
      <c r="F1083" s="127">
        <f>ROUND(D1083*$C1083,0)</f>
        <v>0</v>
      </c>
      <c r="G1083" s="225" t="s">
        <v>0</v>
      </c>
      <c r="H1083" s="207"/>
      <c r="I1083" s="127">
        <f>ROUND(C1083*G1083,0)</f>
        <v>0</v>
      </c>
      <c r="J1083" s="225" t="s">
        <v>0</v>
      </c>
      <c r="K1083" s="207"/>
      <c r="L1083" s="127">
        <f>ROUND(J1083*$C1083,0)</f>
        <v>0</v>
      </c>
      <c r="N1083" s="54"/>
      <c r="O1083" s="54"/>
      <c r="Q1083" s="324"/>
      <c r="R1083" s="324"/>
      <c r="T1083" s="176"/>
      <c r="U1083" s="311"/>
      <c r="V1083" s="176"/>
      <c r="W1083" s="311"/>
      <c r="X1083" s="176"/>
      <c r="Y1083" s="176"/>
      <c r="Z1083" s="311"/>
      <c r="AA1083" s="54"/>
      <c r="AB1083" s="54"/>
      <c r="AC1083" s="54"/>
      <c r="AD1083" s="54"/>
      <c r="AE1083" s="54"/>
      <c r="AF1083" s="54"/>
      <c r="AG1083" s="54"/>
      <c r="AH1083" s="54"/>
      <c r="AI1083" s="54"/>
    </row>
    <row r="1084" spans="1:37">
      <c r="A1084" s="149" t="s">
        <v>238</v>
      </c>
      <c r="B1084" s="136"/>
      <c r="C1084" s="205">
        <v>12</v>
      </c>
      <c r="D1084" s="225">
        <v>2100</v>
      </c>
      <c r="E1084" s="225"/>
      <c r="F1084" s="127">
        <f>ROUND(D1084*$C1084,0)</f>
        <v>25200</v>
      </c>
      <c r="G1084" s="225">
        <v>2528</v>
      </c>
      <c r="H1084" s="210"/>
      <c r="I1084" s="127">
        <f>ROUND(C1084*G1084,0)</f>
        <v>30336</v>
      </c>
      <c r="J1084" s="225">
        <f>ROUND(G1084*(1+$Q$1096),0)-24</f>
        <v>2836</v>
      </c>
      <c r="K1084" s="210"/>
      <c r="L1084" s="127">
        <f>ROUND(J1084*$C1084,0)</f>
        <v>34032</v>
      </c>
      <c r="N1084" s="54"/>
      <c r="O1084" s="54"/>
      <c r="Q1084" s="318">
        <f>(J1084-G1084)/G1084</f>
        <v>0.12183544303797468</v>
      </c>
      <c r="R1084" s="147"/>
      <c r="T1084" s="176"/>
      <c r="U1084" s="311"/>
      <c r="V1084" s="176"/>
      <c r="W1084" s="311"/>
      <c r="X1084" s="176"/>
      <c r="Y1084" s="176"/>
      <c r="Z1084" s="311"/>
      <c r="AA1084" s="54"/>
      <c r="AB1084" s="54"/>
      <c r="AC1084" s="54"/>
      <c r="AD1084" s="54"/>
      <c r="AE1084" s="54"/>
      <c r="AF1084" s="54"/>
      <c r="AG1084" s="54"/>
      <c r="AH1084" s="54"/>
      <c r="AI1084" s="54"/>
    </row>
    <row r="1085" spans="1:37">
      <c r="A1085" s="209" t="s">
        <v>136</v>
      </c>
      <c r="B1085" s="136"/>
      <c r="C1085" s="205">
        <f>SUM(C1083:C1084)</f>
        <v>12</v>
      </c>
      <c r="D1085" s="225" t="s">
        <v>0</v>
      </c>
      <c r="E1085" s="225"/>
      <c r="F1085" s="127" t="s">
        <v>0</v>
      </c>
      <c r="G1085" s="225" t="s">
        <v>0</v>
      </c>
      <c r="H1085" s="207"/>
      <c r="I1085" s="127" t="s">
        <v>0</v>
      </c>
      <c r="J1085" s="225" t="s">
        <v>0</v>
      </c>
      <c r="K1085" s="207"/>
      <c r="L1085" s="127" t="s">
        <v>0</v>
      </c>
      <c r="N1085" s="54"/>
      <c r="O1085" s="54"/>
      <c r="Q1085" s="325"/>
      <c r="T1085" s="176"/>
      <c r="U1085" s="311"/>
      <c r="V1085" s="176"/>
      <c r="W1085" s="311"/>
      <c r="X1085" s="176"/>
      <c r="Y1085" s="176"/>
      <c r="Z1085" s="311"/>
      <c r="AA1085" s="54"/>
      <c r="AB1085" s="54"/>
      <c r="AC1085" s="54"/>
      <c r="AD1085" s="54"/>
      <c r="AE1085" s="54"/>
      <c r="AF1085" s="54"/>
      <c r="AG1085" s="54"/>
      <c r="AH1085" s="54"/>
      <c r="AI1085" s="54"/>
    </row>
    <row r="1086" spans="1:37">
      <c r="A1086" s="209" t="s">
        <v>222</v>
      </c>
      <c r="B1086" s="136"/>
      <c r="C1086" s="205">
        <v>0</v>
      </c>
      <c r="D1086" s="225" t="s">
        <v>0</v>
      </c>
      <c r="E1086" s="225"/>
      <c r="F1086" s="127">
        <f>ROUND(D1086*$C1086,0)</f>
        <v>0</v>
      </c>
      <c r="G1086" s="225" t="s">
        <v>0</v>
      </c>
      <c r="H1086" s="207"/>
      <c r="I1086" s="127">
        <f t="shared" ref="I1086:I1088" si="140">ROUND(C1086*G1086,0)</f>
        <v>0</v>
      </c>
      <c r="J1086" s="225" t="s">
        <v>0</v>
      </c>
      <c r="K1086" s="207"/>
      <c r="L1086" s="127">
        <f>ROUND(J1086*$C1086,0)</f>
        <v>0</v>
      </c>
      <c r="N1086" s="54"/>
      <c r="O1086" s="54"/>
      <c r="Q1086" s="325"/>
      <c r="T1086" s="176"/>
      <c r="U1086" s="311"/>
      <c r="V1086" s="176"/>
      <c r="W1086" s="311"/>
      <c r="X1086" s="176"/>
      <c r="Y1086" s="176"/>
      <c r="Z1086" s="311"/>
      <c r="AA1086" s="54"/>
      <c r="AB1086" s="54"/>
      <c r="AC1086" s="54"/>
      <c r="AD1086" s="54"/>
      <c r="AE1086" s="54"/>
      <c r="AF1086" s="54"/>
      <c r="AG1086" s="54"/>
      <c r="AH1086" s="54"/>
      <c r="AI1086" s="54"/>
    </row>
    <row r="1087" spans="1:37">
      <c r="A1087" s="149" t="s">
        <v>239</v>
      </c>
      <c r="B1087" s="136"/>
      <c r="C1087" s="205">
        <f>699156</f>
        <v>699156</v>
      </c>
      <c r="D1087" s="225">
        <v>0.2</v>
      </c>
      <c r="E1087" s="225"/>
      <c r="F1087" s="127">
        <f>ROUND(D1087*$C1087,0)</f>
        <v>139831</v>
      </c>
      <c r="G1087" s="225">
        <v>0.23</v>
      </c>
      <c r="H1087" s="207"/>
      <c r="I1087" s="127">
        <f t="shared" si="140"/>
        <v>160806</v>
      </c>
      <c r="J1087" s="225">
        <f>ROUND(G1087*(1+$Q$1096),2)</f>
        <v>0.26</v>
      </c>
      <c r="K1087" s="207"/>
      <c r="L1087" s="127">
        <f>ROUND(J1087*$C1087,0)</f>
        <v>181781</v>
      </c>
      <c r="N1087" s="54"/>
      <c r="O1087" s="54"/>
      <c r="Q1087" s="318">
        <f>(J1087-G1087)/G1087</f>
        <v>0.13043478260869565</v>
      </c>
      <c r="R1087" s="147"/>
      <c r="T1087" s="176"/>
      <c r="U1087" s="311"/>
      <c r="V1087" s="176"/>
      <c r="W1087" s="311"/>
      <c r="X1087" s="176"/>
      <c r="Y1087" s="176"/>
      <c r="Z1087" s="311"/>
      <c r="AA1087" s="54"/>
      <c r="AB1087" s="54"/>
      <c r="AC1087" s="54"/>
      <c r="AD1087" s="54"/>
      <c r="AE1087" s="54"/>
      <c r="AF1087" s="54"/>
      <c r="AG1087" s="54"/>
      <c r="AH1087" s="54"/>
      <c r="AI1087" s="54"/>
    </row>
    <row r="1088" spans="1:37">
      <c r="A1088" s="149" t="s">
        <v>150</v>
      </c>
      <c r="B1088" s="136"/>
      <c r="C1088" s="205">
        <f>690552</f>
        <v>690552</v>
      </c>
      <c r="D1088" s="225">
        <v>6.09</v>
      </c>
      <c r="E1088" s="225"/>
      <c r="F1088" s="127">
        <f>ROUND(D1088*$C1088,0)</f>
        <v>4205462</v>
      </c>
      <c r="G1088" s="225">
        <v>6.95</v>
      </c>
      <c r="H1088" s="207"/>
      <c r="I1088" s="127">
        <f t="shared" si="140"/>
        <v>4799336</v>
      </c>
      <c r="J1088" s="225">
        <f>ROUND(G1088*(1+$Q$1096),2)+0.27</f>
        <v>8.1300000000000008</v>
      </c>
      <c r="K1088" s="207"/>
      <c r="L1088" s="127">
        <f>ROUND(J1088*$C1088,0)</f>
        <v>5614188</v>
      </c>
      <c r="N1088" s="54"/>
      <c r="O1088" s="54"/>
      <c r="Q1088" s="318">
        <f>(J1088-G1088)/G1088</f>
        <v>0.1697841726618706</v>
      </c>
      <c r="R1088" s="147"/>
      <c r="S1088" s="109"/>
      <c r="T1088" s="312"/>
      <c r="U1088" s="311"/>
      <c r="V1088" s="312"/>
      <c r="W1088" s="311"/>
      <c r="X1088" s="312"/>
      <c r="Y1088" s="109"/>
      <c r="Z1088" s="311"/>
      <c r="AA1088" s="54"/>
      <c r="AB1088" s="54"/>
      <c r="AC1088" s="54"/>
      <c r="AD1088" s="54"/>
      <c r="AE1088" s="54"/>
      <c r="AF1088" s="54"/>
      <c r="AG1088" s="54"/>
      <c r="AH1088" s="54"/>
      <c r="AI1088" s="54"/>
    </row>
    <row r="1089" spans="1:37">
      <c r="A1089" s="209" t="s">
        <v>172</v>
      </c>
      <c r="B1089" s="136"/>
      <c r="C1089" s="148" t="s">
        <v>0</v>
      </c>
      <c r="D1089" s="225" t="s">
        <v>0</v>
      </c>
      <c r="E1089" s="225"/>
      <c r="F1089" s="127"/>
      <c r="G1089" s="225" t="s">
        <v>0</v>
      </c>
      <c r="H1089" s="207"/>
      <c r="I1089" s="127"/>
      <c r="J1089" s="310" t="s">
        <v>0</v>
      </c>
      <c r="K1089" s="207"/>
      <c r="L1089" s="127"/>
      <c r="N1089" s="54"/>
      <c r="O1089" s="54"/>
      <c r="Q1089" s="325"/>
      <c r="S1089" s="109"/>
      <c r="T1089" s="54"/>
      <c r="U1089" s="54"/>
      <c r="V1089" s="54"/>
      <c r="W1089" s="54"/>
      <c r="X1089" s="54"/>
      <c r="Y1089" s="54"/>
      <c r="Z1089" s="54"/>
      <c r="AA1089" s="54"/>
      <c r="AB1089" s="54"/>
      <c r="AC1089" s="54"/>
      <c r="AD1089" s="54"/>
      <c r="AE1089" s="54"/>
      <c r="AF1089" s="54"/>
      <c r="AG1089" s="54"/>
      <c r="AH1089" s="54"/>
      <c r="AI1089" s="54"/>
    </row>
    <row r="1090" spans="1:37">
      <c r="A1090" s="209" t="s">
        <v>211</v>
      </c>
      <c r="B1090" s="136"/>
      <c r="C1090" s="205">
        <f>467514000</f>
        <v>467514000</v>
      </c>
      <c r="D1090" s="305">
        <v>3.66</v>
      </c>
      <c r="E1090" s="207" t="s">
        <v>99</v>
      </c>
      <c r="F1090" s="127">
        <f>ROUND(D1090/100*$C1090,0)</f>
        <v>17111012</v>
      </c>
      <c r="G1090" s="310">
        <v>4.1870000000000003</v>
      </c>
      <c r="H1090" s="207" t="s">
        <v>99</v>
      </c>
      <c r="I1090" s="127">
        <f>ROUND(C1090/100*G1090,0)</f>
        <v>19574811</v>
      </c>
      <c r="J1090" s="297">
        <f>ROUND(G1090*(1+$Q$1096)-J1092,3)-0.038</f>
        <v>1.762</v>
      </c>
      <c r="K1090" s="207" t="s">
        <v>99</v>
      </c>
      <c r="L1090" s="127">
        <f>ROUND(J1090/100*$C1090,0)</f>
        <v>8237597</v>
      </c>
      <c r="N1090" s="54"/>
      <c r="O1090" s="54"/>
      <c r="Q1090" s="318">
        <f>(J1090+J1092-G1090)/G1090</f>
        <v>0.12204442321471222</v>
      </c>
      <c r="R1090" s="147"/>
      <c r="S1090" s="109"/>
      <c r="T1090" s="54"/>
      <c r="U1090" s="54"/>
      <c r="V1090" s="54"/>
      <c r="W1090" s="54"/>
      <c r="X1090" s="54"/>
      <c r="Y1090" s="54"/>
      <c r="Z1090" s="54"/>
      <c r="AA1090" s="54"/>
      <c r="AB1090" s="54"/>
      <c r="AC1090" s="54"/>
      <c r="AD1090" s="54"/>
      <c r="AE1090" s="54"/>
      <c r="AF1090" s="54"/>
      <c r="AG1090" s="54"/>
      <c r="AH1090" s="54"/>
      <c r="AI1090" s="54"/>
    </row>
    <row r="1091" spans="1:37">
      <c r="A1091" s="209" t="s">
        <v>141</v>
      </c>
      <c r="B1091" s="136"/>
      <c r="C1091" s="205">
        <f>179228</f>
        <v>179228</v>
      </c>
      <c r="D1091" s="225">
        <v>0.46</v>
      </c>
      <c r="E1091" s="207"/>
      <c r="F1091" s="127">
        <f>ROUND(D1091*$C1091,0)</f>
        <v>82445</v>
      </c>
      <c r="G1091" s="225">
        <v>0.53</v>
      </c>
      <c r="H1091" s="207"/>
      <c r="I1091" s="127">
        <f>ROUND(C1091*G1091,0)</f>
        <v>94991</v>
      </c>
      <c r="J1091" s="225">
        <f>ROUND(G1091*(1+$Q$1096),2)</f>
        <v>0.6</v>
      </c>
      <c r="K1091" s="207"/>
      <c r="L1091" s="127">
        <f>ROUND(J1091*$C1091,0)</f>
        <v>107537</v>
      </c>
      <c r="N1091" s="54"/>
      <c r="O1091" s="54"/>
      <c r="Q1091" s="318">
        <f>(J1091-G1091)/G1091</f>
        <v>0.13207547169811309</v>
      </c>
      <c r="R1091" s="147"/>
      <c r="S1091" s="109"/>
      <c r="T1091" s="54"/>
      <c r="U1091" s="54"/>
      <c r="V1091" s="54"/>
      <c r="W1091" s="54"/>
      <c r="X1091" s="54"/>
      <c r="Y1091" s="54"/>
      <c r="Z1091" s="54"/>
      <c r="AA1091" s="54"/>
      <c r="AB1091" s="54"/>
      <c r="AC1091" s="54"/>
      <c r="AD1091" s="54"/>
      <c r="AE1091" s="54"/>
      <c r="AF1091" s="54"/>
      <c r="AG1091" s="54"/>
      <c r="AH1091" s="54"/>
      <c r="AI1091" s="54"/>
    </row>
    <row r="1092" spans="1:37">
      <c r="A1092" s="134" t="s">
        <v>212</v>
      </c>
      <c r="C1092" s="125">
        <f>C1090</f>
        <v>467514000</v>
      </c>
      <c r="D1092" s="133"/>
      <c r="E1092" s="54"/>
      <c r="F1092" s="127"/>
      <c r="G1092" s="133"/>
      <c r="H1092" s="54"/>
      <c r="I1092" s="127"/>
      <c r="J1092" s="135">
        <f>ROUND(O1092/C1092*100,3)</f>
        <v>2.9359999999999999</v>
      </c>
      <c r="K1092" s="207" t="s">
        <v>99</v>
      </c>
      <c r="L1092" s="207">
        <f>ROUND(J1092*$C1092/100,0)</f>
        <v>13726211</v>
      </c>
      <c r="N1092" s="128"/>
      <c r="O1092" s="128">
        <v>13727811.192501245</v>
      </c>
      <c r="P1092" s="93" t="s">
        <v>18</v>
      </c>
      <c r="Q1092" s="108"/>
      <c r="R1092" s="108"/>
      <c r="S1092" s="129"/>
      <c r="T1092" s="129"/>
      <c r="Y1092" s="54"/>
      <c r="Z1092" s="54"/>
      <c r="AA1092" s="54"/>
      <c r="AB1092" s="54"/>
      <c r="AC1092" s="54"/>
      <c r="AD1092" s="54"/>
      <c r="AE1092" s="54"/>
      <c r="AF1092" s="54"/>
      <c r="AG1092" s="54"/>
      <c r="AH1092" s="54"/>
      <c r="AI1092" s="54"/>
      <c r="AK1092" s="128"/>
    </row>
    <row r="1093" spans="1:37">
      <c r="A1093" s="179" t="s">
        <v>213</v>
      </c>
      <c r="B1093" s="180"/>
      <c r="C1093" s="322"/>
      <c r="D1093" s="182"/>
      <c r="E1093" s="183"/>
      <c r="F1093" s="184"/>
      <c r="G1093" s="326">
        <f>G1090</f>
        <v>4.1870000000000003</v>
      </c>
      <c r="H1093" s="269" t="s">
        <v>99</v>
      </c>
      <c r="I1093" s="184"/>
      <c r="J1093" s="327">
        <f>J1090+J1092</f>
        <v>4.6980000000000004</v>
      </c>
      <c r="K1093" s="269" t="s">
        <v>99</v>
      </c>
      <c r="L1093" s="269"/>
      <c r="N1093" s="128"/>
      <c r="O1093" s="128"/>
      <c r="P1093" s="93"/>
      <c r="Q1093" s="318">
        <f>(J1093-G1093)/G1093</f>
        <v>0.12204442321471222</v>
      </c>
      <c r="R1093" s="108"/>
      <c r="S1093" s="129"/>
      <c r="T1093" s="129"/>
      <c r="Y1093" s="54"/>
      <c r="Z1093" s="54"/>
      <c r="AA1093" s="54"/>
      <c r="AB1093" s="54"/>
      <c r="AC1093" s="54"/>
      <c r="AD1093" s="54"/>
      <c r="AE1093" s="54"/>
      <c r="AF1093" s="54"/>
      <c r="AG1093" s="54"/>
      <c r="AH1093" s="54"/>
      <c r="AI1093" s="54"/>
      <c r="AK1093" s="128"/>
    </row>
    <row r="1094" spans="1:37">
      <c r="A1094" s="136" t="s">
        <v>122</v>
      </c>
      <c r="B1094" s="136"/>
      <c r="C1094" s="205">
        <f>C1090</f>
        <v>467514000</v>
      </c>
      <c r="D1094" s="215"/>
      <c r="E1094" s="127"/>
      <c r="F1094" s="127">
        <f>SUM(F1083:F1091)</f>
        <v>21563950</v>
      </c>
      <c r="G1094" s="215"/>
      <c r="H1094" s="136"/>
      <c r="I1094" s="127">
        <f>SUM(I1083:I1091)</f>
        <v>24660280</v>
      </c>
      <c r="J1094" s="215"/>
      <c r="K1094" s="136"/>
      <c r="L1094" s="127">
        <f>SUM(L1083:L1092)</f>
        <v>27901346</v>
      </c>
      <c r="N1094" s="54"/>
      <c r="O1094" s="54"/>
      <c r="P1094" s="109"/>
      <c r="Q1094" s="109"/>
      <c r="R1094" s="109"/>
      <c r="S1094" s="54"/>
      <c r="T1094" s="54"/>
      <c r="U1094" s="54"/>
      <c r="V1094" s="54"/>
      <c r="W1094" s="54"/>
      <c r="X1094" s="54"/>
      <c r="Y1094" s="54"/>
      <c r="Z1094" s="54"/>
      <c r="AA1094" s="54"/>
      <c r="AB1094" s="54"/>
      <c r="AC1094" s="54"/>
      <c r="AD1094" s="54"/>
      <c r="AE1094" s="54"/>
      <c r="AF1094" s="54"/>
      <c r="AG1094" s="54"/>
      <c r="AH1094" s="54"/>
      <c r="AI1094" s="54"/>
    </row>
    <row r="1095" spans="1:37">
      <c r="A1095" s="136" t="s">
        <v>102</v>
      </c>
      <c r="B1095" s="136"/>
      <c r="C1095" s="205">
        <v>6414140.5675242878</v>
      </c>
      <c r="D1095" s="149"/>
      <c r="E1095" s="149"/>
      <c r="F1095" s="229" t="e">
        <f>#REF!</f>
        <v>#REF!</v>
      </c>
      <c r="G1095" s="149"/>
      <c r="H1095" s="149"/>
      <c r="I1095" s="229">
        <v>397954.38596668228</v>
      </c>
      <c r="J1095" s="149"/>
      <c r="K1095" s="149"/>
      <c r="L1095" s="229">
        <f>I1095</f>
        <v>397954.38596668228</v>
      </c>
      <c r="N1095" s="164"/>
      <c r="O1095" s="164"/>
      <c r="P1095" s="162"/>
      <c r="S1095" s="54"/>
      <c r="T1095" s="54"/>
      <c r="U1095" s="54"/>
      <c r="V1095" s="54"/>
      <c r="W1095" s="54"/>
      <c r="X1095" s="54"/>
      <c r="Y1095" s="54"/>
      <c r="Z1095" s="54"/>
      <c r="AA1095" s="54"/>
      <c r="AB1095" s="54"/>
      <c r="AC1095" s="54"/>
      <c r="AD1095" s="54"/>
      <c r="AE1095" s="54"/>
      <c r="AF1095" s="54"/>
      <c r="AG1095" s="54"/>
      <c r="AH1095" s="54"/>
      <c r="AI1095" s="54"/>
    </row>
    <row r="1096" spans="1:37" ht="16.5" thickBot="1">
      <c r="A1096" s="136" t="s">
        <v>123</v>
      </c>
      <c r="B1096" s="136"/>
      <c r="C1096" s="302">
        <f>SUM(C1094)+C1095</f>
        <v>473928140.56752431</v>
      </c>
      <c r="D1096" s="231"/>
      <c r="E1096" s="232"/>
      <c r="F1096" s="233" t="e">
        <f>F1094+F1095</f>
        <v>#REF!</v>
      </c>
      <c r="G1096" s="231"/>
      <c r="H1096" s="235"/>
      <c r="I1096" s="233">
        <f>I1094+I1095</f>
        <v>25058234.385966681</v>
      </c>
      <c r="J1096" s="231"/>
      <c r="K1096" s="235"/>
      <c r="L1096" s="233">
        <f>L1094+L1095</f>
        <v>28299300.385966681</v>
      </c>
      <c r="N1096" s="165"/>
      <c r="O1096" s="144" t="s">
        <v>104</v>
      </c>
      <c r="P1096" s="145">
        <v>28299304.712680314</v>
      </c>
      <c r="Q1096" s="146">
        <v>0.13114152808981319</v>
      </c>
      <c r="R1096" s="147"/>
      <c r="S1096" s="96" t="s">
        <v>0</v>
      </c>
      <c r="T1096" s="54"/>
      <c r="U1096" s="54"/>
      <c r="V1096" s="54"/>
      <c r="W1096" s="54"/>
      <c r="X1096" s="54"/>
      <c r="Y1096" s="54"/>
      <c r="Z1096" s="54"/>
      <c r="AA1096" s="54"/>
      <c r="AB1096" s="54"/>
      <c r="AC1096" s="54"/>
      <c r="AD1096" s="54"/>
      <c r="AE1096" s="54"/>
      <c r="AF1096" s="54"/>
      <c r="AG1096" s="54"/>
      <c r="AH1096" s="54"/>
      <c r="AI1096" s="54"/>
    </row>
    <row r="1097" spans="1:37" ht="16.5" thickTop="1">
      <c r="A1097" s="136"/>
      <c r="B1097" s="136"/>
      <c r="C1097" s="168"/>
      <c r="D1097" s="225"/>
      <c r="E1097" s="127"/>
      <c r="F1097" s="282" t="s">
        <v>0</v>
      </c>
      <c r="G1097" s="225" t="s">
        <v>0</v>
      </c>
      <c r="H1097" s="136"/>
      <c r="I1097" s="127"/>
      <c r="J1097" s="251" t="s">
        <v>0</v>
      </c>
      <c r="K1097" s="136"/>
      <c r="L1097" s="127" t="s">
        <v>0</v>
      </c>
      <c r="N1097" s="54"/>
      <c r="O1097" s="150" t="s">
        <v>105</v>
      </c>
      <c r="P1097" s="196">
        <f>P1096-L1096</f>
        <v>4.3267136327922344</v>
      </c>
      <c r="Q1097" s="316"/>
      <c r="R1097" s="109"/>
      <c r="S1097" s="54"/>
      <c r="T1097" s="54"/>
      <c r="U1097" s="54"/>
      <c r="V1097" s="54"/>
      <c r="W1097" s="54"/>
      <c r="X1097" s="54"/>
      <c r="Y1097" s="54"/>
      <c r="Z1097" s="54"/>
      <c r="AA1097" s="54"/>
      <c r="AB1097" s="54"/>
      <c r="AC1097" s="54"/>
      <c r="AD1097" s="54"/>
      <c r="AE1097" s="54"/>
      <c r="AF1097" s="54"/>
      <c r="AG1097" s="54"/>
      <c r="AH1097" s="54"/>
      <c r="AI1097" s="54"/>
    </row>
    <row r="1098" spans="1:37">
      <c r="A1098" s="340" t="s">
        <v>240</v>
      </c>
      <c r="B1098" s="136"/>
      <c r="C1098" s="136"/>
      <c r="D1098" s="136"/>
      <c r="E1098" s="136"/>
      <c r="F1098" s="127"/>
      <c r="G1098" s="136"/>
      <c r="H1098" s="136"/>
      <c r="I1098" s="127"/>
      <c r="J1098" s="136"/>
      <c r="K1098" s="136"/>
      <c r="L1098" s="136"/>
      <c r="N1098" s="54"/>
      <c r="O1098" s="54"/>
      <c r="P1098" s="109"/>
      <c r="Q1098" s="109"/>
      <c r="R1098" s="109"/>
      <c r="S1098" s="54"/>
      <c r="T1098" s="54"/>
      <c r="U1098" s="54"/>
      <c r="V1098" s="54"/>
      <c r="W1098" s="54"/>
      <c r="X1098" s="54"/>
      <c r="Y1098" s="54"/>
      <c r="Z1098" s="54"/>
      <c r="AA1098" s="54"/>
      <c r="AB1098" s="54"/>
      <c r="AC1098" s="54"/>
      <c r="AD1098" s="54"/>
      <c r="AE1098" s="54"/>
      <c r="AF1098" s="54"/>
      <c r="AG1098" s="54"/>
      <c r="AH1098" s="54"/>
      <c r="AI1098" s="54"/>
    </row>
    <row r="1099" spans="1:37">
      <c r="A1099" s="136" t="s">
        <v>241</v>
      </c>
      <c r="B1099" s="136"/>
      <c r="C1099" s="136"/>
      <c r="D1099" s="136"/>
      <c r="E1099" s="136"/>
      <c r="F1099" s="127"/>
      <c r="G1099" s="136"/>
      <c r="H1099" s="136"/>
      <c r="I1099" s="127"/>
      <c r="J1099" s="136"/>
      <c r="K1099" s="136"/>
      <c r="L1099" s="136"/>
      <c r="N1099" s="154"/>
      <c r="O1099" s="154"/>
      <c r="P1099" s="154"/>
      <c r="Q1099" s="166">
        <f>(L1096-I1096)/I1096</f>
        <v>0.12934135542347264</v>
      </c>
      <c r="R1099" s="154"/>
      <c r="S1099" s="154"/>
      <c r="T1099" s="154"/>
      <c r="U1099" s="154"/>
      <c r="V1099" s="154"/>
      <c r="W1099" s="154"/>
      <c r="X1099" s="154"/>
      <c r="Y1099" s="154"/>
      <c r="Z1099" s="154"/>
      <c r="AA1099" s="154"/>
      <c r="AB1099" s="154"/>
      <c r="AC1099" s="154"/>
      <c r="AD1099" s="154"/>
      <c r="AE1099" s="54"/>
      <c r="AF1099" s="54"/>
      <c r="AG1099" s="54"/>
      <c r="AH1099" s="54"/>
      <c r="AI1099" s="54"/>
    </row>
    <row r="1100" spans="1:37">
      <c r="A1100" s="136" t="s">
        <v>242</v>
      </c>
      <c r="B1100" s="136"/>
      <c r="C1100" s="136"/>
      <c r="D1100" s="136"/>
      <c r="E1100" s="136"/>
      <c r="F1100" s="127"/>
      <c r="G1100" s="136"/>
      <c r="H1100" s="136"/>
      <c r="I1100" s="127"/>
      <c r="J1100" s="136"/>
      <c r="K1100" s="136"/>
      <c r="L1100" s="136"/>
      <c r="N1100" s="154"/>
      <c r="O1100" s="154"/>
      <c r="P1100" s="154"/>
      <c r="Q1100" s="154"/>
      <c r="R1100" s="154"/>
      <c r="S1100" s="154"/>
      <c r="T1100" s="154"/>
      <c r="U1100" s="154"/>
      <c r="V1100" s="154"/>
      <c r="W1100" s="154"/>
      <c r="X1100" s="154"/>
      <c r="Y1100" s="154"/>
      <c r="Z1100" s="154"/>
      <c r="AA1100" s="154"/>
      <c r="AB1100" s="154"/>
      <c r="AC1100" s="154"/>
      <c r="AD1100" s="154"/>
      <c r="AE1100" s="54"/>
      <c r="AF1100" s="54"/>
      <c r="AG1100" s="54"/>
      <c r="AH1100" s="54"/>
      <c r="AI1100" s="54"/>
    </row>
    <row r="1101" spans="1:37">
      <c r="A1101" s="136" t="s">
        <v>243</v>
      </c>
      <c r="B1101" s="136"/>
      <c r="C1101" s="136"/>
      <c r="D1101" s="136"/>
      <c r="E1101" s="136"/>
      <c r="F1101" s="127"/>
      <c r="G1101" s="136"/>
      <c r="H1101" s="136"/>
      <c r="I1101" s="127"/>
      <c r="J1101" s="136"/>
      <c r="K1101" s="136"/>
      <c r="L1101" s="136"/>
      <c r="N1101" s="154"/>
      <c r="O1101" s="154"/>
      <c r="P1101" s="154"/>
      <c r="Q1101" s="109"/>
      <c r="R1101" s="109"/>
      <c r="S1101" s="155"/>
      <c r="T1101" s="155"/>
      <c r="U1101" s="156"/>
      <c r="V1101" s="156"/>
      <c r="W1101" s="156"/>
      <c r="X1101" s="156"/>
      <c r="Y1101" s="157"/>
      <c r="Z1101" s="158"/>
      <c r="AA1101" s="154"/>
      <c r="AB1101" s="154"/>
      <c r="AC1101" s="154"/>
      <c r="AD1101" s="154"/>
      <c r="AE1101" s="54"/>
      <c r="AF1101" s="54"/>
      <c r="AG1101" s="54"/>
      <c r="AH1101" s="54"/>
      <c r="AI1101" s="54"/>
    </row>
    <row r="1102" spans="1:37">
      <c r="A1102" s="108" t="s">
        <v>94</v>
      </c>
      <c r="C1102" s="125">
        <f>14490</f>
        <v>14490</v>
      </c>
      <c r="D1102" s="126">
        <v>8.0299999999999994</v>
      </c>
      <c r="F1102" s="127">
        <f t="shared" ref="F1102:F1111" si="141">ROUND(D1102*$C1102,0)</f>
        <v>116355</v>
      </c>
      <c r="G1102" s="126">
        <v>8.4600000000000009</v>
      </c>
      <c r="I1102" s="127">
        <f>ROUND(C1102*G1102,0)</f>
        <v>122585</v>
      </c>
      <c r="J1102" s="126">
        <f t="shared" ref="J1102:J1110" si="142">ROUND(G1102+(G1102*$Q$1125),2)</f>
        <v>7.76</v>
      </c>
      <c r="L1102" s="127">
        <f>ROUND(J1102*$C1102,0)</f>
        <v>112442</v>
      </c>
      <c r="N1102" s="128" t="e">
        <f>J1102*#REF!</f>
        <v>#REF!</v>
      </c>
      <c r="Q1102" s="157"/>
      <c r="R1102" s="157"/>
      <c r="S1102" s="109"/>
      <c r="T1102" s="328"/>
      <c r="U1102" s="328"/>
      <c r="V1102" s="159"/>
      <c r="W1102" s="159"/>
      <c r="X1102" s="159"/>
      <c r="Y1102" s="160"/>
      <c r="Z1102" s="154"/>
      <c r="AA1102" s="157"/>
      <c r="AB1102" s="157"/>
      <c r="AC1102" s="161"/>
      <c r="AD1102" s="157"/>
      <c r="AE1102" s="54"/>
      <c r="AF1102" s="54"/>
      <c r="AG1102" s="54"/>
      <c r="AH1102" s="54"/>
      <c r="AI1102" s="54"/>
    </row>
    <row r="1103" spans="1:37">
      <c r="A1103" s="108" t="s">
        <v>244</v>
      </c>
      <c r="C1103" s="125">
        <f>17008+12</f>
        <v>17020</v>
      </c>
      <c r="D1103" s="126">
        <v>9.6300000000000008</v>
      </c>
      <c r="F1103" s="127">
        <f t="shared" si="141"/>
        <v>163903</v>
      </c>
      <c r="G1103" s="126">
        <v>10.15</v>
      </c>
      <c r="I1103" s="127">
        <f t="shared" ref="I1103:I1119" si="143">ROUND(C1103*G1103,0)</f>
        <v>172753</v>
      </c>
      <c r="J1103" s="126">
        <f t="shared" si="142"/>
        <v>9.3000000000000007</v>
      </c>
      <c r="L1103" s="127">
        <f t="shared" ref="L1103:L1116" si="144">ROUND(J1103*$C1103,0)</f>
        <v>158286</v>
      </c>
      <c r="N1103" s="128" t="e">
        <f>J1103*#REF!</f>
        <v>#REF!</v>
      </c>
      <c r="Q1103" s="157"/>
      <c r="R1103" s="157"/>
      <c r="S1103" s="109"/>
      <c r="T1103" s="328"/>
      <c r="U1103" s="328"/>
      <c r="V1103" s="159"/>
      <c r="W1103" s="159"/>
      <c r="X1103" s="159"/>
      <c r="Y1103" s="154"/>
      <c r="Z1103" s="154"/>
      <c r="AA1103" s="157"/>
      <c r="AB1103" s="157"/>
      <c r="AC1103" s="161"/>
      <c r="AD1103" s="157"/>
      <c r="AE1103" s="54"/>
      <c r="AF1103" s="54"/>
      <c r="AG1103" s="54"/>
      <c r="AH1103" s="54"/>
      <c r="AI1103" s="54"/>
    </row>
    <row r="1104" spans="1:37">
      <c r="A1104" s="108" t="s">
        <v>245</v>
      </c>
      <c r="C1104" s="125">
        <v>0</v>
      </c>
      <c r="D1104" s="126">
        <v>30.59</v>
      </c>
      <c r="F1104" s="127">
        <f t="shared" si="141"/>
        <v>0</v>
      </c>
      <c r="G1104" s="126">
        <v>32.24</v>
      </c>
      <c r="I1104" s="127">
        <f t="shared" si="143"/>
        <v>0</v>
      </c>
      <c r="J1104" s="126">
        <f t="shared" si="142"/>
        <v>29.56</v>
      </c>
      <c r="L1104" s="127">
        <f t="shared" si="144"/>
        <v>0</v>
      </c>
      <c r="N1104" s="128" t="e">
        <f>J1104*#REF!</f>
        <v>#REF!</v>
      </c>
      <c r="Q1104" s="157"/>
      <c r="R1104" s="157"/>
      <c r="S1104" s="109"/>
      <c r="T1104" s="328"/>
      <c r="U1104" s="328"/>
      <c r="V1104" s="159"/>
      <c r="W1104" s="159"/>
      <c r="X1104" s="159"/>
      <c r="Y1104" s="154"/>
      <c r="Z1104" s="154"/>
      <c r="AA1104" s="157"/>
      <c r="AB1104" s="157"/>
      <c r="AC1104" s="161"/>
      <c r="AD1104" s="157"/>
      <c r="AE1104" s="54"/>
      <c r="AF1104" s="54"/>
      <c r="AG1104" s="54"/>
      <c r="AH1104" s="54"/>
      <c r="AI1104" s="54"/>
    </row>
    <row r="1105" spans="1:35">
      <c r="A1105" s="108" t="s">
        <v>246</v>
      </c>
      <c r="C1105" s="125">
        <v>0</v>
      </c>
      <c r="D1105" s="126">
        <v>23.79</v>
      </c>
      <c r="F1105" s="127">
        <f t="shared" si="141"/>
        <v>0</v>
      </c>
      <c r="G1105" s="126">
        <v>25.07</v>
      </c>
      <c r="I1105" s="127">
        <f t="shared" si="143"/>
        <v>0</v>
      </c>
      <c r="J1105" s="126">
        <f t="shared" si="142"/>
        <v>22.98</v>
      </c>
      <c r="L1105" s="127">
        <f t="shared" si="144"/>
        <v>0</v>
      </c>
      <c r="N1105" s="128" t="e">
        <f>J1105*#REF!</f>
        <v>#REF!</v>
      </c>
      <c r="Q1105" s="157"/>
      <c r="R1105" s="157"/>
      <c r="S1105" s="109"/>
      <c r="T1105" s="328"/>
      <c r="U1105" s="328"/>
      <c r="V1105" s="159"/>
      <c r="W1105" s="159"/>
      <c r="X1105" s="159"/>
      <c r="Y1105" s="154"/>
      <c r="Z1105" s="154"/>
      <c r="AA1105" s="157"/>
      <c r="AB1105" s="157"/>
      <c r="AC1105" s="161"/>
      <c r="AD1105" s="157"/>
      <c r="AE1105" s="54"/>
      <c r="AF1105" s="54"/>
      <c r="AG1105" s="54"/>
      <c r="AH1105" s="54"/>
      <c r="AI1105" s="54"/>
    </row>
    <row r="1106" spans="1:35">
      <c r="A1106" s="108" t="s">
        <v>247</v>
      </c>
      <c r="C1106" s="125">
        <f>612</f>
        <v>612</v>
      </c>
      <c r="D1106" s="126">
        <v>12.31</v>
      </c>
      <c r="F1106" s="127">
        <f t="shared" si="141"/>
        <v>7534</v>
      </c>
      <c r="G1106" s="126">
        <v>12.97</v>
      </c>
      <c r="I1106" s="127">
        <f t="shared" si="143"/>
        <v>7938</v>
      </c>
      <c r="J1106" s="126">
        <f>ROUND(G1106+(G1106*$Q$1125),2)+0.01</f>
        <v>11.9</v>
      </c>
      <c r="L1106" s="127">
        <f t="shared" si="144"/>
        <v>7283</v>
      </c>
      <c r="N1106" s="128" t="e">
        <f>J1106*#REF!</f>
        <v>#REF!</v>
      </c>
      <c r="Q1106" s="157"/>
      <c r="R1106" s="157"/>
      <c r="S1106" s="109"/>
      <c r="T1106" s="328"/>
      <c r="U1106" s="328"/>
      <c r="V1106" s="159"/>
      <c r="W1106" s="159"/>
      <c r="X1106" s="159"/>
      <c r="Y1106" s="154"/>
      <c r="Z1106" s="154"/>
      <c r="AA1106" s="157"/>
      <c r="AB1106" s="157"/>
      <c r="AC1106" s="161"/>
      <c r="AD1106" s="157"/>
      <c r="AE1106" s="54"/>
      <c r="AF1106" s="54"/>
      <c r="AG1106" s="54"/>
      <c r="AH1106" s="54"/>
      <c r="AI1106" s="54"/>
    </row>
    <row r="1107" spans="1:35">
      <c r="A1107" s="108" t="s">
        <v>248</v>
      </c>
      <c r="C1107" s="125">
        <v>0</v>
      </c>
      <c r="D1107" s="126">
        <v>31.69</v>
      </c>
      <c r="F1107" s="127">
        <f t="shared" si="141"/>
        <v>0</v>
      </c>
      <c r="G1107" s="126">
        <v>33.4</v>
      </c>
      <c r="I1107" s="127">
        <f t="shared" si="143"/>
        <v>0</v>
      </c>
      <c r="J1107" s="126">
        <f t="shared" si="142"/>
        <v>30.62</v>
      </c>
      <c r="L1107" s="127">
        <f t="shared" si="144"/>
        <v>0</v>
      </c>
      <c r="N1107" s="128" t="e">
        <f>J1107*#REF!</f>
        <v>#REF!</v>
      </c>
      <c r="Q1107" s="157"/>
      <c r="R1107" s="157"/>
      <c r="S1107" s="109"/>
      <c r="T1107" s="328"/>
      <c r="U1107" s="328"/>
      <c r="V1107" s="159"/>
      <c r="W1107" s="159"/>
      <c r="X1107" s="159"/>
      <c r="Y1107" s="154"/>
      <c r="Z1107" s="154"/>
      <c r="AA1107" s="157"/>
      <c r="AB1107" s="157"/>
      <c r="AC1107" s="161"/>
      <c r="AD1107" s="157"/>
      <c r="AE1107" s="54"/>
      <c r="AF1107" s="54"/>
      <c r="AG1107" s="54"/>
      <c r="AH1107" s="54"/>
      <c r="AI1107" s="54"/>
    </row>
    <row r="1108" spans="1:35">
      <c r="A1108" s="108" t="s">
        <v>249</v>
      </c>
      <c r="C1108" s="125">
        <v>0</v>
      </c>
      <c r="D1108" s="126">
        <v>24.93</v>
      </c>
      <c r="F1108" s="127">
        <f t="shared" si="141"/>
        <v>0</v>
      </c>
      <c r="G1108" s="126">
        <v>26.27</v>
      </c>
      <c r="I1108" s="127">
        <f t="shared" si="143"/>
        <v>0</v>
      </c>
      <c r="J1108" s="126">
        <f t="shared" si="142"/>
        <v>24.08</v>
      </c>
      <c r="L1108" s="127">
        <f t="shared" si="144"/>
        <v>0</v>
      </c>
      <c r="N1108" s="128" t="e">
        <f>J1108*#REF!</f>
        <v>#REF!</v>
      </c>
      <c r="Q1108" s="157"/>
      <c r="R1108" s="157"/>
      <c r="S1108" s="109"/>
      <c r="T1108" s="328"/>
      <c r="U1108" s="328"/>
      <c r="V1108" s="159"/>
      <c r="W1108" s="159"/>
      <c r="X1108" s="159"/>
      <c r="Y1108" s="154"/>
      <c r="Z1108" s="154"/>
      <c r="AA1108" s="157"/>
      <c r="AB1108" s="157"/>
      <c r="AC1108" s="161"/>
      <c r="AD1108" s="157"/>
      <c r="AE1108" s="54"/>
      <c r="AF1108" s="54"/>
      <c r="AG1108" s="54"/>
      <c r="AH1108" s="54"/>
      <c r="AI1108" s="54"/>
    </row>
    <row r="1109" spans="1:35">
      <c r="A1109" s="108" t="s">
        <v>95</v>
      </c>
      <c r="C1109" s="125">
        <f>18685</f>
        <v>18685</v>
      </c>
      <c r="D1109" s="126">
        <v>14.05</v>
      </c>
      <c r="F1109" s="127">
        <f t="shared" si="141"/>
        <v>262524</v>
      </c>
      <c r="G1109" s="126">
        <v>14.81</v>
      </c>
      <c r="I1109" s="127">
        <f t="shared" si="143"/>
        <v>276725</v>
      </c>
      <c r="J1109" s="126">
        <f t="shared" si="142"/>
        <v>13.58</v>
      </c>
      <c r="L1109" s="127">
        <f t="shared" si="144"/>
        <v>253742</v>
      </c>
      <c r="N1109" s="128" t="e">
        <f>J1109*#REF!</f>
        <v>#REF!</v>
      </c>
      <c r="Q1109" s="157"/>
      <c r="R1109" s="157"/>
      <c r="S1109" s="109"/>
      <c r="T1109" s="328"/>
      <c r="U1109" s="328"/>
      <c r="V1109" s="159"/>
      <c r="W1109" s="159"/>
      <c r="X1109" s="159"/>
      <c r="Y1109" s="154"/>
      <c r="Z1109" s="154"/>
      <c r="AA1109" s="157"/>
      <c r="AB1109" s="157"/>
      <c r="AC1109" s="161"/>
      <c r="AD1109" s="157"/>
      <c r="AE1109" s="54"/>
      <c r="AF1109" s="54"/>
      <c r="AG1109" s="54"/>
      <c r="AH1109" s="54"/>
      <c r="AI1109" s="54"/>
    </row>
    <row r="1110" spans="1:35">
      <c r="A1110" s="108" t="s">
        <v>250</v>
      </c>
      <c r="C1110" s="125">
        <f>1187</f>
        <v>1187</v>
      </c>
      <c r="D1110" s="126">
        <v>17.829999999999998</v>
      </c>
      <c r="F1110" s="127">
        <f t="shared" si="141"/>
        <v>21164</v>
      </c>
      <c r="G1110" s="126">
        <v>18.79</v>
      </c>
      <c r="I1110" s="127">
        <f t="shared" si="143"/>
        <v>22304</v>
      </c>
      <c r="J1110" s="126">
        <f t="shared" si="142"/>
        <v>17.23</v>
      </c>
      <c r="L1110" s="127">
        <f t="shared" si="144"/>
        <v>20452</v>
      </c>
      <c r="N1110" s="128" t="e">
        <f>J1110*#REF!</f>
        <v>#REF!</v>
      </c>
      <c r="Q1110" s="157"/>
      <c r="R1110" s="157"/>
      <c r="S1110" s="109"/>
      <c r="T1110" s="328"/>
      <c r="U1110" s="328"/>
      <c r="V1110" s="159"/>
      <c r="W1110" s="159"/>
      <c r="X1110" s="159"/>
      <c r="Y1110" s="154"/>
      <c r="Z1110" s="154"/>
      <c r="AA1110" s="157"/>
      <c r="AB1110" s="157"/>
      <c r="AC1110" s="161"/>
      <c r="AD1110" s="157"/>
      <c r="AE1110" s="54"/>
      <c r="AF1110" s="54"/>
      <c r="AG1110" s="54"/>
      <c r="AH1110" s="54"/>
      <c r="AI1110" s="54"/>
    </row>
    <row r="1111" spans="1:35">
      <c r="A1111" s="108" t="s">
        <v>96</v>
      </c>
      <c r="C1111" s="125">
        <f>2092</f>
        <v>2092</v>
      </c>
      <c r="D1111" s="126">
        <v>23.53</v>
      </c>
      <c r="F1111" s="127">
        <f t="shared" si="141"/>
        <v>49225</v>
      </c>
      <c r="G1111" s="126">
        <v>24.8</v>
      </c>
      <c r="I1111" s="127">
        <f t="shared" si="143"/>
        <v>51882</v>
      </c>
      <c r="J1111" s="126">
        <f>ROUND(G1111+(G1111*$Q$1125),2)+0.01</f>
        <v>22.75</v>
      </c>
      <c r="L1111" s="127">
        <f>ROUND(J1111*$C1111,0)</f>
        <v>47593</v>
      </c>
      <c r="N1111" s="128" t="e">
        <f>J1111*#REF!</f>
        <v>#REF!</v>
      </c>
      <c r="Q1111" s="157"/>
      <c r="R1111" s="157"/>
      <c r="S1111" s="109"/>
      <c r="T1111" s="328"/>
      <c r="U1111" s="328"/>
      <c r="V1111" s="159"/>
      <c r="W1111" s="159"/>
      <c r="X1111" s="159"/>
      <c r="Y1111" s="154"/>
      <c r="Z1111" s="154"/>
      <c r="AA1111" s="157"/>
      <c r="AB1111" s="157"/>
      <c r="AC1111" s="161"/>
      <c r="AD1111" s="157"/>
      <c r="AE1111" s="54"/>
      <c r="AF1111" s="54"/>
      <c r="AG1111" s="54"/>
      <c r="AH1111" s="54"/>
      <c r="AI1111" s="54"/>
    </row>
    <row r="1112" spans="1:35" hidden="1">
      <c r="A1112" s="108" t="s">
        <v>251</v>
      </c>
      <c r="C1112" s="125"/>
      <c r="D1112" s="126"/>
      <c r="F1112" s="127"/>
      <c r="G1112" s="126"/>
      <c r="I1112" s="127"/>
      <c r="J1112" s="126"/>
      <c r="L1112" s="127"/>
      <c r="N1112" s="128"/>
      <c r="Q1112" s="157"/>
      <c r="R1112" s="157"/>
      <c r="S1112" s="109"/>
      <c r="T1112" s="328"/>
      <c r="U1112" s="328"/>
      <c r="V1112" s="159"/>
      <c r="W1112" s="159"/>
      <c r="X1112" s="159"/>
      <c r="Y1112" s="154"/>
      <c r="Z1112" s="154"/>
      <c r="AA1112" s="157"/>
      <c r="AB1112" s="157"/>
      <c r="AC1112" s="161"/>
      <c r="AD1112" s="157"/>
      <c r="AE1112" s="54"/>
      <c r="AF1112" s="54"/>
      <c r="AG1112" s="54"/>
      <c r="AH1112" s="54"/>
      <c r="AI1112" s="54"/>
    </row>
    <row r="1113" spans="1:35" hidden="1">
      <c r="A1113" s="108" t="s">
        <v>252</v>
      </c>
      <c r="C1113" s="125">
        <v>0</v>
      </c>
      <c r="D1113" s="126">
        <v>30.92</v>
      </c>
      <c r="F1113" s="127">
        <f t="shared" ref="F1113:F1119" si="145">ROUND(D1113*$C1113,0)</f>
        <v>0</v>
      </c>
      <c r="G1113" s="126">
        <v>30.92</v>
      </c>
      <c r="I1113" s="127">
        <f t="shared" si="143"/>
        <v>0</v>
      </c>
      <c r="J1113" s="126">
        <f t="shared" ref="J1113:J1119" si="146">ROUND(G1113+(G1113*$Q$1125),2)</f>
        <v>28.35</v>
      </c>
      <c r="L1113" s="127">
        <f>ROUND(J1113*$C1113,0)</f>
        <v>0</v>
      </c>
      <c r="N1113" s="128" t="e">
        <f>J1113*#REF!</f>
        <v>#REF!</v>
      </c>
      <c r="Q1113" s="157"/>
      <c r="R1113" s="157"/>
      <c r="S1113" s="109"/>
      <c r="T1113" s="328"/>
      <c r="U1113" s="328"/>
      <c r="V1113" s="159"/>
      <c r="W1113" s="159"/>
      <c r="X1113" s="159"/>
      <c r="Y1113" s="154"/>
      <c r="Z1113" s="154"/>
      <c r="AA1113" s="157"/>
      <c r="AB1113" s="157"/>
      <c r="AC1113" s="161"/>
      <c r="AD1113" s="157"/>
      <c r="AE1113" s="54"/>
      <c r="AF1113" s="54"/>
      <c r="AG1113" s="54"/>
      <c r="AH1113" s="54"/>
      <c r="AI1113" s="54"/>
    </row>
    <row r="1114" spans="1:35" hidden="1">
      <c r="A1114" s="108" t="s">
        <v>253</v>
      </c>
      <c r="C1114" s="125">
        <v>0</v>
      </c>
      <c r="D1114" s="126">
        <v>25.79</v>
      </c>
      <c r="F1114" s="127">
        <f t="shared" si="145"/>
        <v>0</v>
      </c>
      <c r="G1114" s="126">
        <v>25.79</v>
      </c>
      <c r="I1114" s="127">
        <f t="shared" si="143"/>
        <v>0</v>
      </c>
      <c r="J1114" s="126">
        <f t="shared" si="146"/>
        <v>23.64</v>
      </c>
      <c r="L1114" s="127">
        <f t="shared" si="144"/>
        <v>0</v>
      </c>
      <c r="N1114" s="128" t="e">
        <f>J1114*#REF!</f>
        <v>#REF!</v>
      </c>
      <c r="Q1114" s="157"/>
      <c r="R1114" s="157"/>
      <c r="S1114" s="109"/>
      <c r="T1114" s="328"/>
      <c r="U1114" s="328"/>
      <c r="V1114" s="159"/>
      <c r="W1114" s="159"/>
      <c r="X1114" s="159"/>
      <c r="Y1114" s="154"/>
      <c r="Z1114" s="154"/>
      <c r="AA1114" s="157"/>
      <c r="AB1114" s="157"/>
      <c r="AC1114" s="161"/>
      <c r="AD1114" s="157"/>
      <c r="AE1114" s="54"/>
      <c r="AF1114" s="54"/>
      <c r="AG1114" s="54"/>
      <c r="AH1114" s="54"/>
      <c r="AI1114" s="54"/>
    </row>
    <row r="1115" spans="1:35" hidden="1">
      <c r="A1115" s="108" t="s">
        <v>254</v>
      </c>
      <c r="C1115" s="125">
        <v>0</v>
      </c>
      <c r="D1115" s="126">
        <v>23.77</v>
      </c>
      <c r="F1115" s="127">
        <f t="shared" si="145"/>
        <v>0</v>
      </c>
      <c r="G1115" s="126">
        <v>23.77</v>
      </c>
      <c r="I1115" s="127">
        <f t="shared" si="143"/>
        <v>0</v>
      </c>
      <c r="J1115" s="126">
        <f t="shared" si="146"/>
        <v>21.79</v>
      </c>
      <c r="L1115" s="127">
        <f>ROUND(J1115*$C1115,0)</f>
        <v>0</v>
      </c>
      <c r="N1115" s="128" t="e">
        <f>J1115*#REF!</f>
        <v>#REF!</v>
      </c>
      <c r="Q1115" s="157"/>
      <c r="R1115" s="157"/>
      <c r="S1115" s="109"/>
      <c r="T1115" s="328"/>
      <c r="U1115" s="328"/>
      <c r="V1115" s="159"/>
      <c r="W1115" s="159"/>
      <c r="X1115" s="159"/>
      <c r="Y1115" s="154"/>
      <c r="Z1115" s="154"/>
      <c r="AA1115" s="157"/>
      <c r="AB1115" s="157"/>
      <c r="AC1115" s="161"/>
      <c r="AD1115" s="157"/>
      <c r="AE1115" s="54"/>
      <c r="AF1115" s="54"/>
      <c r="AG1115" s="54"/>
      <c r="AH1115" s="54"/>
      <c r="AI1115" s="54"/>
    </row>
    <row r="1116" spans="1:35" hidden="1">
      <c r="A1116" s="108" t="s">
        <v>255</v>
      </c>
      <c r="C1116" s="125">
        <v>0</v>
      </c>
      <c r="D1116" s="126">
        <v>34.74</v>
      </c>
      <c r="F1116" s="127">
        <f t="shared" si="145"/>
        <v>0</v>
      </c>
      <c r="G1116" s="126">
        <v>34.74</v>
      </c>
      <c r="I1116" s="127">
        <f t="shared" si="143"/>
        <v>0</v>
      </c>
      <c r="J1116" s="126">
        <f t="shared" si="146"/>
        <v>31.85</v>
      </c>
      <c r="L1116" s="127">
        <f t="shared" si="144"/>
        <v>0</v>
      </c>
      <c r="N1116" s="128" t="e">
        <f>J1116*#REF!</f>
        <v>#REF!</v>
      </c>
      <c r="Q1116" s="157"/>
      <c r="R1116" s="157"/>
      <c r="S1116" s="109"/>
      <c r="T1116" s="328"/>
      <c r="U1116" s="328"/>
      <c r="V1116" s="159"/>
      <c r="W1116" s="159"/>
      <c r="X1116" s="159"/>
      <c r="Y1116" s="154"/>
      <c r="Z1116" s="154"/>
      <c r="AA1116" s="157"/>
      <c r="AB1116" s="157"/>
      <c r="AC1116" s="161"/>
      <c r="AD1116" s="157"/>
      <c r="AE1116" s="54"/>
      <c r="AF1116" s="54"/>
      <c r="AG1116" s="54"/>
      <c r="AH1116" s="54"/>
      <c r="AI1116" s="54"/>
    </row>
    <row r="1117" spans="1:35" hidden="1">
      <c r="A1117" s="108" t="s">
        <v>256</v>
      </c>
      <c r="C1117" s="125">
        <v>0</v>
      </c>
      <c r="D1117" s="126">
        <v>27.97</v>
      </c>
      <c r="F1117" s="127">
        <f t="shared" si="145"/>
        <v>0</v>
      </c>
      <c r="G1117" s="126">
        <v>27.97</v>
      </c>
      <c r="I1117" s="127">
        <f t="shared" si="143"/>
        <v>0</v>
      </c>
      <c r="J1117" s="126">
        <f t="shared" si="146"/>
        <v>25.64</v>
      </c>
      <c r="L1117" s="127">
        <f>ROUND(J1117*$C1117,0)</f>
        <v>0</v>
      </c>
      <c r="N1117" s="128" t="e">
        <f>J1117*#REF!</f>
        <v>#REF!</v>
      </c>
      <c r="Q1117" s="157"/>
      <c r="R1117" s="157"/>
      <c r="S1117" s="109"/>
      <c r="T1117" s="328"/>
      <c r="U1117" s="328"/>
      <c r="V1117" s="159"/>
      <c r="W1117" s="159"/>
      <c r="X1117" s="159"/>
      <c r="Y1117" s="154"/>
      <c r="Z1117" s="154"/>
      <c r="AA1117" s="157"/>
      <c r="AB1117" s="157"/>
      <c r="AC1117" s="161"/>
      <c r="AD1117" s="157"/>
      <c r="AE1117" s="54"/>
      <c r="AF1117" s="54"/>
      <c r="AG1117" s="54"/>
      <c r="AH1117" s="54"/>
      <c r="AI1117" s="54"/>
    </row>
    <row r="1118" spans="1:35" hidden="1">
      <c r="A1118" s="108" t="s">
        <v>257</v>
      </c>
      <c r="C1118" s="125">
        <v>0</v>
      </c>
      <c r="D1118" s="126">
        <v>27.49</v>
      </c>
      <c r="F1118" s="127">
        <f t="shared" si="145"/>
        <v>0</v>
      </c>
      <c r="G1118" s="126">
        <v>27.49</v>
      </c>
      <c r="I1118" s="127">
        <f t="shared" si="143"/>
        <v>0</v>
      </c>
      <c r="J1118" s="126">
        <f t="shared" si="146"/>
        <v>25.2</v>
      </c>
      <c r="L1118" s="127">
        <f>ROUND(J1118*$C1118,0)</f>
        <v>0</v>
      </c>
      <c r="N1118" s="128" t="e">
        <f>J1118*#REF!</f>
        <v>#REF!</v>
      </c>
      <c r="Q1118" s="157"/>
      <c r="R1118" s="157"/>
      <c r="S1118" s="109"/>
      <c r="T1118" s="328"/>
      <c r="U1118" s="328"/>
      <c r="V1118" s="159"/>
      <c r="W1118" s="159"/>
      <c r="X1118" s="159"/>
      <c r="Y1118" s="154"/>
      <c r="Z1118" s="154"/>
      <c r="AA1118" s="157"/>
      <c r="AB1118" s="157"/>
      <c r="AC1118" s="161"/>
      <c r="AD1118" s="157"/>
      <c r="AE1118" s="54"/>
      <c r="AF1118" s="54"/>
      <c r="AG1118" s="54"/>
      <c r="AH1118" s="54"/>
      <c r="AI1118" s="54"/>
    </row>
    <row r="1119" spans="1:35" hidden="1">
      <c r="A1119" s="108" t="s">
        <v>258</v>
      </c>
      <c r="C1119" s="125">
        <v>0</v>
      </c>
      <c r="D1119" s="126">
        <v>29.93</v>
      </c>
      <c r="F1119" s="127">
        <f t="shared" si="145"/>
        <v>0</v>
      </c>
      <c r="G1119" s="126">
        <v>29.93</v>
      </c>
      <c r="I1119" s="127">
        <f t="shared" si="143"/>
        <v>0</v>
      </c>
      <c r="J1119" s="126">
        <f t="shared" si="146"/>
        <v>27.44</v>
      </c>
      <c r="L1119" s="127">
        <f>ROUND(J1119*$C1119,0)</f>
        <v>0</v>
      </c>
      <c r="N1119" s="128" t="e">
        <f>J1119*#REF!</f>
        <v>#REF!</v>
      </c>
      <c r="Q1119" s="157"/>
      <c r="R1119" s="157"/>
      <c r="S1119" s="109"/>
      <c r="T1119" s="328"/>
      <c r="U1119" s="328"/>
      <c r="V1119" s="159"/>
      <c r="W1119" s="159"/>
      <c r="X1119" s="159"/>
      <c r="Y1119" s="154"/>
      <c r="Z1119" s="154"/>
      <c r="AA1119" s="157"/>
      <c r="AB1119" s="157"/>
      <c r="AC1119" s="161"/>
      <c r="AD1119" s="157"/>
      <c r="AE1119" s="54"/>
      <c r="AF1119" s="54"/>
      <c r="AG1119" s="54"/>
      <c r="AH1119" s="54"/>
      <c r="AI1119" s="54"/>
    </row>
    <row r="1120" spans="1:35">
      <c r="A1120" s="108" t="s">
        <v>100</v>
      </c>
      <c r="C1120" s="125">
        <f>163*12</f>
        <v>1956</v>
      </c>
      <c r="D1120" s="126"/>
      <c r="F1120" s="127"/>
      <c r="G1120" s="126"/>
      <c r="I1120" s="127"/>
      <c r="J1120" s="126"/>
      <c r="L1120" s="127"/>
      <c r="Q1120" s="157"/>
      <c r="R1120" s="157"/>
      <c r="S1120" s="109"/>
      <c r="T1120" s="328"/>
      <c r="U1120" s="328"/>
      <c r="V1120" s="159"/>
      <c r="W1120" s="159"/>
      <c r="X1120" s="159"/>
      <c r="Y1120" s="154"/>
      <c r="Z1120" s="154"/>
      <c r="AA1120" s="157"/>
      <c r="AB1120" s="157"/>
      <c r="AC1120" s="157"/>
      <c r="AD1120" s="157"/>
      <c r="AE1120" s="54"/>
      <c r="AF1120" s="54"/>
      <c r="AG1120" s="54"/>
      <c r="AH1120" s="54"/>
      <c r="AI1120" s="54"/>
    </row>
    <row r="1121" spans="1:37">
      <c r="A1121" s="134" t="s">
        <v>212</v>
      </c>
      <c r="C1121" s="125">
        <f>C1122</f>
        <v>3331018</v>
      </c>
      <c r="D1121" s="133"/>
      <c r="E1121" s="54"/>
      <c r="F1121" s="127"/>
      <c r="G1121" s="133"/>
      <c r="H1121" s="54"/>
      <c r="I1121" s="127"/>
      <c r="J1121" s="135">
        <f>ROUND(O1121/C1121*100,3)</f>
        <v>2.246</v>
      </c>
      <c r="K1121" s="207" t="s">
        <v>99</v>
      </c>
      <c r="L1121" s="207">
        <f>ROUND(J1121*$C1121/100,0)</f>
        <v>74815</v>
      </c>
      <c r="N1121" s="128"/>
      <c r="O1121" s="128">
        <v>74821.002874814701</v>
      </c>
      <c r="P1121" s="93" t="s">
        <v>18</v>
      </c>
      <c r="Q1121" s="108"/>
      <c r="R1121" s="108"/>
      <c r="S1121" s="129"/>
      <c r="T1121" s="129"/>
      <c r="Y1121" s="54"/>
      <c r="Z1121" s="54"/>
      <c r="AA1121" s="54"/>
      <c r="AB1121" s="54"/>
      <c r="AC1121" s="54"/>
      <c r="AD1121" s="54"/>
      <c r="AE1121" s="54"/>
      <c r="AF1121" s="54"/>
      <c r="AG1121" s="54"/>
      <c r="AH1121" s="54"/>
      <c r="AI1121" s="54"/>
      <c r="AK1121" s="128"/>
    </row>
    <row r="1122" spans="1:37">
      <c r="A1122" s="108" t="s">
        <v>122</v>
      </c>
      <c r="C1122" s="125">
        <f>3331018</f>
        <v>3331018</v>
      </c>
      <c r="D1122" s="133"/>
      <c r="E1122" s="54"/>
      <c r="F1122" s="139">
        <f>SUM(F1102:F1114)</f>
        <v>620705</v>
      </c>
      <c r="G1122" s="133"/>
      <c r="H1122" s="54"/>
      <c r="I1122" s="139">
        <f>SUM(I1102:I1114)</f>
        <v>654187</v>
      </c>
      <c r="J1122" s="133"/>
      <c r="K1122" s="54"/>
      <c r="L1122" s="139">
        <f>SUM(L1102:L1121)</f>
        <v>674613</v>
      </c>
      <c r="N1122" s="128" t="e">
        <f>SUM(N1102:N1120)</f>
        <v>#REF!</v>
      </c>
      <c r="Q1122" s="157"/>
      <c r="R1122" s="157"/>
      <c r="S1122" s="329"/>
      <c r="T1122" s="54"/>
      <c r="U1122" s="54"/>
      <c r="V1122" s="162"/>
      <c r="W1122" s="162"/>
      <c r="X1122" s="162"/>
      <c r="Y1122" s="154"/>
      <c r="Z1122" s="154"/>
      <c r="AA1122" s="163"/>
      <c r="AB1122" s="154"/>
      <c r="AC1122" s="154"/>
      <c r="AD1122" s="154"/>
      <c r="AE1122" s="54"/>
      <c r="AF1122" s="54"/>
      <c r="AG1122" s="54"/>
      <c r="AH1122" s="54"/>
      <c r="AI1122" s="54"/>
    </row>
    <row r="1123" spans="1:37">
      <c r="A1123" s="108" t="s">
        <v>102</v>
      </c>
      <c r="C1123" s="125">
        <v>-290831.01874098979</v>
      </c>
      <c r="D1123" s="133"/>
      <c r="E1123" s="54"/>
      <c r="F1123" s="139" t="e">
        <f>#REF!</f>
        <v>#REF!</v>
      </c>
      <c r="G1123" s="133"/>
      <c r="H1123" s="54"/>
      <c r="I1123" s="139">
        <v>-53742.020983527946</v>
      </c>
      <c r="J1123" s="133"/>
      <c r="K1123" s="54"/>
      <c r="L1123" s="139">
        <f>I1123</f>
        <v>-53742.020983527946</v>
      </c>
      <c r="N1123" s="230"/>
      <c r="O1123" s="230"/>
      <c r="Q1123" s="162"/>
      <c r="R1123" s="162"/>
      <c r="S1123" s="328"/>
      <c r="T1123" s="54"/>
      <c r="U1123" s="54"/>
      <c r="V1123" s="54"/>
      <c r="W1123" s="54"/>
      <c r="X1123" s="54"/>
      <c r="Y1123" s="157"/>
      <c r="Z1123" s="154"/>
      <c r="AA1123" s="54"/>
      <c r="AB1123" s="54"/>
      <c r="AC1123" s="54"/>
      <c r="AD1123" s="54"/>
      <c r="AE1123" s="54"/>
      <c r="AF1123" s="54"/>
      <c r="AG1123" s="54"/>
      <c r="AH1123" s="54"/>
      <c r="AI1123" s="54"/>
    </row>
    <row r="1124" spans="1:37" ht="16.5" thickBot="1">
      <c r="A1124" s="108" t="s">
        <v>103</v>
      </c>
      <c r="C1124" s="141">
        <f>C1122+C1123</f>
        <v>3040186.9812590103</v>
      </c>
      <c r="D1124" s="142"/>
      <c r="E1124" s="142"/>
      <c r="F1124" s="142" t="e">
        <f>F1122+F1123</f>
        <v>#REF!</v>
      </c>
      <c r="G1124" s="143"/>
      <c r="H1124" s="143"/>
      <c r="I1124" s="142">
        <f>I1122+I1123</f>
        <v>600444.979016472</v>
      </c>
      <c r="J1124" s="143"/>
      <c r="K1124" s="143"/>
      <c r="L1124" s="142">
        <f>L1122+L1123</f>
        <v>620870.979016472</v>
      </c>
      <c r="N1124" s="237"/>
      <c r="O1124" s="330" t="s">
        <v>154</v>
      </c>
      <c r="P1124" s="331">
        <v>620872.11720261234</v>
      </c>
      <c r="Q1124" s="238">
        <f>(L1124-I1124)/I1124</f>
        <v>3.4018104428914966E-2</v>
      </c>
      <c r="R1124" s="147"/>
      <c r="Y1124" s="154"/>
      <c r="Z1124" s="154"/>
      <c r="AA1124" s="54"/>
      <c r="AB1124" s="54"/>
      <c r="AC1124" s="54"/>
      <c r="AD1124" s="54"/>
      <c r="AE1124" s="54"/>
      <c r="AF1124" s="54"/>
      <c r="AG1124" s="54"/>
      <c r="AH1124" s="54"/>
      <c r="AI1124" s="54"/>
    </row>
    <row r="1125" spans="1:37" ht="16.5" thickTop="1">
      <c r="A1125" s="136"/>
      <c r="B1125" s="136"/>
      <c r="C1125" s="168"/>
      <c r="D1125" s="168"/>
      <c r="E1125" s="168"/>
      <c r="F1125" s="127"/>
      <c r="G1125" s="168" t="s">
        <v>0</v>
      </c>
      <c r="H1125" s="168"/>
      <c r="I1125" s="127"/>
      <c r="J1125" s="168" t="s">
        <v>0</v>
      </c>
      <c r="K1125" s="168"/>
      <c r="L1125" s="127" t="s">
        <v>0</v>
      </c>
      <c r="N1125" s="332"/>
      <c r="O1125" s="333" t="s">
        <v>105</v>
      </c>
      <c r="P1125" s="196">
        <f>P1124-L1124</f>
        <v>1.138186140335165</v>
      </c>
      <c r="Q1125" s="334">
        <v>-8.3260000000000001E-2</v>
      </c>
      <c r="R1125" s="100"/>
      <c r="T1125" s="332"/>
      <c r="U1125" s="332"/>
      <c r="V1125" s="332"/>
      <c r="W1125" s="332"/>
      <c r="X1125" s="332"/>
      <c r="Y1125" s="154"/>
      <c r="Z1125" s="154"/>
      <c r="AA1125" s="54"/>
      <c r="AB1125" s="54"/>
      <c r="AC1125" s="54"/>
      <c r="AD1125" s="54"/>
      <c r="AE1125" s="54"/>
      <c r="AF1125" s="54"/>
      <c r="AG1125" s="54"/>
      <c r="AH1125" s="54"/>
      <c r="AI1125" s="54"/>
    </row>
    <row r="1126" spans="1:37">
      <c r="A1126" s="340" t="s">
        <v>259</v>
      </c>
      <c r="B1126" s="136"/>
      <c r="C1126" s="136"/>
      <c r="D1126" s="136"/>
      <c r="E1126" s="136"/>
      <c r="F1126" s="136"/>
      <c r="G1126" s="136"/>
      <c r="H1126" s="136"/>
      <c r="I1126" s="136"/>
      <c r="J1126" s="136"/>
      <c r="K1126" s="136"/>
      <c r="L1126" s="136"/>
      <c r="N1126" s="154"/>
      <c r="O1126" s="154"/>
      <c r="P1126" s="162"/>
      <c r="Q1126" s="154"/>
      <c r="R1126" s="154"/>
      <c r="S1126" s="54"/>
      <c r="T1126" s="54"/>
      <c r="U1126" s="54"/>
      <c r="V1126" s="54"/>
      <c r="W1126" s="54"/>
      <c r="X1126" s="54"/>
      <c r="Y1126" s="54"/>
      <c r="Z1126" s="154"/>
      <c r="AA1126" s="154"/>
      <c r="AB1126" s="154"/>
      <c r="AC1126" s="154"/>
      <c r="AD1126" s="154"/>
      <c r="AE1126" s="54"/>
      <c r="AF1126" s="54"/>
      <c r="AG1126" s="54"/>
      <c r="AH1126" s="54"/>
      <c r="AI1126" s="54"/>
    </row>
    <row r="1127" spans="1:37">
      <c r="A1127" s="136" t="s">
        <v>260</v>
      </c>
      <c r="B1127" s="136"/>
      <c r="C1127" s="136"/>
      <c r="D1127" s="136"/>
      <c r="E1127" s="136"/>
      <c r="F1127" s="136"/>
      <c r="G1127" s="136"/>
      <c r="H1127" s="136"/>
      <c r="I1127" s="136"/>
      <c r="J1127" s="136"/>
      <c r="K1127" s="136"/>
      <c r="L1127" s="136"/>
      <c r="N1127" s="54"/>
      <c r="O1127" s="54"/>
      <c r="P1127" s="109"/>
      <c r="Q1127" s="109"/>
      <c r="R1127" s="109"/>
      <c r="S1127" s="54"/>
      <c r="T1127" s="54"/>
      <c r="U1127" s="54"/>
      <c r="V1127" s="54"/>
      <c r="W1127" s="54"/>
      <c r="X1127" s="54"/>
      <c r="Y1127" s="54"/>
      <c r="Z1127" s="154"/>
      <c r="AA1127" s="154"/>
      <c r="AB1127" s="154"/>
      <c r="AC1127" s="154"/>
      <c r="AD1127" s="154"/>
      <c r="AE1127" s="54"/>
      <c r="AF1127" s="54"/>
      <c r="AG1127" s="54"/>
      <c r="AH1127" s="54"/>
      <c r="AI1127" s="54"/>
    </row>
    <row r="1128" spans="1:37">
      <c r="A1128" s="136"/>
      <c r="B1128" s="136"/>
      <c r="C1128" s="136"/>
      <c r="D1128" s="136"/>
      <c r="E1128" s="136"/>
      <c r="F1128" s="136"/>
      <c r="G1128" s="136"/>
      <c r="H1128" s="136"/>
      <c r="I1128" s="136"/>
      <c r="J1128" s="136"/>
      <c r="K1128" s="136"/>
      <c r="L1128" s="136"/>
      <c r="N1128" s="54"/>
      <c r="O1128" s="54"/>
      <c r="P1128" s="109"/>
      <c r="Q1128" s="109" t="s">
        <v>0</v>
      </c>
      <c r="R1128" s="109"/>
      <c r="S1128" s="54"/>
      <c r="T1128" s="54"/>
      <c r="U1128" s="54"/>
      <c r="V1128" s="54"/>
      <c r="W1128" s="54"/>
      <c r="X1128" s="54"/>
      <c r="Y1128" s="54"/>
      <c r="Z1128" s="154"/>
      <c r="AA1128" s="154"/>
      <c r="AB1128" s="154"/>
      <c r="AC1128" s="154"/>
      <c r="AD1128" s="154"/>
      <c r="AE1128" s="54"/>
      <c r="AF1128" s="54"/>
      <c r="AG1128" s="54"/>
      <c r="AH1128" s="54"/>
      <c r="AI1128" s="54"/>
    </row>
    <row r="1129" spans="1:37">
      <c r="A1129" s="136" t="s">
        <v>261</v>
      </c>
      <c r="B1129" s="136"/>
      <c r="C1129" s="168"/>
      <c r="D1129" s="172"/>
      <c r="E1129" s="136"/>
      <c r="F1129" s="127">
        <v>28343.35</v>
      </c>
      <c r="G1129" s="172"/>
      <c r="H1129" s="136"/>
      <c r="I1129" s="127">
        <f>26253.69</f>
        <v>26253.69</v>
      </c>
      <c r="J1129" s="172"/>
      <c r="K1129" s="136"/>
      <c r="L1129" s="127">
        <f>I1129</f>
        <v>26253.69</v>
      </c>
      <c r="N1129" s="128">
        <f>L1129</f>
        <v>26253.69</v>
      </c>
      <c r="O1129" s="54"/>
      <c r="P1129" s="109"/>
      <c r="Q1129" s="109" t="s">
        <v>0</v>
      </c>
      <c r="R1129" s="109"/>
      <c r="S1129" s="54"/>
      <c r="T1129" s="54"/>
      <c r="U1129" s="54"/>
      <c r="V1129" s="54"/>
      <c r="W1129" s="54"/>
      <c r="X1129" s="54"/>
      <c r="Y1129" s="54"/>
      <c r="Z1129" s="54"/>
      <c r="AA1129" s="54"/>
      <c r="AB1129" s="54"/>
      <c r="AC1129" s="54"/>
      <c r="AD1129" s="54"/>
      <c r="AE1129" s="54"/>
      <c r="AF1129" s="54"/>
      <c r="AG1129" s="54"/>
      <c r="AH1129" s="54"/>
      <c r="AI1129" s="54"/>
    </row>
    <row r="1130" spans="1:37">
      <c r="A1130" s="136" t="s">
        <v>262</v>
      </c>
      <c r="B1130" s="136"/>
      <c r="C1130" s="125">
        <f>314125</f>
        <v>314125</v>
      </c>
      <c r="D1130" s="310">
        <v>7.0739999999999998</v>
      </c>
      <c r="E1130" s="136" t="s">
        <v>99</v>
      </c>
      <c r="F1130" s="335">
        <f>ROUND(C1130*D1130/100,0)</f>
        <v>22221</v>
      </c>
      <c r="G1130" s="310">
        <v>7.8140000000000001</v>
      </c>
      <c r="H1130" s="136" t="s">
        <v>99</v>
      </c>
      <c r="I1130" s="335">
        <f>ROUND(G1130*C1130/100,0)</f>
        <v>24546</v>
      </c>
      <c r="J1130" s="297">
        <v>6.0730000000000004</v>
      </c>
      <c r="K1130" s="136" t="s">
        <v>99</v>
      </c>
      <c r="L1130" s="127">
        <f>ROUND(J1130*$C1130/100,0)</f>
        <v>19077</v>
      </c>
      <c r="N1130" s="128" t="e">
        <f>(J1130/100)*#REF!</f>
        <v>#REF!</v>
      </c>
      <c r="O1130" s="54"/>
      <c r="P1130" s="109"/>
      <c r="Q1130" s="109"/>
      <c r="R1130" s="109"/>
      <c r="S1130" s="54"/>
      <c r="T1130" s="54"/>
      <c r="U1130" s="54"/>
      <c r="V1130" s="54"/>
      <c r="W1130" s="54"/>
      <c r="X1130" s="54"/>
      <c r="Y1130" s="54"/>
      <c r="Z1130" s="54"/>
      <c r="AA1130" s="54"/>
      <c r="AB1130" s="54"/>
      <c r="AC1130" s="54"/>
      <c r="AD1130" s="54"/>
      <c r="AE1130" s="54"/>
      <c r="AF1130" s="54"/>
      <c r="AG1130" s="54"/>
      <c r="AH1130" s="54"/>
      <c r="AI1130" s="54"/>
    </row>
    <row r="1131" spans="1:37">
      <c r="A1131" s="136" t="s">
        <v>263</v>
      </c>
      <c r="B1131" s="136"/>
      <c r="C1131" s="125">
        <v>0</v>
      </c>
      <c r="D1131" s="310">
        <v>7.9160000000000004</v>
      </c>
      <c r="E1131" s="136" t="s">
        <v>99</v>
      </c>
      <c r="F1131" s="335">
        <f>ROUND(C1131*D1131/100,0)</f>
        <v>0</v>
      </c>
      <c r="G1131" s="297">
        <v>8.7439999999999998</v>
      </c>
      <c r="H1131" s="136" t="s">
        <v>99</v>
      </c>
      <c r="I1131" s="335">
        <f>ROUND(G1131*C1131/100,0)</f>
        <v>0</v>
      </c>
      <c r="J1131" s="297">
        <f>ROUND(G1131/G1130*J1130,3)</f>
        <v>6.7960000000000003</v>
      </c>
      <c r="K1131" s="136" t="s">
        <v>99</v>
      </c>
      <c r="L1131" s="127">
        <f>ROUND(J1131*$C1131/100,0)</f>
        <v>0</v>
      </c>
      <c r="N1131" s="128" t="e">
        <f>(J1131/100)*#REF!</f>
        <v>#REF!</v>
      </c>
      <c r="O1131" s="54"/>
      <c r="P1131" s="109"/>
      <c r="Q1131" s="54"/>
      <c r="R1131" s="54"/>
      <c r="S1131" s="54"/>
      <c r="T1131" s="54"/>
      <c r="U1131" s="54"/>
      <c r="V1131" s="54"/>
      <c r="W1131" s="54"/>
      <c r="X1131" s="54"/>
      <c r="Y1131" s="54"/>
      <c r="Z1131" s="54"/>
      <c r="AA1131" s="54"/>
      <c r="AB1131" s="54"/>
      <c r="AC1131" s="54"/>
      <c r="AD1131" s="54"/>
      <c r="AE1131" s="54"/>
      <c r="AF1131" s="54"/>
      <c r="AG1131" s="54"/>
      <c r="AH1131" s="54"/>
      <c r="AI1131" s="54"/>
    </row>
    <row r="1132" spans="1:37">
      <c r="A1132" s="136" t="s">
        <v>100</v>
      </c>
      <c r="B1132" s="136"/>
      <c r="C1132" s="125">
        <f>18*12</f>
        <v>216</v>
      </c>
      <c r="D1132" s="336"/>
      <c r="E1132" s="136"/>
      <c r="F1132" s="127"/>
      <c r="G1132" s="336"/>
      <c r="H1132" s="136"/>
      <c r="I1132" s="127"/>
      <c r="J1132" s="336"/>
      <c r="K1132" s="136"/>
      <c r="L1132" s="127"/>
      <c r="N1132" s="54"/>
      <c r="O1132" s="54"/>
      <c r="P1132" s="109"/>
      <c r="Q1132" s="109"/>
      <c r="R1132" s="109"/>
      <c r="S1132" s="54"/>
      <c r="T1132" s="54"/>
      <c r="U1132" s="54"/>
      <c r="V1132" s="54"/>
      <c r="W1132" s="54"/>
      <c r="X1132" s="54"/>
      <c r="Y1132" s="54"/>
      <c r="Z1132" s="54"/>
      <c r="AA1132" s="54"/>
      <c r="AB1132" s="54"/>
      <c r="AC1132" s="54"/>
      <c r="AD1132" s="54"/>
      <c r="AE1132" s="54"/>
      <c r="AF1132" s="54"/>
      <c r="AG1132" s="54"/>
      <c r="AH1132" s="54"/>
      <c r="AI1132" s="54"/>
    </row>
    <row r="1133" spans="1:37">
      <c r="A1133" s="134" t="s">
        <v>212</v>
      </c>
      <c r="C1133" s="125">
        <f>C1135</f>
        <v>314125</v>
      </c>
      <c r="D1133" s="133"/>
      <c r="E1133" s="54"/>
      <c r="F1133" s="127"/>
      <c r="G1133" s="133"/>
      <c r="H1133" s="54"/>
      <c r="I1133" s="127"/>
      <c r="J1133" s="135">
        <f>ROUND(O1133/C1133*100,3)</f>
        <v>2.246</v>
      </c>
      <c r="K1133" s="207" t="s">
        <v>99</v>
      </c>
      <c r="L1133" s="207">
        <f>ROUND(J1133*$C1133/100,0)</f>
        <v>7055</v>
      </c>
      <c r="N1133" s="128"/>
      <c r="O1133" s="128">
        <v>7055.8452485249763</v>
      </c>
      <c r="P1133" s="93" t="s">
        <v>18</v>
      </c>
      <c r="Q1133" s="108"/>
      <c r="R1133" s="108"/>
      <c r="S1133" s="129"/>
      <c r="T1133" s="129"/>
      <c r="Y1133" s="54"/>
      <c r="Z1133" s="54"/>
      <c r="AA1133" s="54"/>
      <c r="AB1133" s="54"/>
      <c r="AC1133" s="54"/>
      <c r="AD1133" s="54"/>
      <c r="AE1133" s="54"/>
      <c r="AF1133" s="54"/>
      <c r="AG1133" s="54"/>
      <c r="AH1133" s="54"/>
      <c r="AI1133" s="54"/>
      <c r="AK1133" s="128"/>
    </row>
    <row r="1134" spans="1:37">
      <c r="A1134" s="179" t="s">
        <v>264</v>
      </c>
      <c r="B1134" s="180"/>
      <c r="C1134" s="322"/>
      <c r="D1134" s="182"/>
      <c r="E1134" s="183"/>
      <c r="F1134" s="184"/>
      <c r="G1134" s="327">
        <f>G1130</f>
        <v>7.8140000000000001</v>
      </c>
      <c r="H1134" s="186" t="s">
        <v>99</v>
      </c>
      <c r="I1134" s="184"/>
      <c r="J1134" s="327">
        <f>J1130+J1133</f>
        <v>8.3190000000000008</v>
      </c>
      <c r="K1134" s="186" t="s">
        <v>99</v>
      </c>
      <c r="L1134" s="269"/>
      <c r="N1134" s="128"/>
      <c r="O1134" s="128"/>
      <c r="P1134" s="93"/>
      <c r="Q1134" s="100" t="s">
        <v>0</v>
      </c>
      <c r="R1134" s="108"/>
      <c r="S1134" s="129"/>
      <c r="T1134" s="129"/>
      <c r="Y1134" s="54"/>
      <c r="Z1134" s="54"/>
      <c r="AA1134" s="54"/>
      <c r="AB1134" s="54"/>
      <c r="AC1134" s="54"/>
      <c r="AD1134" s="54"/>
      <c r="AE1134" s="54"/>
      <c r="AF1134" s="54"/>
      <c r="AG1134" s="54"/>
      <c r="AH1134" s="54"/>
      <c r="AI1134" s="54"/>
      <c r="AK1134" s="128"/>
    </row>
    <row r="1135" spans="1:37">
      <c r="A1135" s="108" t="s">
        <v>265</v>
      </c>
      <c r="C1135" s="125">
        <f>SUM(C1130:C1131)</f>
        <v>314125</v>
      </c>
      <c r="D1135" s="133"/>
      <c r="E1135" s="54"/>
      <c r="F1135" s="139">
        <f>SUM(F1129:F1131)</f>
        <v>50564.35</v>
      </c>
      <c r="G1135" s="133"/>
      <c r="H1135" s="54"/>
      <c r="I1135" s="139">
        <f>SUM(I1129:I1131)</f>
        <v>50799.69</v>
      </c>
      <c r="J1135" s="133"/>
      <c r="K1135" s="54"/>
      <c r="L1135" s="139">
        <f>SUM(L1129:L1133)</f>
        <v>52385.69</v>
      </c>
      <c r="N1135" s="243" t="e">
        <f>SUM(N1129:N1132)</f>
        <v>#REF!</v>
      </c>
      <c r="O1135" s="54"/>
      <c r="P1135" s="109"/>
      <c r="Q1135" s="109"/>
      <c r="R1135" s="109"/>
      <c r="S1135" s="54"/>
      <c r="T1135" s="54"/>
      <c r="U1135" s="54"/>
      <c r="V1135" s="54"/>
      <c r="W1135" s="54"/>
      <c r="X1135" s="54"/>
      <c r="Y1135" s="54"/>
      <c r="Z1135" s="54"/>
      <c r="AA1135" s="54"/>
      <c r="AB1135" s="54"/>
      <c r="AC1135" s="54"/>
      <c r="AD1135" s="54"/>
      <c r="AE1135" s="54"/>
      <c r="AF1135" s="54"/>
      <c r="AG1135" s="54"/>
      <c r="AH1135" s="54"/>
      <c r="AI1135" s="54"/>
    </row>
    <row r="1136" spans="1:37">
      <c r="A1136" s="108" t="s">
        <v>266</v>
      </c>
      <c r="C1136" s="125">
        <v>-27426.275046401868</v>
      </c>
      <c r="D1136" s="133"/>
      <c r="E1136" s="54"/>
      <c r="F1136" s="139" t="e">
        <f>#REF!</f>
        <v>#REF!</v>
      </c>
      <c r="G1136" s="133"/>
      <c r="H1136" s="54"/>
      <c r="I1136" s="139">
        <v>-4174.4211898859912</v>
      </c>
      <c r="J1136" s="133"/>
      <c r="K1136" s="54"/>
      <c r="L1136" s="139">
        <f>I1136</f>
        <v>-4174.4211898859912</v>
      </c>
      <c r="N1136" s="230"/>
      <c r="O1136" s="230"/>
      <c r="P1136" s="275"/>
      <c r="Q1136" s="109"/>
      <c r="R1136" s="109"/>
      <c r="S1136" s="54"/>
      <c r="T1136" s="54"/>
      <c r="U1136" s="54"/>
      <c r="V1136" s="54"/>
      <c r="W1136" s="54"/>
      <c r="X1136" s="54"/>
      <c r="Y1136" s="54"/>
      <c r="Z1136" s="54"/>
      <c r="AA1136" s="54"/>
      <c r="AB1136" s="54"/>
      <c r="AC1136" s="54"/>
      <c r="AD1136" s="54"/>
      <c r="AE1136" s="54"/>
      <c r="AF1136" s="54"/>
      <c r="AG1136" s="54"/>
      <c r="AH1136" s="54"/>
      <c r="AI1136" s="54"/>
    </row>
    <row r="1137" spans="1:37" ht="16.5" thickBot="1">
      <c r="A1137" s="136" t="s">
        <v>103</v>
      </c>
      <c r="B1137" s="136"/>
      <c r="C1137" s="302">
        <f>C1135+C1136</f>
        <v>286698.72495359811</v>
      </c>
      <c r="D1137" s="337"/>
      <c r="E1137" s="338"/>
      <c r="F1137" s="142" t="e">
        <f>F1135+F1136</f>
        <v>#REF!</v>
      </c>
      <c r="G1137" s="339"/>
      <c r="H1137" s="235"/>
      <c r="I1137" s="142">
        <f>I1135+I1136</f>
        <v>46625.268810114008</v>
      </c>
      <c r="J1137" s="339"/>
      <c r="K1137" s="235"/>
      <c r="L1137" s="142">
        <f>L1135+L1136</f>
        <v>48211.268810114008</v>
      </c>
      <c r="N1137" s="237"/>
      <c r="O1137" s="330" t="s">
        <v>154</v>
      </c>
      <c r="P1137" s="145">
        <v>48211.460455034088</v>
      </c>
      <c r="Q1137" s="238">
        <f>(L1137-I1137)/I1137</f>
        <v>3.4015889676886173E-2</v>
      </c>
      <c r="R1137" s="318"/>
      <c r="S1137" s="54"/>
      <c r="T1137" s="54"/>
      <c r="U1137" s="54"/>
      <c r="V1137" s="54"/>
      <c r="W1137" s="54"/>
      <c r="X1137" s="54"/>
      <c r="Y1137" s="54"/>
      <c r="Z1137" s="54"/>
      <c r="AA1137" s="54"/>
      <c r="AB1137" s="54"/>
      <c r="AC1137" s="54"/>
      <c r="AD1137" s="54"/>
      <c r="AE1137" s="54"/>
      <c r="AF1137" s="54"/>
      <c r="AG1137" s="54"/>
      <c r="AH1137" s="54"/>
      <c r="AI1137" s="54"/>
    </row>
    <row r="1138" spans="1:37" ht="16.5" thickTop="1">
      <c r="A1138" s="136"/>
      <c r="B1138" s="136"/>
      <c r="C1138" s="136"/>
      <c r="D1138" s="298"/>
      <c r="E1138" s="136"/>
      <c r="F1138" s="136"/>
      <c r="G1138" s="298" t="s">
        <v>0</v>
      </c>
      <c r="H1138" s="136"/>
      <c r="I1138" s="136"/>
      <c r="J1138" s="298" t="s">
        <v>0</v>
      </c>
      <c r="K1138" s="136"/>
      <c r="L1138" s="127" t="s">
        <v>0</v>
      </c>
      <c r="N1138" s="54"/>
      <c r="O1138" s="333" t="s">
        <v>105</v>
      </c>
      <c r="P1138" s="151">
        <f>P1137-L1137</f>
        <v>0.19164492007985245</v>
      </c>
      <c r="Q1138" s="303" t="s">
        <v>0</v>
      </c>
      <c r="R1138" s="100"/>
      <c r="S1138" s="54"/>
      <c r="T1138" s="54"/>
      <c r="U1138" s="54"/>
      <c r="V1138" s="54"/>
      <c r="W1138" s="54"/>
      <c r="X1138" s="54"/>
      <c r="Y1138" s="54"/>
      <c r="Z1138" s="54"/>
      <c r="AA1138" s="54"/>
      <c r="AB1138" s="54"/>
      <c r="AC1138" s="54"/>
      <c r="AD1138" s="54"/>
      <c r="AE1138" s="54"/>
      <c r="AF1138" s="54"/>
      <c r="AG1138" s="54"/>
      <c r="AH1138" s="54"/>
      <c r="AI1138" s="54"/>
    </row>
    <row r="1139" spans="1:37">
      <c r="A1139" s="340" t="s">
        <v>267</v>
      </c>
      <c r="B1139" s="136"/>
      <c r="C1139" s="136"/>
      <c r="D1139" s="136"/>
      <c r="E1139" s="136"/>
      <c r="F1139" s="136"/>
      <c r="G1139" s="136"/>
      <c r="H1139" s="136"/>
      <c r="I1139" s="136"/>
      <c r="J1139" s="136"/>
      <c r="K1139" s="136"/>
      <c r="L1139" s="136"/>
      <c r="N1139" s="54"/>
      <c r="O1139" s="54"/>
      <c r="P1139" s="109"/>
      <c r="Q1139" s="109"/>
      <c r="R1139" s="109"/>
      <c r="S1139" s="54"/>
      <c r="T1139" s="54"/>
      <c r="U1139" s="54"/>
      <c r="V1139" s="54"/>
      <c r="W1139" s="54"/>
      <c r="X1139" s="54"/>
      <c r="Y1139" s="54"/>
      <c r="Z1139" s="54"/>
      <c r="AA1139" s="54"/>
      <c r="AB1139" s="54"/>
      <c r="AC1139" s="54"/>
      <c r="AD1139" s="54"/>
      <c r="AE1139" s="54"/>
      <c r="AF1139" s="54"/>
      <c r="AG1139" s="54"/>
      <c r="AH1139" s="54"/>
      <c r="AI1139" s="54"/>
    </row>
    <row r="1140" spans="1:37">
      <c r="A1140" s="136" t="s">
        <v>268</v>
      </c>
      <c r="B1140" s="136"/>
      <c r="C1140" s="136"/>
      <c r="D1140" s="136"/>
      <c r="E1140" s="136"/>
      <c r="F1140" s="136"/>
      <c r="G1140" s="136"/>
      <c r="H1140" s="136"/>
      <c r="I1140" s="136"/>
      <c r="J1140" s="136"/>
      <c r="K1140" s="136"/>
      <c r="L1140" s="136"/>
      <c r="N1140" s="54"/>
      <c r="O1140" s="54"/>
      <c r="P1140" s="109"/>
      <c r="Q1140" s="109"/>
      <c r="R1140" s="109"/>
      <c r="S1140" s="54"/>
      <c r="T1140" s="54"/>
      <c r="U1140" s="54"/>
      <c r="V1140" s="54"/>
      <c r="W1140" s="54"/>
      <c r="X1140" s="54"/>
      <c r="Y1140" s="54"/>
      <c r="Z1140" s="54"/>
      <c r="AA1140" s="54"/>
      <c r="AB1140" s="54"/>
      <c r="AC1140" s="54"/>
      <c r="AD1140" s="54"/>
      <c r="AE1140" s="54"/>
      <c r="AF1140" s="54"/>
      <c r="AG1140" s="54"/>
      <c r="AH1140" s="54"/>
      <c r="AI1140" s="54"/>
    </row>
    <row r="1141" spans="1:37">
      <c r="A1141" s="136"/>
      <c r="B1141" s="136"/>
      <c r="C1141" s="136"/>
      <c r="D1141" s="298"/>
      <c r="E1141" s="136"/>
      <c r="F1141" s="136"/>
      <c r="G1141" s="298"/>
      <c r="H1141" s="136"/>
      <c r="I1141" s="136"/>
      <c r="J1141" s="298"/>
      <c r="K1141" s="136"/>
      <c r="L1141" s="136"/>
      <c r="N1141" s="54"/>
      <c r="O1141" s="54"/>
      <c r="P1141" s="109"/>
      <c r="Q1141" s="109"/>
      <c r="R1141" s="109"/>
      <c r="S1141" s="54"/>
      <c r="T1141" s="54"/>
      <c r="U1141" s="54"/>
      <c r="V1141" s="54"/>
      <c r="W1141" s="54"/>
      <c r="X1141" s="54"/>
      <c r="Y1141" s="54"/>
      <c r="Z1141" s="54"/>
      <c r="AA1141" s="54"/>
      <c r="AB1141" s="54"/>
      <c r="AC1141" s="54"/>
      <c r="AD1141" s="54"/>
      <c r="AE1141" s="54"/>
      <c r="AF1141" s="54"/>
      <c r="AG1141" s="54"/>
      <c r="AH1141" s="54"/>
      <c r="AI1141" s="54"/>
    </row>
    <row r="1142" spans="1:37">
      <c r="A1142" s="136" t="s">
        <v>261</v>
      </c>
      <c r="B1142" s="136"/>
      <c r="C1142" s="168"/>
      <c r="D1142" s="172"/>
      <c r="E1142" s="136"/>
      <c r="F1142" s="127">
        <f>F1154+F1182</f>
        <v>2385.8499999999995</v>
      </c>
      <c r="G1142" s="172"/>
      <c r="H1142" s="136"/>
      <c r="I1142" s="127">
        <f>I1154+I1182</f>
        <v>2266.75</v>
      </c>
      <c r="J1142" s="172"/>
      <c r="K1142" s="136"/>
      <c r="L1142" s="127">
        <f>L1154+L1182</f>
        <v>2266.75</v>
      </c>
      <c r="N1142" s="243">
        <f>L1142</f>
        <v>2266.75</v>
      </c>
      <c r="O1142" s="54"/>
      <c r="P1142" s="109"/>
      <c r="Q1142" s="109"/>
      <c r="R1142" s="109"/>
      <c r="S1142" s="54"/>
      <c r="T1142" s="54"/>
      <c r="U1142" s="54"/>
      <c r="V1142" s="54"/>
      <c r="W1142" s="54"/>
      <c r="X1142" s="54"/>
      <c r="Y1142" s="54"/>
      <c r="Z1142" s="54"/>
      <c r="AA1142" s="54"/>
      <c r="AB1142" s="54"/>
      <c r="AC1142" s="54"/>
      <c r="AD1142" s="54"/>
      <c r="AE1142" s="54"/>
      <c r="AF1142" s="54"/>
      <c r="AG1142" s="54"/>
      <c r="AH1142" s="54"/>
      <c r="AI1142" s="54"/>
    </row>
    <row r="1143" spans="1:37">
      <c r="A1143" s="136" t="s">
        <v>269</v>
      </c>
      <c r="B1143" s="136"/>
      <c r="C1143" s="125">
        <f>C1170+C1183+C1184</f>
        <v>2362099</v>
      </c>
      <c r="D1143" s="310">
        <v>6.4820000000000002</v>
      </c>
      <c r="E1143" s="136" t="s">
        <v>99</v>
      </c>
      <c r="F1143" s="335">
        <f>F1170+F1183+F1184</f>
        <v>153111</v>
      </c>
      <c r="G1143" s="297" t="s">
        <v>0</v>
      </c>
      <c r="H1143" s="136" t="s">
        <v>0</v>
      </c>
      <c r="I1143" s="335">
        <f>I1170+I1184</f>
        <v>161403</v>
      </c>
      <c r="J1143" s="297" t="s">
        <v>0</v>
      </c>
      <c r="K1143" s="136" t="s">
        <v>0</v>
      </c>
      <c r="L1143" s="127">
        <f>L1170+L1184</f>
        <v>113452</v>
      </c>
      <c r="N1143" s="128" t="e">
        <f>(J1143/100)*#REF!</f>
        <v>#REF!</v>
      </c>
      <c r="O1143" s="54"/>
      <c r="P1143" s="109"/>
      <c r="Q1143" s="109"/>
      <c r="R1143" s="109"/>
      <c r="S1143" s="54"/>
      <c r="T1143" s="54"/>
      <c r="U1143" s="54"/>
      <c r="V1143" s="54"/>
      <c r="W1143" s="54"/>
      <c r="X1143" s="54"/>
      <c r="Y1143" s="54"/>
      <c r="Z1143" s="54"/>
      <c r="AA1143" s="54"/>
      <c r="AB1143" s="54"/>
      <c r="AC1143" s="54"/>
      <c r="AD1143" s="54"/>
      <c r="AE1143" s="54"/>
      <c r="AF1143" s="54"/>
      <c r="AG1143" s="54"/>
      <c r="AH1143" s="54"/>
      <c r="AI1143" s="54"/>
    </row>
    <row r="1144" spans="1:37">
      <c r="A1144" s="136" t="s">
        <v>270</v>
      </c>
      <c r="B1144" s="136"/>
      <c r="C1144" s="125">
        <f>C1171</f>
        <v>2328689</v>
      </c>
      <c r="D1144" s="340">
        <v>6.4820000000000002</v>
      </c>
      <c r="E1144" s="136" t="s">
        <v>99</v>
      </c>
      <c r="F1144" s="335">
        <f>SUM(F1156:F1168)</f>
        <v>150909.94</v>
      </c>
      <c r="G1144" s="341" t="s">
        <v>0</v>
      </c>
      <c r="H1144" s="136" t="s">
        <v>0</v>
      </c>
      <c r="I1144" s="127">
        <f>I1156+I1157+I1158+I1159+I1160+I1161+I1164+I1165+I1166+I1167+I1168</f>
        <v>159055.60000000003</v>
      </c>
      <c r="J1144" s="341" t="s">
        <v>0</v>
      </c>
      <c r="K1144" s="136" t="s">
        <v>0</v>
      </c>
      <c r="L1144" s="127">
        <f>L1156+L1157+L1158+L1159+L1160+L1161+L1164+L1165+L1166+L1167+L1168</f>
        <v>111733.26</v>
      </c>
      <c r="N1144" s="128" t="e">
        <f>(J1144/100)*#REF!</f>
        <v>#REF!</v>
      </c>
      <c r="O1144" s="54"/>
      <c r="P1144" s="109"/>
      <c r="Q1144" s="317" t="s">
        <v>0</v>
      </c>
      <c r="S1144" s="54"/>
      <c r="T1144" s="54"/>
      <c r="U1144" s="54"/>
      <c r="V1144" s="54"/>
      <c r="W1144" s="54"/>
      <c r="X1144" s="54"/>
      <c r="Y1144" s="54"/>
      <c r="Z1144" s="54"/>
      <c r="AA1144" s="54"/>
      <c r="AB1144" s="54"/>
      <c r="AC1144" s="54"/>
      <c r="AD1144" s="54"/>
      <c r="AE1144" s="54"/>
      <c r="AF1144" s="54"/>
      <c r="AG1144" s="54"/>
      <c r="AH1144" s="54"/>
      <c r="AI1144" s="54"/>
    </row>
    <row r="1145" spans="1:37">
      <c r="A1145" s="136" t="s">
        <v>100</v>
      </c>
      <c r="B1145" s="136"/>
      <c r="C1145" s="125">
        <f>C1172+C1185</f>
        <v>2640</v>
      </c>
      <c r="D1145" s="336"/>
      <c r="E1145" s="136"/>
      <c r="F1145" s="127"/>
      <c r="G1145" s="336"/>
      <c r="H1145" s="136"/>
      <c r="I1145" s="127"/>
      <c r="J1145" s="336"/>
      <c r="K1145" s="136"/>
      <c r="L1145" s="127"/>
      <c r="N1145" s="54"/>
      <c r="O1145" s="54"/>
      <c r="P1145" s="109"/>
      <c r="Q1145" s="109"/>
      <c r="R1145" s="109"/>
      <c r="S1145" s="54"/>
      <c r="T1145" s="54"/>
      <c r="U1145" s="54"/>
      <c r="V1145" s="54"/>
      <c r="W1145" s="54"/>
      <c r="X1145" s="54"/>
      <c r="Y1145" s="54"/>
      <c r="Z1145" s="54"/>
      <c r="AA1145" s="54"/>
      <c r="AB1145" s="54"/>
      <c r="AC1145" s="54"/>
      <c r="AD1145" s="54"/>
      <c r="AE1145" s="54"/>
      <c r="AF1145" s="54"/>
      <c r="AG1145" s="54"/>
      <c r="AH1145" s="54"/>
      <c r="AI1145" s="54"/>
    </row>
    <row r="1146" spans="1:37">
      <c r="A1146" s="134" t="s">
        <v>212</v>
      </c>
      <c r="C1146" s="125">
        <f>C1147</f>
        <v>4690788</v>
      </c>
      <c r="D1146" s="133"/>
      <c r="E1146" s="54"/>
      <c r="F1146" s="127"/>
      <c r="G1146" s="133"/>
      <c r="H1146" s="54"/>
      <c r="I1146" s="127"/>
      <c r="J1146" s="135">
        <f>ROUND(O1146/C1146*100,3)</f>
        <v>2.246</v>
      </c>
      <c r="K1146" s="207" t="s">
        <v>99</v>
      </c>
      <c r="L1146" s="207">
        <f>ROUND(J1146*$C1146/100,0)</f>
        <v>105355</v>
      </c>
      <c r="N1146" s="128"/>
      <c r="O1146" s="243">
        <v>105364.02458141815</v>
      </c>
      <c r="P1146" s="317" t="s">
        <v>18</v>
      </c>
      <c r="Q1146" s="108"/>
      <c r="R1146" s="108"/>
      <c r="S1146" s="129"/>
      <c r="T1146" s="129"/>
      <c r="Y1146" s="54"/>
      <c r="Z1146" s="54"/>
      <c r="AA1146" s="54"/>
      <c r="AB1146" s="54"/>
      <c r="AC1146" s="54"/>
      <c r="AD1146" s="54"/>
      <c r="AE1146" s="54"/>
      <c r="AF1146" s="54"/>
      <c r="AG1146" s="54"/>
      <c r="AH1146" s="54"/>
      <c r="AI1146" s="54"/>
      <c r="AK1146" s="128"/>
    </row>
    <row r="1147" spans="1:37">
      <c r="A1147" s="108" t="s">
        <v>265</v>
      </c>
      <c r="C1147" s="125">
        <f>C1175+C1187</f>
        <v>4690788</v>
      </c>
      <c r="D1147" s="133"/>
      <c r="E1147" s="54"/>
      <c r="F1147" s="139">
        <f>F1142+F1143+F1144</f>
        <v>306406.79000000004</v>
      </c>
      <c r="G1147" s="133"/>
      <c r="H1147" s="54"/>
      <c r="I1147" s="139">
        <f>I1175+I1187</f>
        <v>322725.35000000003</v>
      </c>
      <c r="J1147" s="133"/>
      <c r="K1147" s="54"/>
      <c r="L1147" s="139">
        <f>L1175+L1187</f>
        <v>332807.01</v>
      </c>
      <c r="N1147" s="243" t="e">
        <f>SUM(N1142:N1145)</f>
        <v>#REF!</v>
      </c>
      <c r="Q1147" s="109"/>
      <c r="R1147" s="109"/>
      <c r="S1147" s="54"/>
      <c r="T1147" s="54"/>
      <c r="U1147" s="54"/>
      <c r="V1147" s="54"/>
      <c r="W1147" s="54"/>
      <c r="X1147" s="54"/>
      <c r="Y1147" s="54"/>
      <c r="Z1147" s="54"/>
      <c r="AA1147" s="54"/>
      <c r="AB1147" s="54"/>
      <c r="AC1147" s="54"/>
      <c r="AD1147" s="54"/>
      <c r="AE1147" s="54"/>
      <c r="AF1147" s="54"/>
      <c r="AG1147" s="54"/>
      <c r="AH1147" s="54"/>
      <c r="AI1147" s="54"/>
    </row>
    <row r="1148" spans="1:37">
      <c r="A1148" s="108" t="s">
        <v>266</v>
      </c>
      <c r="C1148" s="125">
        <f>C1176+C1188</f>
        <v>-409552.50673556305</v>
      </c>
      <c r="D1148" s="133"/>
      <c r="E1148" s="54"/>
      <c r="F1148" s="139" t="e">
        <f>F1176+F1188</f>
        <v>#REF!</v>
      </c>
      <c r="G1148" s="133"/>
      <c r="H1148" s="54"/>
      <c r="I1148" s="139">
        <f>I1176+I1188</f>
        <v>-26497.772329804175</v>
      </c>
      <c r="J1148" s="133"/>
      <c r="K1148" s="54"/>
      <c r="L1148" s="139">
        <f>I1148</f>
        <v>-26497.772329804175</v>
      </c>
      <c r="N1148" s="230"/>
      <c r="O1148" s="230"/>
      <c r="P1148" s="275"/>
      <c r="Q1148" s="109"/>
      <c r="R1148" s="109"/>
      <c r="S1148" s="54"/>
      <c r="T1148" s="54"/>
      <c r="U1148" s="54"/>
      <c r="V1148" s="54"/>
      <c r="W1148" s="54"/>
      <c r="X1148" s="54"/>
      <c r="Y1148" s="54"/>
      <c r="Z1148" s="54"/>
      <c r="AA1148" s="54"/>
      <c r="AB1148" s="54"/>
      <c r="AC1148" s="54"/>
      <c r="AD1148" s="54"/>
      <c r="AE1148" s="54"/>
      <c r="AF1148" s="54"/>
      <c r="AG1148" s="54"/>
      <c r="AH1148" s="54"/>
      <c r="AI1148" s="54"/>
    </row>
    <row r="1149" spans="1:37" ht="16.5" thickBot="1">
      <c r="A1149" s="136" t="s">
        <v>103</v>
      </c>
      <c r="B1149" s="136"/>
      <c r="C1149" s="302">
        <f>C1147+C1148</f>
        <v>4281235.4932644367</v>
      </c>
      <c r="D1149" s="337"/>
      <c r="E1149" s="338"/>
      <c r="F1149" s="142" t="e">
        <f>F1147+F1148</f>
        <v>#REF!</v>
      </c>
      <c r="G1149" s="339"/>
      <c r="H1149" s="235"/>
      <c r="I1149" s="142">
        <f>I1147+I1148</f>
        <v>296227.57767019584</v>
      </c>
      <c r="J1149" s="339"/>
      <c r="K1149" s="235"/>
      <c r="L1149" s="142">
        <f>L1147+L1148</f>
        <v>306309.23767019581</v>
      </c>
      <c r="N1149" s="237"/>
      <c r="O1149" s="330" t="s">
        <v>154</v>
      </c>
      <c r="P1149" s="145">
        <v>306305.23986253591</v>
      </c>
      <c r="Q1149" s="238">
        <f>(L1149-I1149)/I1149</f>
        <v>3.4033495730854478E-2</v>
      </c>
      <c r="R1149" s="318"/>
      <c r="S1149" s="54"/>
      <c r="T1149" s="54"/>
      <c r="U1149" s="54"/>
      <c r="V1149" s="54"/>
      <c r="W1149" s="54"/>
      <c r="X1149" s="54"/>
      <c r="Y1149" s="54"/>
      <c r="Z1149" s="54"/>
      <c r="AA1149" s="54"/>
      <c r="AB1149" s="54"/>
      <c r="AC1149" s="54"/>
      <c r="AD1149" s="54"/>
      <c r="AE1149" s="54"/>
      <c r="AF1149" s="54"/>
      <c r="AG1149" s="54"/>
      <c r="AH1149" s="54"/>
      <c r="AI1149" s="54"/>
    </row>
    <row r="1150" spans="1:37" ht="16.5" thickTop="1">
      <c r="A1150" s="136"/>
      <c r="B1150" s="136"/>
      <c r="C1150" s="294"/>
      <c r="D1150" s="342"/>
      <c r="E1150" s="250"/>
      <c r="F1150" s="200"/>
      <c r="G1150" s="342" t="s">
        <v>0</v>
      </c>
      <c r="H1150" s="250"/>
      <c r="I1150" s="200"/>
      <c r="J1150" s="342" t="s">
        <v>0</v>
      </c>
      <c r="K1150" s="250"/>
      <c r="L1150" s="200" t="s">
        <v>0</v>
      </c>
      <c r="N1150" s="54"/>
      <c r="O1150" s="333" t="s">
        <v>105</v>
      </c>
      <c r="P1150" s="151">
        <f>P1149-L1149</f>
        <v>-3.9978076599072665</v>
      </c>
      <c r="Q1150" s="316"/>
      <c r="R1150" s="109"/>
      <c r="S1150" s="54"/>
      <c r="T1150" s="54"/>
      <c r="U1150" s="54"/>
      <c r="V1150" s="54"/>
      <c r="W1150" s="54"/>
      <c r="X1150" s="54"/>
      <c r="Y1150" s="54"/>
      <c r="Z1150" s="54"/>
      <c r="AA1150" s="54"/>
      <c r="AB1150" s="54"/>
      <c r="AC1150" s="54"/>
      <c r="AD1150" s="54"/>
      <c r="AE1150" s="54"/>
      <c r="AF1150" s="54"/>
      <c r="AG1150" s="54"/>
      <c r="AH1150" s="54"/>
      <c r="AI1150" s="54"/>
    </row>
    <row r="1151" spans="1:37">
      <c r="A1151" s="340" t="s">
        <v>271</v>
      </c>
      <c r="B1151" s="136"/>
      <c r="C1151" s="136"/>
      <c r="D1151" s="136"/>
      <c r="E1151" s="136"/>
      <c r="F1151" s="136"/>
      <c r="G1151" s="136"/>
      <c r="H1151" s="136"/>
      <c r="I1151" s="136"/>
      <c r="J1151" s="136"/>
      <c r="K1151" s="136"/>
      <c r="L1151" s="136"/>
      <c r="N1151" s="243"/>
      <c r="O1151" s="243"/>
      <c r="P1151" s="109"/>
      <c r="Q1151" s="109"/>
      <c r="R1151" s="109"/>
      <c r="S1151" s="54"/>
      <c r="T1151" s="54"/>
      <c r="U1151" s="54"/>
      <c r="V1151" s="54"/>
      <c r="W1151" s="54"/>
      <c r="X1151" s="54"/>
      <c r="Y1151" s="54"/>
      <c r="Z1151" s="54"/>
      <c r="AA1151" s="54"/>
      <c r="AB1151" s="54"/>
      <c r="AC1151" s="54"/>
      <c r="AD1151" s="54"/>
      <c r="AE1151" s="54"/>
      <c r="AF1151" s="54"/>
      <c r="AG1151" s="54"/>
      <c r="AH1151" s="54"/>
      <c r="AI1151" s="54"/>
    </row>
    <row r="1152" spans="1:37">
      <c r="A1152" s="136" t="s">
        <v>272</v>
      </c>
      <c r="B1152" s="136"/>
      <c r="C1152" s="136"/>
      <c r="D1152" s="136"/>
      <c r="E1152" s="136"/>
      <c r="F1152" s="136"/>
      <c r="G1152" s="136"/>
      <c r="H1152" s="136"/>
      <c r="I1152" s="136"/>
      <c r="J1152" s="136"/>
      <c r="K1152" s="136"/>
      <c r="L1152" s="136"/>
      <c r="N1152" s="54"/>
      <c r="O1152" s="54"/>
      <c r="P1152" s="109"/>
      <c r="Q1152" s="109"/>
      <c r="R1152" s="109"/>
      <c r="S1152" s="54"/>
      <c r="T1152" s="54"/>
      <c r="U1152" s="54"/>
      <c r="V1152" s="54"/>
      <c r="W1152" s="54"/>
      <c r="X1152" s="54"/>
      <c r="Y1152" s="54"/>
      <c r="Z1152" s="54"/>
      <c r="AA1152" s="54"/>
      <c r="AB1152" s="54"/>
      <c r="AC1152" s="54"/>
      <c r="AD1152" s="54"/>
      <c r="AE1152" s="54"/>
      <c r="AF1152" s="54"/>
      <c r="AG1152" s="54"/>
      <c r="AH1152" s="54"/>
      <c r="AI1152" s="54"/>
    </row>
    <row r="1153" spans="1:35">
      <c r="A1153" s="136"/>
      <c r="B1153" s="136"/>
      <c r="C1153" s="136"/>
      <c r="D1153" s="298"/>
      <c r="E1153" s="136"/>
      <c r="F1153" s="136"/>
      <c r="G1153" s="298"/>
      <c r="H1153" s="136"/>
      <c r="I1153" s="136"/>
      <c r="J1153" s="298"/>
      <c r="K1153" s="136"/>
      <c r="L1153" s="136"/>
      <c r="N1153" s="54"/>
      <c r="O1153" s="54"/>
      <c r="P1153" s="109"/>
      <c r="Q1153" s="109"/>
      <c r="R1153" s="109"/>
      <c r="S1153" s="54"/>
      <c r="T1153" s="54"/>
      <c r="U1153" s="54"/>
      <c r="V1153" s="54"/>
      <c r="W1153" s="54"/>
      <c r="X1153" s="54"/>
      <c r="Y1153" s="54"/>
      <c r="Z1153" s="54"/>
      <c r="AA1153" s="54"/>
      <c r="AB1153" s="54"/>
      <c r="AC1153" s="54"/>
      <c r="AD1153" s="54"/>
      <c r="AE1153" s="54"/>
      <c r="AF1153" s="54"/>
      <c r="AG1153" s="54"/>
      <c r="AH1153" s="54"/>
      <c r="AI1153" s="54"/>
    </row>
    <row r="1154" spans="1:35">
      <c r="A1154" s="136" t="s">
        <v>261</v>
      </c>
      <c r="B1154" s="136"/>
      <c r="C1154" s="168"/>
      <c r="D1154" s="172"/>
      <c r="E1154" s="136"/>
      <c r="F1154" s="127">
        <f>4.1+2026.19+86.47+232.2+36.89</f>
        <v>2385.8499999999995</v>
      </c>
      <c r="G1154" s="172"/>
      <c r="H1154" s="136"/>
      <c r="I1154" s="127">
        <f>2266.75</f>
        <v>2266.75</v>
      </c>
      <c r="J1154" s="172"/>
      <c r="K1154" s="136"/>
      <c r="L1154" s="127">
        <f>I1154</f>
        <v>2266.75</v>
      </c>
      <c r="N1154" s="54"/>
      <c r="O1154" s="54"/>
      <c r="P1154" s="109"/>
      <c r="Q1154" s="109"/>
      <c r="R1154" s="109"/>
      <c r="S1154" s="54"/>
      <c r="T1154" s="54"/>
      <c r="U1154" s="54"/>
      <c r="V1154" s="54"/>
      <c r="W1154" s="54"/>
      <c r="X1154" s="54"/>
      <c r="Y1154" s="54"/>
      <c r="Z1154" s="54"/>
      <c r="AA1154" s="54"/>
      <c r="AB1154" s="54"/>
      <c r="AC1154" s="54"/>
      <c r="AD1154" s="54"/>
      <c r="AE1154" s="54"/>
      <c r="AF1154" s="54"/>
      <c r="AG1154" s="54"/>
      <c r="AH1154" s="54"/>
      <c r="AI1154" s="54"/>
    </row>
    <row r="1155" spans="1:35">
      <c r="A1155" s="136" t="s">
        <v>242</v>
      </c>
      <c r="B1155" s="136"/>
      <c r="C1155" s="168"/>
      <c r="D1155" s="172"/>
      <c r="E1155" s="136"/>
      <c r="F1155" s="127"/>
      <c r="G1155" s="172"/>
      <c r="H1155" s="136"/>
      <c r="I1155" s="127"/>
      <c r="J1155" s="172"/>
      <c r="K1155" s="136"/>
      <c r="L1155" s="127"/>
      <c r="N1155" s="54"/>
      <c r="O1155" s="54"/>
      <c r="S1155" s="243">
        <f>P1149-L1149</f>
        <v>-3.9978076599072665</v>
      </c>
      <c r="T1155" s="109"/>
      <c r="U1155" s="54"/>
      <c r="V1155" s="54"/>
      <c r="W1155" s="54"/>
      <c r="X1155" s="54"/>
      <c r="Y1155" s="54"/>
      <c r="Z1155" s="54"/>
      <c r="AA1155" s="54"/>
      <c r="AB1155" s="54"/>
      <c r="AC1155" s="54"/>
      <c r="AD1155" s="54"/>
      <c r="AE1155" s="54"/>
      <c r="AF1155" s="54"/>
      <c r="AG1155" s="54"/>
      <c r="AH1155" s="54"/>
      <c r="AI1155" s="54"/>
    </row>
    <row r="1156" spans="1:35">
      <c r="A1156" s="108" t="s">
        <v>273</v>
      </c>
      <c r="B1156" s="136"/>
      <c r="C1156" s="168">
        <f>4248+50</f>
        <v>4298</v>
      </c>
      <c r="D1156" s="172">
        <v>2.0099999999999998</v>
      </c>
      <c r="E1156" s="136"/>
      <c r="F1156" s="127">
        <f t="shared" ref="F1156:F1161" si="147">D1156*C1156</f>
        <v>8638.98</v>
      </c>
      <c r="G1156" s="172">
        <v>2.12</v>
      </c>
      <c r="H1156" s="136"/>
      <c r="I1156" s="127">
        <f>C1156*G1156</f>
        <v>9111.76</v>
      </c>
      <c r="J1156" s="172">
        <f>ROUND(S1156*$J$1170/100,2)</f>
        <v>1.49</v>
      </c>
      <c r="K1156" s="136"/>
      <c r="L1156" s="127">
        <f t="shared" ref="L1156:L1161" si="148">J1156*$C1156</f>
        <v>6404.0199999999995</v>
      </c>
      <c r="N1156" s="54"/>
      <c r="O1156" s="54"/>
      <c r="S1156" s="109">
        <v>31</v>
      </c>
      <c r="T1156" s="343">
        <f t="shared" ref="T1156:T1161" si="149">D1156/S1156</f>
        <v>6.4838709677419351E-2</v>
      </c>
      <c r="U1156" s="54"/>
      <c r="V1156" s="54"/>
      <c r="W1156" s="199" t="s">
        <v>0</v>
      </c>
      <c r="X1156" s="54"/>
      <c r="Y1156" s="54"/>
      <c r="Z1156" s="54"/>
      <c r="AA1156" s="54"/>
      <c r="AB1156" s="54"/>
      <c r="AC1156" s="54"/>
      <c r="AD1156" s="54"/>
      <c r="AE1156" s="54"/>
      <c r="AF1156" s="54"/>
      <c r="AG1156" s="54"/>
      <c r="AH1156" s="54"/>
      <c r="AI1156" s="54"/>
    </row>
    <row r="1157" spans="1:35">
      <c r="A1157" s="108" t="s">
        <v>274</v>
      </c>
      <c r="B1157" s="136"/>
      <c r="C1157" s="168">
        <f>8156</f>
        <v>8156</v>
      </c>
      <c r="D1157" s="172">
        <v>2.85</v>
      </c>
      <c r="E1157" s="136"/>
      <c r="F1157" s="127">
        <f t="shared" si="147"/>
        <v>23244.600000000002</v>
      </c>
      <c r="G1157" s="172">
        <v>3</v>
      </c>
      <c r="H1157" s="136"/>
      <c r="I1157" s="127">
        <f t="shared" ref="I1157:I1161" si="150">C1157*G1157</f>
        <v>24468</v>
      </c>
      <c r="J1157" s="172">
        <f>ROUND(S1157*$J$1170/100,2)</f>
        <v>2.11</v>
      </c>
      <c r="K1157" s="136"/>
      <c r="L1157" s="127">
        <f t="shared" si="148"/>
        <v>17209.16</v>
      </c>
      <c r="N1157" s="54"/>
      <c r="O1157" s="54"/>
      <c r="S1157" s="109">
        <v>44</v>
      </c>
      <c r="T1157" s="343">
        <f t="shared" si="149"/>
        <v>6.4772727272727273E-2</v>
      </c>
      <c r="U1157" s="54"/>
      <c r="V1157" s="54"/>
      <c r="W1157" s="54"/>
      <c r="X1157" s="54"/>
      <c r="Y1157" s="54"/>
      <c r="Z1157" s="54"/>
      <c r="AA1157" s="54"/>
      <c r="AB1157" s="54"/>
      <c r="AC1157" s="54"/>
      <c r="AD1157" s="54"/>
      <c r="AE1157" s="54"/>
      <c r="AF1157" s="54"/>
      <c r="AG1157" s="54"/>
      <c r="AH1157" s="54"/>
      <c r="AI1157" s="54"/>
    </row>
    <row r="1158" spans="1:35">
      <c r="A1158" s="108" t="s">
        <v>275</v>
      </c>
      <c r="B1158" s="136"/>
      <c r="C1158" s="168">
        <f>84</f>
        <v>84</v>
      </c>
      <c r="D1158" s="172">
        <v>4.1399999999999997</v>
      </c>
      <c r="E1158" s="136"/>
      <c r="F1158" s="127">
        <f t="shared" si="147"/>
        <v>347.76</v>
      </c>
      <c r="G1158" s="172">
        <v>4.3600000000000003</v>
      </c>
      <c r="H1158" s="136"/>
      <c r="I1158" s="127">
        <f t="shared" si="150"/>
        <v>366.24</v>
      </c>
      <c r="J1158" s="172">
        <f>ROUND(S1158*$J$1170/100,2)</f>
        <v>3.07</v>
      </c>
      <c r="K1158" s="136"/>
      <c r="L1158" s="127">
        <f t="shared" si="148"/>
        <v>257.88</v>
      </c>
      <c r="N1158" s="54"/>
      <c r="O1158" s="54"/>
      <c r="S1158" s="109">
        <v>64</v>
      </c>
      <c r="T1158" s="343">
        <f t="shared" si="149"/>
        <v>6.4687499999999995E-2</v>
      </c>
      <c r="U1158" s="54"/>
      <c r="V1158" s="54"/>
      <c r="W1158" s="54"/>
      <c r="X1158" s="54"/>
      <c r="Y1158" s="54"/>
      <c r="Z1158" s="54"/>
      <c r="AA1158" s="54"/>
      <c r="AB1158" s="54"/>
      <c r="AC1158" s="54"/>
      <c r="AD1158" s="54"/>
      <c r="AE1158" s="54"/>
      <c r="AF1158" s="54"/>
      <c r="AG1158" s="54"/>
      <c r="AH1158" s="54"/>
      <c r="AI1158" s="54"/>
    </row>
    <row r="1159" spans="1:35">
      <c r="A1159" s="108" t="s">
        <v>276</v>
      </c>
      <c r="B1159" s="136"/>
      <c r="C1159" s="168">
        <f>11718</f>
        <v>11718</v>
      </c>
      <c r="D1159" s="172">
        <v>5.51</v>
      </c>
      <c r="E1159" s="136"/>
      <c r="F1159" s="127">
        <f t="shared" si="147"/>
        <v>64566.18</v>
      </c>
      <c r="G1159" s="172">
        <v>5.81</v>
      </c>
      <c r="H1159" s="136"/>
      <c r="I1159" s="127">
        <f t="shared" si="150"/>
        <v>68081.58</v>
      </c>
      <c r="J1159" s="172">
        <f t="shared" ref="J1159:J1161" si="151">ROUND(S1159*$J$1170/100,2)</f>
        <v>4.08</v>
      </c>
      <c r="K1159" s="136"/>
      <c r="L1159" s="127">
        <f t="shared" si="148"/>
        <v>47809.440000000002</v>
      </c>
      <c r="N1159" s="54"/>
      <c r="O1159" s="54"/>
      <c r="S1159" s="109">
        <v>85</v>
      </c>
      <c r="T1159" s="343">
        <f t="shared" si="149"/>
        <v>6.4823529411764697E-2</v>
      </c>
      <c r="U1159" s="54"/>
      <c r="V1159" s="54"/>
      <c r="W1159" s="54"/>
      <c r="X1159" s="54"/>
      <c r="Y1159" s="54"/>
      <c r="Z1159" s="54"/>
      <c r="AA1159" s="54"/>
      <c r="AB1159" s="54"/>
      <c r="AC1159" s="54"/>
      <c r="AD1159" s="54"/>
      <c r="AE1159" s="54"/>
      <c r="AF1159" s="54"/>
      <c r="AG1159" s="54"/>
      <c r="AH1159" s="54"/>
      <c r="AI1159" s="54"/>
    </row>
    <row r="1160" spans="1:35">
      <c r="A1160" s="108" t="s">
        <v>277</v>
      </c>
      <c r="B1160" s="136"/>
      <c r="C1160" s="168">
        <f>4625</f>
        <v>4625</v>
      </c>
      <c r="D1160" s="172">
        <v>7.46</v>
      </c>
      <c r="E1160" s="136"/>
      <c r="F1160" s="127">
        <f t="shared" si="147"/>
        <v>34502.5</v>
      </c>
      <c r="G1160" s="172">
        <v>7.86</v>
      </c>
      <c r="H1160" s="136"/>
      <c r="I1160" s="127">
        <f t="shared" si="150"/>
        <v>36352.5</v>
      </c>
      <c r="J1160" s="172">
        <f t="shared" si="151"/>
        <v>5.52</v>
      </c>
      <c r="K1160" s="136"/>
      <c r="L1160" s="127">
        <f t="shared" si="148"/>
        <v>25529.999999999996</v>
      </c>
      <c r="N1160" s="54"/>
      <c r="O1160" s="54"/>
      <c r="S1160" s="109">
        <v>115</v>
      </c>
      <c r="T1160" s="343">
        <f t="shared" si="149"/>
        <v>6.4869565217391303E-2</v>
      </c>
      <c r="U1160" s="54"/>
      <c r="V1160" s="54"/>
      <c r="W1160" s="54"/>
      <c r="X1160" s="54"/>
      <c r="Y1160" s="54"/>
      <c r="Z1160" s="54"/>
      <c r="AA1160" s="54"/>
      <c r="AB1160" s="54"/>
      <c r="AC1160" s="54"/>
      <c r="AD1160" s="54"/>
      <c r="AE1160" s="54"/>
      <c r="AF1160" s="54"/>
      <c r="AG1160" s="54"/>
      <c r="AH1160" s="54"/>
      <c r="AI1160" s="54"/>
    </row>
    <row r="1161" spans="1:35">
      <c r="A1161" s="108" t="s">
        <v>278</v>
      </c>
      <c r="B1161" s="136"/>
      <c r="C1161" s="168">
        <f>1716</f>
        <v>1716</v>
      </c>
      <c r="D1161" s="172">
        <v>11.41</v>
      </c>
      <c r="E1161" s="136"/>
      <c r="F1161" s="127">
        <f t="shared" si="147"/>
        <v>19579.560000000001</v>
      </c>
      <c r="G1161" s="172">
        <v>12.03</v>
      </c>
      <c r="H1161" s="136"/>
      <c r="I1161" s="127">
        <f t="shared" si="150"/>
        <v>20643.48</v>
      </c>
      <c r="J1161" s="172">
        <f t="shared" si="151"/>
        <v>8.4499999999999993</v>
      </c>
      <c r="K1161" s="136"/>
      <c r="L1161" s="127">
        <f t="shared" si="148"/>
        <v>14500.199999999999</v>
      </c>
      <c r="N1161" s="54"/>
      <c r="Q1161" s="318" t="s">
        <v>0</v>
      </c>
      <c r="R1161" s="147"/>
      <c r="S1161" s="109">
        <v>176</v>
      </c>
      <c r="T1161" s="343">
        <f t="shared" si="149"/>
        <v>6.4829545454545459E-2</v>
      </c>
      <c r="U1161" s="54"/>
      <c r="V1161" s="54"/>
      <c r="W1161" s="54"/>
      <c r="X1161" s="54"/>
      <c r="Y1161" s="54"/>
      <c r="Z1161" s="54"/>
      <c r="AA1161" s="54"/>
      <c r="AB1161" s="54"/>
      <c r="AC1161" s="54"/>
      <c r="AD1161" s="54"/>
      <c r="AE1161" s="54"/>
      <c r="AF1161" s="54"/>
      <c r="AG1161" s="54"/>
      <c r="AH1161" s="54"/>
      <c r="AI1161" s="54"/>
    </row>
    <row r="1162" spans="1:35">
      <c r="B1162" s="136"/>
      <c r="C1162" s="168"/>
      <c r="D1162" s="172"/>
      <c r="E1162" s="136"/>
      <c r="F1162" s="127"/>
      <c r="G1162" s="172"/>
      <c r="H1162" s="136"/>
      <c r="I1162" s="127"/>
      <c r="J1162" s="172"/>
      <c r="K1162" s="136"/>
      <c r="L1162" s="127"/>
      <c r="N1162" s="54"/>
      <c r="O1162" s="54"/>
      <c r="S1162" s="109"/>
      <c r="T1162" s="109"/>
      <c r="U1162" s="54"/>
      <c r="V1162" s="54"/>
      <c r="W1162" s="54"/>
      <c r="X1162" s="54"/>
      <c r="Y1162" s="54"/>
      <c r="Z1162" s="54"/>
      <c r="AA1162" s="54"/>
      <c r="AB1162" s="54"/>
      <c r="AC1162" s="54"/>
      <c r="AD1162" s="54"/>
      <c r="AE1162" s="54"/>
      <c r="AF1162" s="54"/>
      <c r="AG1162" s="54"/>
      <c r="AH1162" s="54"/>
      <c r="AI1162" s="54"/>
    </row>
    <row r="1163" spans="1:35">
      <c r="A1163" s="108" t="s">
        <v>251</v>
      </c>
      <c r="B1163" s="136"/>
      <c r="C1163" s="168"/>
      <c r="D1163" s="172" t="s">
        <v>0</v>
      </c>
      <c r="E1163" s="136"/>
      <c r="F1163" s="127"/>
      <c r="G1163" s="172" t="s">
        <v>0</v>
      </c>
      <c r="H1163" s="136"/>
      <c r="I1163" s="127"/>
      <c r="J1163" s="172" t="s">
        <v>0</v>
      </c>
      <c r="K1163" s="136"/>
      <c r="L1163" s="127"/>
      <c r="N1163" s="54"/>
      <c r="O1163" s="54"/>
      <c r="S1163" s="109"/>
      <c r="T1163" s="109"/>
      <c r="U1163" s="54"/>
      <c r="V1163" s="54"/>
      <c r="W1163" s="54"/>
      <c r="X1163" s="54"/>
      <c r="Y1163" s="54"/>
      <c r="Z1163" s="54"/>
      <c r="AA1163" s="54"/>
      <c r="AB1163" s="54"/>
      <c r="AC1163" s="54"/>
      <c r="AD1163" s="54"/>
      <c r="AE1163" s="54"/>
      <c r="AF1163" s="54"/>
      <c r="AG1163" s="54"/>
      <c r="AH1163" s="54"/>
      <c r="AI1163" s="54"/>
    </row>
    <row r="1164" spans="1:35">
      <c r="A1164" s="108" t="s">
        <v>279</v>
      </c>
      <c r="B1164" s="136"/>
      <c r="C1164" s="168">
        <v>12</v>
      </c>
      <c r="D1164" s="172">
        <v>2.5299999999999998</v>
      </c>
      <c r="E1164" s="136"/>
      <c r="F1164" s="127">
        <f>D1164*C1164</f>
        <v>30.36</v>
      </c>
      <c r="G1164" s="172">
        <v>2.67</v>
      </c>
      <c r="H1164" s="136"/>
      <c r="I1164" s="127">
        <f t="shared" ref="I1164:I1168" si="152">C1164*G1164</f>
        <v>32.04</v>
      </c>
      <c r="J1164" s="172">
        <f>ROUND(S1164*$J$1170/100,2)+0.01</f>
        <v>1.8800000000000001</v>
      </c>
      <c r="K1164" s="136"/>
      <c r="L1164" s="127">
        <f>J1164*$C1164</f>
        <v>22.560000000000002</v>
      </c>
      <c r="N1164" s="54"/>
      <c r="O1164" s="54"/>
      <c r="S1164" s="109">
        <v>39</v>
      </c>
      <c r="T1164" s="343">
        <f>D1164/S1164</f>
        <v>6.4871794871794869E-2</v>
      </c>
      <c r="U1164" s="54"/>
      <c r="V1164" s="54"/>
      <c r="W1164" s="54"/>
      <c r="X1164" s="54"/>
      <c r="Y1164" s="54"/>
      <c r="Z1164" s="54"/>
      <c r="AA1164" s="54"/>
      <c r="AB1164" s="54"/>
      <c r="AC1164" s="54"/>
      <c r="AD1164" s="54"/>
      <c r="AE1164" s="54"/>
      <c r="AF1164" s="54"/>
      <c r="AG1164" s="54"/>
      <c r="AH1164" s="54"/>
      <c r="AI1164" s="54"/>
    </row>
    <row r="1165" spans="1:35">
      <c r="A1165" s="108" t="s">
        <v>280</v>
      </c>
      <c r="B1165" s="136"/>
      <c r="C1165" s="168">
        <v>0</v>
      </c>
      <c r="D1165" s="172">
        <v>4.41</v>
      </c>
      <c r="E1165" s="136"/>
      <c r="F1165" s="127">
        <f>D1165*C1165</f>
        <v>0</v>
      </c>
      <c r="G1165" s="172">
        <v>4.6500000000000004</v>
      </c>
      <c r="H1165" s="136"/>
      <c r="I1165" s="127">
        <f t="shared" si="152"/>
        <v>0</v>
      </c>
      <c r="J1165" s="172">
        <f t="shared" ref="J1165:J1168" si="153">ROUND(S1165*$J$1170/100,2)</f>
        <v>3.27</v>
      </c>
      <c r="K1165" s="136"/>
      <c r="L1165" s="127">
        <f>J1165*$C1165</f>
        <v>0</v>
      </c>
      <c r="N1165" s="54"/>
      <c r="O1165" s="54"/>
      <c r="S1165" s="109">
        <v>68</v>
      </c>
      <c r="T1165" s="343">
        <f>D1165/S1165</f>
        <v>6.4852941176470585E-2</v>
      </c>
      <c r="U1165" s="54"/>
      <c r="V1165" s="54"/>
      <c r="W1165" s="54"/>
      <c r="X1165" s="54"/>
      <c r="Y1165" s="54"/>
      <c r="Z1165" s="54"/>
      <c r="AA1165" s="54"/>
      <c r="AB1165" s="54"/>
      <c r="AC1165" s="54"/>
      <c r="AD1165" s="54"/>
      <c r="AE1165" s="54"/>
      <c r="AF1165" s="54"/>
      <c r="AG1165" s="54"/>
      <c r="AH1165" s="54"/>
      <c r="AI1165" s="54"/>
    </row>
    <row r="1166" spans="1:35">
      <c r="A1166" s="108" t="s">
        <v>281</v>
      </c>
      <c r="B1166" s="136"/>
      <c r="C1166" s="168">
        <v>0</v>
      </c>
      <c r="D1166" s="172">
        <v>6.1</v>
      </c>
      <c r="E1166" s="136"/>
      <c r="F1166" s="127">
        <f>D1166*C1166</f>
        <v>0</v>
      </c>
      <c r="G1166" s="172">
        <v>6.43</v>
      </c>
      <c r="H1166" s="136"/>
      <c r="I1166" s="127">
        <f t="shared" si="152"/>
        <v>0</v>
      </c>
      <c r="J1166" s="172">
        <f>ROUND(S1166*$J$1170/100,2)+0.01</f>
        <v>4.5199999999999996</v>
      </c>
      <c r="K1166" s="136"/>
      <c r="L1166" s="127">
        <f>J1166*$C1166</f>
        <v>0</v>
      </c>
      <c r="N1166" s="54"/>
      <c r="O1166" s="54" t="s">
        <v>0</v>
      </c>
      <c r="S1166" s="109">
        <v>94</v>
      </c>
      <c r="T1166" s="343">
        <f>D1166/S1166</f>
        <v>6.4893617021276592E-2</v>
      </c>
      <c r="U1166" s="54"/>
      <c r="V1166" s="54"/>
      <c r="W1166" s="54"/>
      <c r="X1166" s="54"/>
      <c r="Y1166" s="54"/>
      <c r="Z1166" s="54"/>
      <c r="AA1166" s="54"/>
      <c r="AB1166" s="54"/>
      <c r="AC1166" s="54"/>
      <c r="AD1166" s="54"/>
      <c r="AE1166" s="54"/>
      <c r="AF1166" s="54"/>
      <c r="AG1166" s="54"/>
      <c r="AH1166" s="54"/>
      <c r="AI1166" s="54"/>
    </row>
    <row r="1167" spans="1:35">
      <c r="A1167" s="108" t="s">
        <v>282</v>
      </c>
      <c r="B1167" s="136"/>
      <c r="C1167" s="168">
        <v>0</v>
      </c>
      <c r="D1167" s="172">
        <v>9.66</v>
      </c>
      <c r="E1167" s="136"/>
      <c r="F1167" s="127">
        <f>D1167*C1167</f>
        <v>0</v>
      </c>
      <c r="G1167" s="172">
        <v>10.18</v>
      </c>
      <c r="H1167" s="136"/>
      <c r="I1167" s="127">
        <f t="shared" si="152"/>
        <v>0</v>
      </c>
      <c r="J1167" s="172">
        <f t="shared" si="153"/>
        <v>7.16</v>
      </c>
      <c r="K1167" s="136"/>
      <c r="L1167" s="127">
        <f>J1167*$C1167</f>
        <v>0</v>
      </c>
      <c r="N1167" s="54"/>
      <c r="O1167" s="54"/>
      <c r="S1167" s="109">
        <v>149</v>
      </c>
      <c r="T1167" s="343">
        <f>D1167/S1167</f>
        <v>6.4832214765100676E-2</v>
      </c>
      <c r="U1167" s="54"/>
      <c r="V1167" s="54"/>
      <c r="W1167" s="54"/>
      <c r="X1167" s="54"/>
      <c r="Y1167" s="54"/>
      <c r="Z1167" s="54"/>
      <c r="AA1167" s="54"/>
      <c r="AB1167" s="54"/>
      <c r="AC1167" s="54"/>
      <c r="AD1167" s="54"/>
      <c r="AE1167" s="54"/>
      <c r="AF1167" s="54"/>
      <c r="AG1167" s="54"/>
      <c r="AH1167" s="54"/>
      <c r="AI1167" s="54"/>
    </row>
    <row r="1168" spans="1:35">
      <c r="A1168" s="108" t="s">
        <v>283</v>
      </c>
      <c r="B1168" s="136"/>
      <c r="C1168" s="168">
        <v>0</v>
      </c>
      <c r="D1168" s="172">
        <v>22.95</v>
      </c>
      <c r="E1168" s="136"/>
      <c r="F1168" s="127">
        <f>D1168*C1168</f>
        <v>0</v>
      </c>
      <c r="G1168" s="172">
        <v>24.19</v>
      </c>
      <c r="H1168" s="136"/>
      <c r="I1168" s="127">
        <f t="shared" si="152"/>
        <v>0</v>
      </c>
      <c r="J1168" s="172">
        <f t="shared" si="153"/>
        <v>17</v>
      </c>
      <c r="K1168" s="136"/>
      <c r="L1168" s="127">
        <f>J1168*$C1168</f>
        <v>0</v>
      </c>
      <c r="N1168" s="54"/>
      <c r="O1168" s="54"/>
      <c r="S1168" s="109">
        <v>354</v>
      </c>
      <c r="T1168" s="343">
        <f>D1168/S1168</f>
        <v>6.4830508474576276E-2</v>
      </c>
      <c r="U1168" s="54" t="s">
        <v>0</v>
      </c>
      <c r="V1168" s="54"/>
      <c r="W1168" s="54"/>
      <c r="X1168" s="54"/>
      <c r="Y1168" s="54"/>
      <c r="Z1168" s="54"/>
      <c r="AA1168" s="54"/>
      <c r="AB1168" s="54"/>
      <c r="AC1168" s="54"/>
      <c r="AD1168" s="54"/>
      <c r="AE1168" s="54"/>
      <c r="AF1168" s="54"/>
      <c r="AG1168" s="54"/>
      <c r="AH1168" s="54"/>
      <c r="AI1168" s="54"/>
    </row>
    <row r="1169" spans="1:37">
      <c r="A1169" s="136"/>
      <c r="B1169" s="136"/>
      <c r="C1169" s="168"/>
      <c r="D1169" s="172"/>
      <c r="E1169" s="136"/>
      <c r="F1169" s="127"/>
      <c r="G1169" s="172"/>
      <c r="H1169" s="136"/>
      <c r="I1169" s="127"/>
      <c r="J1169" s="172"/>
      <c r="K1169" s="136"/>
      <c r="L1169" s="127"/>
      <c r="N1169" s="54"/>
      <c r="O1169" s="54"/>
      <c r="S1169" s="109"/>
      <c r="T1169" s="109"/>
      <c r="U1169" s="54"/>
      <c r="V1169" s="54"/>
      <c r="W1169" s="54"/>
      <c r="X1169" s="54"/>
      <c r="Y1169" s="54"/>
      <c r="Z1169" s="54"/>
      <c r="AA1169" s="54"/>
      <c r="AB1169" s="54"/>
      <c r="AC1169" s="54"/>
      <c r="AD1169" s="54"/>
      <c r="AE1169" s="54"/>
      <c r="AF1169" s="54"/>
      <c r="AG1169" s="54"/>
      <c r="AH1169" s="54"/>
      <c r="AI1169" s="54"/>
    </row>
    <row r="1170" spans="1:37">
      <c r="A1170" s="136" t="s">
        <v>269</v>
      </c>
      <c r="B1170" s="136"/>
      <c r="C1170" s="125">
        <f>423620+327074+2484+134160+80496+7032+118656+4944+127+39284+45855+2520+2448+6318</f>
        <v>1195018</v>
      </c>
      <c r="D1170" s="310">
        <v>6.4820000000000002</v>
      </c>
      <c r="E1170" s="136" t="s">
        <v>99</v>
      </c>
      <c r="F1170" s="335">
        <f>ROUND(C1170*D1170/100,0)</f>
        <v>77461</v>
      </c>
      <c r="G1170" s="297">
        <v>6.8330000000000002</v>
      </c>
      <c r="H1170" s="136" t="s">
        <v>99</v>
      </c>
      <c r="I1170" s="335">
        <f>ROUND(G1170*C1170/100,0)</f>
        <v>81656</v>
      </c>
      <c r="J1170" s="297">
        <v>4.8029999999999999</v>
      </c>
      <c r="K1170" s="136" t="s">
        <v>99</v>
      </c>
      <c r="L1170" s="127">
        <f>ROUND(J1170*C1170/100,0)</f>
        <v>57397</v>
      </c>
      <c r="N1170" s="54"/>
      <c r="O1170" s="54"/>
      <c r="S1170" s="109"/>
      <c r="T1170" s="109"/>
      <c r="U1170" s="54"/>
      <c r="V1170" s="54"/>
      <c r="W1170" s="54"/>
      <c r="X1170" s="54"/>
      <c r="Y1170" s="54"/>
      <c r="Z1170" s="54"/>
      <c r="AA1170" s="54"/>
      <c r="AB1170" s="54"/>
      <c r="AC1170" s="54"/>
      <c r="AD1170" s="54"/>
      <c r="AE1170" s="54"/>
      <c r="AF1170" s="54"/>
      <c r="AG1170" s="54"/>
      <c r="AH1170" s="54"/>
      <c r="AI1170" s="54"/>
    </row>
    <row r="1171" spans="1:37">
      <c r="A1171" s="136" t="s">
        <v>284</v>
      </c>
      <c r="B1171" s="136"/>
      <c r="C1171" s="125">
        <f>3523707-C1170</f>
        <v>2328689</v>
      </c>
      <c r="D1171" s="340" t="s">
        <v>0</v>
      </c>
      <c r="E1171" s="136" t="s">
        <v>0</v>
      </c>
      <c r="F1171" s="335" t="s">
        <v>0</v>
      </c>
      <c r="G1171" s="340">
        <v>0</v>
      </c>
      <c r="H1171" s="136" t="s">
        <v>99</v>
      </c>
      <c r="I1171" s="335">
        <f>ROUND(G1171*C1171/100,0)</f>
        <v>0</v>
      </c>
      <c r="J1171" s="340">
        <v>0</v>
      </c>
      <c r="K1171" s="136" t="s">
        <v>99</v>
      </c>
      <c r="L1171" s="127">
        <v>0</v>
      </c>
      <c r="N1171" s="54"/>
      <c r="O1171" s="54"/>
      <c r="S1171" s="109"/>
      <c r="T1171" s="109">
        <v>211950</v>
      </c>
      <c r="U1171" s="127">
        <f>C1171*0.06146</f>
        <v>143121.22594</v>
      </c>
      <c r="V1171" s="127"/>
      <c r="W1171" s="54"/>
      <c r="X1171" s="54"/>
      <c r="Y1171" s="54"/>
      <c r="Z1171" s="54"/>
      <c r="AA1171" s="54"/>
      <c r="AB1171" s="54"/>
      <c r="AC1171" s="54"/>
      <c r="AD1171" s="54"/>
      <c r="AE1171" s="54"/>
      <c r="AF1171" s="54"/>
      <c r="AG1171" s="54"/>
      <c r="AH1171" s="54"/>
      <c r="AI1171" s="54"/>
    </row>
    <row r="1172" spans="1:37">
      <c r="A1172" s="136" t="s">
        <v>100</v>
      </c>
      <c r="B1172" s="136"/>
      <c r="C1172" s="125">
        <f>1439</f>
        <v>1439</v>
      </c>
      <c r="D1172" s="336"/>
      <c r="E1172" s="136"/>
      <c r="F1172" s="127"/>
      <c r="G1172" s="336"/>
      <c r="H1172" s="136"/>
      <c r="I1172" s="127"/>
      <c r="J1172" s="336"/>
      <c r="K1172" s="136"/>
      <c r="L1172" s="127"/>
      <c r="N1172" s="54"/>
      <c r="O1172" s="54"/>
      <c r="P1172" s="109"/>
      <c r="Q1172" s="109"/>
      <c r="R1172" s="109"/>
      <c r="S1172" s="54"/>
      <c r="T1172" s="54"/>
      <c r="U1172" s="54"/>
      <c r="V1172" s="54"/>
      <c r="W1172" s="54"/>
      <c r="X1172" s="54"/>
      <c r="Y1172" s="54"/>
      <c r="Z1172" s="54"/>
      <c r="AA1172" s="54"/>
      <c r="AB1172" s="54"/>
      <c r="AC1172" s="54"/>
      <c r="AD1172" s="54"/>
      <c r="AE1172" s="54"/>
      <c r="AF1172" s="54"/>
      <c r="AG1172" s="54"/>
      <c r="AH1172" s="54"/>
      <c r="AI1172" s="54"/>
    </row>
    <row r="1173" spans="1:37">
      <c r="A1173" s="134" t="s">
        <v>212</v>
      </c>
      <c r="C1173" s="125">
        <f>C1175</f>
        <v>3523707</v>
      </c>
      <c r="D1173" s="133"/>
      <c r="E1173" s="54"/>
      <c r="F1173" s="127"/>
      <c r="G1173" s="133"/>
      <c r="H1173" s="54"/>
      <c r="I1173" s="127"/>
      <c r="J1173" s="135">
        <f>J1146</f>
        <v>2.246</v>
      </c>
      <c r="K1173" s="136" t="s">
        <v>99</v>
      </c>
      <c r="L1173" s="207">
        <f>ROUND(J1173*$C1173/100,0)</f>
        <v>79142</v>
      </c>
      <c r="N1173" s="128"/>
      <c r="P1173" s="93"/>
      <c r="Q1173" s="108"/>
      <c r="R1173" s="108"/>
      <c r="S1173" s="129"/>
      <c r="T1173" s="129"/>
      <c r="Y1173" s="54"/>
      <c r="Z1173" s="54"/>
      <c r="AA1173" s="54"/>
      <c r="AB1173" s="54"/>
      <c r="AC1173" s="54"/>
      <c r="AD1173" s="54"/>
      <c r="AE1173" s="54"/>
      <c r="AF1173" s="54"/>
      <c r="AG1173" s="54"/>
      <c r="AH1173" s="54"/>
      <c r="AI1173" s="54"/>
      <c r="AK1173" s="128"/>
    </row>
    <row r="1174" spans="1:37">
      <c r="A1174" s="179" t="s">
        <v>285</v>
      </c>
      <c r="B1174" s="180"/>
      <c r="C1174" s="322"/>
      <c r="D1174" s="182"/>
      <c r="E1174" s="183"/>
      <c r="F1174" s="184"/>
      <c r="G1174" s="327">
        <f>G1170</f>
        <v>6.8330000000000002</v>
      </c>
      <c r="H1174" s="186" t="s">
        <v>99</v>
      </c>
      <c r="I1174" s="184"/>
      <c r="J1174" s="327">
        <f>J1170+J1173</f>
        <v>7.0489999999999995</v>
      </c>
      <c r="K1174" s="186" t="s">
        <v>99</v>
      </c>
      <c r="L1174" s="269"/>
      <c r="N1174" s="128"/>
      <c r="P1174" s="93"/>
      <c r="Q1174" s="100" t="s">
        <v>0</v>
      </c>
      <c r="R1174" s="108"/>
      <c r="S1174" s="129"/>
      <c r="T1174" s="129"/>
      <c r="Y1174" s="54"/>
      <c r="Z1174" s="54"/>
      <c r="AA1174" s="54"/>
      <c r="AB1174" s="54"/>
      <c r="AC1174" s="54"/>
      <c r="AD1174" s="54"/>
      <c r="AE1174" s="54"/>
      <c r="AF1174" s="54"/>
      <c r="AG1174" s="54"/>
      <c r="AH1174" s="54"/>
      <c r="AI1174" s="54"/>
      <c r="AK1174" s="128"/>
    </row>
    <row r="1175" spans="1:37">
      <c r="A1175" s="108" t="s">
        <v>265</v>
      </c>
      <c r="C1175" s="125">
        <f>C1170+C1171</f>
        <v>3523707</v>
      </c>
      <c r="D1175" s="133"/>
      <c r="E1175" s="54"/>
      <c r="F1175" s="139">
        <f>SUM(F1154:F1171)</f>
        <v>230756.78999999998</v>
      </c>
      <c r="G1175" s="133"/>
      <c r="H1175" s="54"/>
      <c r="I1175" s="139">
        <f>SUM(I1154:I1171)</f>
        <v>242978.35000000003</v>
      </c>
      <c r="J1175" s="133"/>
      <c r="K1175" s="54"/>
      <c r="L1175" s="139">
        <f>SUM(L1154:L1173)</f>
        <v>250539.01</v>
      </c>
      <c r="N1175" s="54"/>
      <c r="O1175" s="54"/>
      <c r="P1175" s="109"/>
      <c r="Q1175" s="109"/>
      <c r="R1175" s="109"/>
      <c r="S1175" s="54"/>
      <c r="T1175" s="54"/>
      <c r="U1175" s="54"/>
      <c r="V1175" s="54"/>
      <c r="W1175" s="54"/>
      <c r="X1175" s="54"/>
      <c r="Y1175" s="54"/>
      <c r="Z1175" s="54"/>
      <c r="AA1175" s="54"/>
      <c r="AB1175" s="54"/>
      <c r="AC1175" s="54"/>
      <c r="AD1175" s="54"/>
      <c r="AE1175" s="54"/>
      <c r="AF1175" s="54"/>
      <c r="AG1175" s="54"/>
      <c r="AH1175" s="54"/>
      <c r="AI1175" s="54"/>
    </row>
    <row r="1176" spans="1:37">
      <c r="A1176" s="108" t="s">
        <v>266</v>
      </c>
      <c r="C1176" s="125">
        <v>-307654.71277995309</v>
      </c>
      <c r="D1176" s="133"/>
      <c r="E1176" s="54"/>
      <c r="F1176" s="139" t="e">
        <f>#REF!</f>
        <v>#REF!</v>
      </c>
      <c r="G1176" s="133"/>
      <c r="H1176" s="54"/>
      <c r="I1176" s="139">
        <v>-19944.378113311941</v>
      </c>
      <c r="J1176" s="133"/>
      <c r="K1176" s="54"/>
      <c r="L1176" s="139">
        <f>I1176</f>
        <v>-19944.378113311941</v>
      </c>
      <c r="N1176" s="164"/>
      <c r="O1176" s="164"/>
      <c r="P1176" s="162"/>
      <c r="Q1176" s="109"/>
      <c r="R1176" s="109"/>
      <c r="S1176" s="54"/>
      <c r="T1176" s="54"/>
      <c r="U1176" s="54"/>
      <c r="V1176" s="54"/>
      <c r="W1176" s="54"/>
      <c r="X1176" s="54"/>
      <c r="Y1176" s="54"/>
      <c r="Z1176" s="54"/>
      <c r="AA1176" s="54"/>
      <c r="AB1176" s="54"/>
      <c r="AC1176" s="54"/>
      <c r="AD1176" s="54"/>
      <c r="AE1176" s="54"/>
      <c r="AF1176" s="54"/>
      <c r="AG1176" s="54"/>
      <c r="AH1176" s="54"/>
      <c r="AI1176" s="54"/>
    </row>
    <row r="1177" spans="1:37" ht="16.5" thickBot="1">
      <c r="A1177" s="136" t="s">
        <v>103</v>
      </c>
      <c r="B1177" s="136"/>
      <c r="C1177" s="302">
        <f>C1175+C1176</f>
        <v>3216052.2872200469</v>
      </c>
      <c r="D1177" s="337"/>
      <c r="E1177" s="338"/>
      <c r="F1177" s="142" t="e">
        <f>F1175+F1176</f>
        <v>#REF!</v>
      </c>
      <c r="G1177" s="339"/>
      <c r="H1177" s="235"/>
      <c r="I1177" s="142">
        <f>I1175+I1176</f>
        <v>223033.97188668809</v>
      </c>
      <c r="J1177" s="339"/>
      <c r="K1177" s="235"/>
      <c r="L1177" s="142">
        <f>L1175+L1176</f>
        <v>230594.63188668806</v>
      </c>
      <c r="N1177" s="165"/>
      <c r="O1177" s="165"/>
      <c r="P1177" s="166"/>
      <c r="Q1177" s="109"/>
      <c r="R1177" s="109"/>
      <c r="S1177" s="54"/>
      <c r="T1177" s="54"/>
      <c r="U1177" s="54"/>
      <c r="V1177" s="54"/>
      <c r="W1177" s="54"/>
      <c r="X1177" s="54"/>
      <c r="Y1177" s="54"/>
      <c r="Z1177" s="54"/>
      <c r="AA1177" s="54"/>
      <c r="AB1177" s="54"/>
      <c r="AC1177" s="54"/>
      <c r="AD1177" s="54"/>
      <c r="AE1177" s="54"/>
      <c r="AF1177" s="54"/>
      <c r="AG1177" s="54"/>
      <c r="AH1177" s="54"/>
      <c r="AI1177" s="54"/>
    </row>
    <row r="1178" spans="1:37" ht="16.5" thickTop="1">
      <c r="A1178" s="136"/>
      <c r="B1178" s="136"/>
      <c r="C1178" s="294"/>
      <c r="D1178" s="342"/>
      <c r="E1178" s="250"/>
      <c r="F1178" s="200"/>
      <c r="G1178" s="342" t="s">
        <v>0</v>
      </c>
      <c r="H1178" s="250"/>
      <c r="I1178" s="200"/>
      <c r="J1178" s="342" t="s">
        <v>0</v>
      </c>
      <c r="K1178" s="250"/>
      <c r="L1178" s="200" t="s">
        <v>0</v>
      </c>
      <c r="N1178" s="54"/>
      <c r="O1178" s="54"/>
      <c r="P1178" s="109"/>
      <c r="Q1178" s="109" t="s">
        <v>0</v>
      </c>
      <c r="R1178" s="109"/>
      <c r="S1178" s="54"/>
      <c r="T1178" s="54"/>
      <c r="U1178" s="54"/>
      <c r="V1178" s="54"/>
      <c r="W1178" s="54"/>
      <c r="X1178" s="54"/>
      <c r="Y1178" s="54"/>
      <c r="Z1178" s="54"/>
      <c r="AA1178" s="54"/>
      <c r="AB1178" s="54"/>
      <c r="AC1178" s="54"/>
      <c r="AD1178" s="54"/>
      <c r="AE1178" s="54"/>
      <c r="AF1178" s="54"/>
      <c r="AG1178" s="54"/>
      <c r="AH1178" s="54"/>
      <c r="AI1178" s="54"/>
    </row>
    <row r="1179" spans="1:37">
      <c r="A1179" s="340" t="s">
        <v>286</v>
      </c>
      <c r="B1179" s="136"/>
      <c r="C1179" s="136"/>
      <c r="D1179" s="136"/>
      <c r="E1179" s="136"/>
      <c r="F1179" s="136"/>
      <c r="G1179" s="136"/>
      <c r="H1179" s="136"/>
      <c r="I1179" s="136"/>
      <c r="J1179" s="136"/>
      <c r="K1179" s="136"/>
      <c r="L1179" s="136"/>
      <c r="N1179" s="54"/>
      <c r="O1179" s="54"/>
      <c r="P1179" s="109"/>
      <c r="Q1179" s="109"/>
      <c r="R1179" s="109"/>
      <c r="S1179" s="54"/>
      <c r="T1179" s="54"/>
      <c r="U1179" s="54"/>
      <c r="V1179" s="54"/>
      <c r="W1179" s="54"/>
      <c r="X1179" s="54"/>
      <c r="Y1179" s="54"/>
      <c r="Z1179" s="54"/>
      <c r="AA1179" s="54"/>
      <c r="AB1179" s="54"/>
      <c r="AC1179" s="54"/>
      <c r="AD1179" s="54"/>
      <c r="AE1179" s="54"/>
      <c r="AF1179" s="54"/>
      <c r="AG1179" s="54"/>
      <c r="AH1179" s="54"/>
      <c r="AI1179" s="54"/>
    </row>
    <row r="1180" spans="1:37">
      <c r="A1180" s="136" t="s">
        <v>287</v>
      </c>
      <c r="B1180" s="136"/>
      <c r="C1180" s="136"/>
      <c r="D1180" s="136"/>
      <c r="E1180" s="136"/>
      <c r="F1180" s="136"/>
      <c r="G1180" s="136"/>
      <c r="H1180" s="136"/>
      <c r="I1180" s="136"/>
      <c r="J1180" s="136"/>
      <c r="K1180" s="136"/>
      <c r="L1180" s="136"/>
      <c r="N1180" s="54"/>
      <c r="O1180" s="54"/>
      <c r="P1180" s="109"/>
      <c r="Q1180" s="109"/>
      <c r="R1180" s="109"/>
      <c r="S1180" s="54"/>
      <c r="T1180" s="54"/>
      <c r="U1180" s="54"/>
      <c r="V1180" s="54"/>
      <c r="W1180" s="54"/>
      <c r="X1180" s="54"/>
      <c r="Y1180" s="54"/>
      <c r="Z1180" s="54"/>
      <c r="AA1180" s="54"/>
      <c r="AB1180" s="54"/>
      <c r="AC1180" s="54"/>
      <c r="AD1180" s="54"/>
      <c r="AE1180" s="54"/>
      <c r="AF1180" s="54"/>
      <c r="AG1180" s="54"/>
      <c r="AH1180" s="54"/>
      <c r="AI1180" s="54"/>
    </row>
    <row r="1181" spans="1:37">
      <c r="A1181" s="136"/>
      <c r="B1181" s="136"/>
      <c r="C1181" s="136"/>
      <c r="D1181" s="298"/>
      <c r="E1181" s="136"/>
      <c r="F1181" s="136"/>
      <c r="G1181" s="298"/>
      <c r="H1181" s="136"/>
      <c r="I1181" s="136"/>
      <c r="J1181" s="298"/>
      <c r="K1181" s="136"/>
      <c r="L1181" s="136"/>
      <c r="N1181" s="54"/>
      <c r="O1181" s="54"/>
      <c r="P1181" s="109"/>
      <c r="Q1181" s="109"/>
      <c r="R1181" s="109"/>
      <c r="S1181" s="54"/>
      <c r="T1181" s="54"/>
      <c r="U1181" s="54"/>
      <c r="V1181" s="54"/>
      <c r="W1181" s="54"/>
      <c r="X1181" s="54"/>
      <c r="Y1181" s="54"/>
      <c r="Z1181" s="54"/>
      <c r="AA1181" s="54"/>
      <c r="AB1181" s="54"/>
      <c r="AC1181" s="54"/>
      <c r="AD1181" s="54"/>
      <c r="AE1181" s="54"/>
      <c r="AF1181" s="54"/>
      <c r="AG1181" s="54"/>
      <c r="AH1181" s="54"/>
      <c r="AI1181" s="54"/>
    </row>
    <row r="1182" spans="1:37">
      <c r="A1182" s="136" t="s">
        <v>261</v>
      </c>
      <c r="B1182" s="136"/>
      <c r="C1182" s="168"/>
      <c r="D1182" s="172"/>
      <c r="E1182" s="136"/>
      <c r="F1182" s="127">
        <v>0</v>
      </c>
      <c r="G1182" s="172"/>
      <c r="H1182" s="136"/>
      <c r="I1182" s="127">
        <v>0</v>
      </c>
      <c r="J1182" s="172"/>
      <c r="K1182" s="136"/>
      <c r="L1182" s="127">
        <f>F1182</f>
        <v>0</v>
      </c>
      <c r="N1182" s="54"/>
      <c r="O1182" s="54"/>
      <c r="P1182" s="109"/>
      <c r="Q1182" s="109"/>
      <c r="R1182" s="109"/>
      <c r="S1182" s="54"/>
      <c r="T1182" s="54"/>
      <c r="U1182" s="54"/>
      <c r="V1182" s="54"/>
      <c r="W1182" s="54"/>
      <c r="X1182" s="54"/>
      <c r="Y1182" s="54"/>
      <c r="Z1182" s="54"/>
      <c r="AA1182" s="54"/>
      <c r="AB1182" s="54"/>
      <c r="AC1182" s="54"/>
      <c r="AD1182" s="54"/>
      <c r="AE1182" s="54"/>
      <c r="AF1182" s="54"/>
      <c r="AG1182" s="54"/>
      <c r="AH1182" s="54"/>
      <c r="AI1182" s="54"/>
    </row>
    <row r="1183" spans="1:37">
      <c r="A1183" s="136" t="s">
        <v>288</v>
      </c>
      <c r="B1183" s="136"/>
      <c r="C1183" s="125">
        <v>0</v>
      </c>
      <c r="D1183" s="310">
        <v>6.4820000000000002</v>
      </c>
      <c r="E1183" s="136" t="s">
        <v>99</v>
      </c>
      <c r="F1183" s="335">
        <f>ROUND(C1183*D1183/100,0)</f>
        <v>0</v>
      </c>
      <c r="G1183" s="297">
        <v>6.8330000000000002</v>
      </c>
      <c r="H1183" s="136" t="s">
        <v>99</v>
      </c>
      <c r="I1183" s="335">
        <f>ROUND(G1183*C1183/100,0)</f>
        <v>0</v>
      </c>
      <c r="J1183" s="297">
        <f>J1170</f>
        <v>4.8029999999999999</v>
      </c>
      <c r="K1183" s="136" t="s">
        <v>99</v>
      </c>
      <c r="L1183" s="127">
        <f>ROUND(C1183*J1183/100,0)</f>
        <v>0</v>
      </c>
      <c r="N1183" s="54"/>
      <c r="O1183" s="54"/>
      <c r="P1183" s="109"/>
      <c r="Q1183" s="109"/>
      <c r="R1183" s="109"/>
      <c r="S1183" s="54"/>
      <c r="T1183" s="54"/>
      <c r="U1183" s="54"/>
      <c r="V1183" s="54"/>
      <c r="W1183" s="54"/>
      <c r="X1183" s="54"/>
      <c r="Y1183" s="54"/>
      <c r="Z1183" s="54"/>
      <c r="AA1183" s="54"/>
      <c r="AB1183" s="54"/>
      <c r="AC1183" s="54"/>
      <c r="AD1183" s="54"/>
      <c r="AE1183" s="54"/>
      <c r="AF1183" s="54"/>
      <c r="AG1183" s="54"/>
      <c r="AH1183" s="54"/>
      <c r="AI1183" s="54"/>
    </row>
    <row r="1184" spans="1:37">
      <c r="A1184" s="136" t="s">
        <v>289</v>
      </c>
      <c r="B1184" s="136"/>
      <c r="C1184" s="125">
        <f>1167081</f>
        <v>1167081</v>
      </c>
      <c r="D1184" s="340">
        <v>6.4820000000000002</v>
      </c>
      <c r="E1184" s="136" t="s">
        <v>99</v>
      </c>
      <c r="F1184" s="335">
        <f>ROUND(C1184*D1184/100,0)</f>
        <v>75650</v>
      </c>
      <c r="G1184" s="341">
        <v>6.8330000000000002</v>
      </c>
      <c r="H1184" s="136" t="s">
        <v>99</v>
      </c>
      <c r="I1184" s="335">
        <f>ROUND(G1184*C1184/100,0)</f>
        <v>79747</v>
      </c>
      <c r="J1184" s="341">
        <f>J1183</f>
        <v>4.8029999999999999</v>
      </c>
      <c r="K1184" s="136" t="s">
        <v>99</v>
      </c>
      <c r="L1184" s="127">
        <f>ROUND(J1184*$C1184/100,0)</f>
        <v>56055</v>
      </c>
      <c r="N1184" s="54"/>
      <c r="O1184" s="54"/>
      <c r="P1184" s="109"/>
      <c r="Q1184" s="109"/>
      <c r="R1184" s="109"/>
      <c r="S1184" s="54"/>
      <c r="T1184" s="54"/>
      <c r="U1184" s="54"/>
      <c r="V1184" s="54"/>
      <c r="W1184" s="54"/>
      <c r="X1184" s="54"/>
      <c r="Y1184" s="54"/>
      <c r="Z1184" s="54"/>
      <c r="AA1184" s="54"/>
      <c r="AB1184" s="54"/>
      <c r="AC1184" s="54"/>
      <c r="AD1184" s="54"/>
      <c r="AE1184" s="54"/>
      <c r="AF1184" s="54"/>
      <c r="AG1184" s="54"/>
      <c r="AH1184" s="54"/>
      <c r="AI1184" s="54"/>
    </row>
    <row r="1185" spans="1:37">
      <c r="A1185" s="136" t="s">
        <v>100</v>
      </c>
      <c r="B1185" s="136"/>
      <c r="C1185" s="125">
        <f>1201</f>
        <v>1201</v>
      </c>
      <c r="D1185" s="336"/>
      <c r="E1185" s="136"/>
      <c r="F1185" s="127"/>
      <c r="G1185" s="336"/>
      <c r="H1185" s="136"/>
      <c r="I1185" s="127"/>
      <c r="J1185" s="336"/>
      <c r="K1185" s="136"/>
      <c r="L1185" s="127"/>
      <c r="N1185" s="54"/>
      <c r="O1185" s="54"/>
      <c r="P1185" s="109"/>
      <c r="Q1185" s="109"/>
      <c r="R1185" s="109"/>
      <c r="S1185" s="54"/>
      <c r="T1185" s="54"/>
      <c r="U1185" s="54"/>
      <c r="V1185" s="54"/>
      <c r="W1185" s="54"/>
      <c r="X1185" s="54"/>
      <c r="Y1185" s="54"/>
      <c r="Z1185" s="54"/>
      <c r="AA1185" s="54"/>
      <c r="AB1185" s="54"/>
      <c r="AC1185" s="54"/>
      <c r="AD1185" s="54"/>
      <c r="AE1185" s="54"/>
      <c r="AF1185" s="54"/>
      <c r="AG1185" s="54"/>
      <c r="AH1185" s="54"/>
      <c r="AI1185" s="54"/>
    </row>
    <row r="1186" spans="1:37">
      <c r="A1186" s="134" t="s">
        <v>212</v>
      </c>
      <c r="C1186" s="125">
        <f>C1187</f>
        <v>1167081</v>
      </c>
      <c r="D1186" s="133"/>
      <c r="E1186" s="54"/>
      <c r="F1186" s="127"/>
      <c r="G1186" s="133"/>
      <c r="H1186" s="54"/>
      <c r="I1186" s="127"/>
      <c r="J1186" s="135">
        <f>J1146</f>
        <v>2.246</v>
      </c>
      <c r="K1186" s="136" t="s">
        <v>99</v>
      </c>
      <c r="L1186" s="207">
        <f>ROUND(J1186*$C1186/100,0)</f>
        <v>26213</v>
      </c>
      <c r="N1186" s="128"/>
      <c r="P1186" s="93"/>
      <c r="Q1186" s="108"/>
      <c r="R1186" s="108"/>
      <c r="S1186" s="129"/>
      <c r="T1186" s="129"/>
      <c r="Y1186" s="54"/>
      <c r="Z1186" s="54"/>
      <c r="AA1186" s="54"/>
      <c r="AB1186" s="54"/>
      <c r="AC1186" s="54"/>
      <c r="AD1186" s="54"/>
      <c r="AE1186" s="54"/>
      <c r="AF1186" s="54"/>
      <c r="AG1186" s="54"/>
      <c r="AH1186" s="54"/>
      <c r="AI1186" s="54"/>
      <c r="AK1186" s="128"/>
    </row>
    <row r="1187" spans="1:37">
      <c r="A1187" s="108" t="s">
        <v>265</v>
      </c>
      <c r="C1187" s="125">
        <f>C1183+C1184</f>
        <v>1167081</v>
      </c>
      <c r="D1187" s="133"/>
      <c r="E1187" s="54"/>
      <c r="F1187" s="139">
        <f>SUM(F1182:F1184)</f>
        <v>75650</v>
      </c>
      <c r="G1187" s="133"/>
      <c r="H1187" s="54"/>
      <c r="I1187" s="139">
        <f>SUM(I1182:I1184)</f>
        <v>79747</v>
      </c>
      <c r="J1187" s="133"/>
      <c r="K1187" s="54"/>
      <c r="L1187" s="139">
        <f>SUM(L1182:L1186)</f>
        <v>82268</v>
      </c>
      <c r="N1187" s="54"/>
      <c r="O1187" s="54"/>
      <c r="P1187" s="109"/>
      <c r="Q1187" s="109"/>
      <c r="R1187" s="109"/>
      <c r="S1187" s="54"/>
      <c r="T1187" s="54"/>
      <c r="U1187" s="54"/>
      <c r="V1187" s="54"/>
      <c r="W1187" s="54"/>
      <c r="X1187" s="54"/>
      <c r="Y1187" s="54"/>
      <c r="Z1187" s="54"/>
      <c r="AA1187" s="54"/>
      <c r="AB1187" s="54"/>
      <c r="AC1187" s="54"/>
      <c r="AD1187" s="54"/>
      <c r="AE1187" s="54"/>
      <c r="AF1187" s="54"/>
      <c r="AG1187" s="54"/>
      <c r="AH1187" s="54"/>
      <c r="AI1187" s="54"/>
    </row>
    <row r="1188" spans="1:37">
      <c r="A1188" s="108" t="s">
        <v>266</v>
      </c>
      <c r="C1188" s="125">
        <v>-101897.79395560994</v>
      </c>
      <c r="D1188" s="133"/>
      <c r="E1188" s="54"/>
      <c r="F1188" s="139" t="e">
        <f>#REF!</f>
        <v>#REF!</v>
      </c>
      <c r="G1188" s="133"/>
      <c r="H1188" s="54"/>
      <c r="I1188" s="139">
        <v>-6553.3942164922319</v>
      </c>
      <c r="J1188" s="133"/>
      <c r="K1188" s="54"/>
      <c r="L1188" s="139">
        <f>I1188</f>
        <v>-6553.3942164922319</v>
      </c>
      <c r="N1188" s="164"/>
      <c r="O1188" s="164"/>
      <c r="P1188" s="162"/>
      <c r="Q1188" s="109"/>
      <c r="R1188" s="109"/>
      <c r="S1188" s="54"/>
      <c r="T1188" s="54"/>
      <c r="U1188" s="54"/>
      <c r="V1188" s="54"/>
      <c r="W1188" s="54"/>
      <c r="X1188" s="54"/>
      <c r="Y1188" s="54"/>
      <c r="Z1188" s="54"/>
      <c r="AA1188" s="54"/>
      <c r="AB1188" s="54"/>
      <c r="AC1188" s="54"/>
      <c r="AD1188" s="54"/>
      <c r="AE1188" s="54"/>
      <c r="AF1188" s="54"/>
      <c r="AG1188" s="54"/>
      <c r="AH1188" s="54"/>
      <c r="AI1188" s="54"/>
    </row>
    <row r="1189" spans="1:37" ht="16.5" thickBot="1">
      <c r="A1189" s="136" t="s">
        <v>103</v>
      </c>
      <c r="B1189" s="136"/>
      <c r="C1189" s="302">
        <f>C1187+C1188</f>
        <v>1065183.2060443901</v>
      </c>
      <c r="D1189" s="337"/>
      <c r="E1189" s="338"/>
      <c r="F1189" s="142" t="e">
        <f>F1187+F1188</f>
        <v>#REF!</v>
      </c>
      <c r="G1189" s="339"/>
      <c r="H1189" s="235"/>
      <c r="I1189" s="142">
        <f>I1187+I1188</f>
        <v>73193.605783507766</v>
      </c>
      <c r="J1189" s="339"/>
      <c r="K1189" s="235"/>
      <c r="L1189" s="142">
        <f>L1187+L1188</f>
        <v>75714.605783507766</v>
      </c>
      <c r="N1189" s="165"/>
      <c r="O1189" s="165"/>
      <c r="P1189" s="166"/>
      <c r="Q1189" s="109"/>
      <c r="R1189" s="109"/>
      <c r="S1189" s="54"/>
      <c r="T1189" s="54"/>
      <c r="U1189" s="54"/>
      <c r="V1189" s="54"/>
      <c r="W1189" s="54"/>
      <c r="X1189" s="54"/>
      <c r="Y1189" s="54"/>
      <c r="Z1189" s="54"/>
      <c r="AA1189" s="54"/>
      <c r="AB1189" s="54"/>
      <c r="AC1189" s="54"/>
      <c r="AD1189" s="54"/>
      <c r="AE1189" s="54"/>
      <c r="AF1189" s="54"/>
      <c r="AG1189" s="54"/>
      <c r="AH1189" s="54"/>
      <c r="AI1189" s="54"/>
    </row>
    <row r="1190" spans="1:37" ht="16.5" thickTop="1">
      <c r="A1190" s="136"/>
      <c r="B1190" s="136"/>
      <c r="C1190" s="294"/>
      <c r="D1190" s="342"/>
      <c r="E1190" s="250"/>
      <c r="F1190" s="200"/>
      <c r="G1190" s="342" t="s">
        <v>0</v>
      </c>
      <c r="H1190" s="250"/>
      <c r="I1190" s="200"/>
      <c r="J1190" s="342" t="s">
        <v>0</v>
      </c>
      <c r="K1190" s="250"/>
      <c r="L1190" s="200" t="s">
        <v>0</v>
      </c>
      <c r="N1190" s="54"/>
      <c r="O1190" s="54"/>
      <c r="P1190" s="109"/>
      <c r="Q1190" s="109"/>
      <c r="R1190" s="109"/>
      <c r="S1190" s="54"/>
      <c r="T1190" s="54"/>
      <c r="U1190" s="54"/>
      <c r="V1190" s="54"/>
      <c r="W1190" s="54"/>
      <c r="X1190" s="54"/>
      <c r="Y1190" s="54"/>
      <c r="Z1190" s="54"/>
      <c r="AA1190" s="54"/>
      <c r="AB1190" s="54"/>
      <c r="AC1190" s="54"/>
      <c r="AD1190" s="54"/>
      <c r="AE1190" s="54"/>
      <c r="AF1190" s="54"/>
      <c r="AG1190" s="54"/>
      <c r="AH1190" s="54"/>
      <c r="AI1190" s="54"/>
    </row>
    <row r="1191" spans="1:37">
      <c r="A1191" s="340" t="s">
        <v>290</v>
      </c>
      <c r="B1191" s="136"/>
      <c r="C1191" s="136"/>
      <c r="D1191" s="136"/>
      <c r="E1191" s="136"/>
      <c r="F1191" s="136"/>
      <c r="G1191" s="136"/>
      <c r="H1191" s="136"/>
      <c r="I1191" s="136"/>
      <c r="J1191" s="136"/>
      <c r="K1191" s="136"/>
      <c r="L1191" s="136" t="s">
        <v>0</v>
      </c>
      <c r="N1191" s="54"/>
      <c r="O1191" s="54"/>
      <c r="P1191" s="109"/>
      <c r="Q1191" s="109"/>
      <c r="R1191" s="109"/>
      <c r="S1191" s="54"/>
      <c r="T1191" s="54"/>
      <c r="U1191" s="54"/>
      <c r="V1191" s="54"/>
      <c r="W1191" s="54"/>
      <c r="X1191" s="54"/>
      <c r="Y1191" s="54"/>
      <c r="Z1191" s="54"/>
      <c r="AA1191" s="54"/>
      <c r="AB1191" s="54"/>
      <c r="AC1191" s="54"/>
      <c r="AD1191" s="54"/>
      <c r="AE1191" s="54"/>
      <c r="AF1191" s="54"/>
      <c r="AG1191" s="54"/>
      <c r="AH1191" s="54"/>
      <c r="AI1191" s="54"/>
    </row>
    <row r="1192" spans="1:37">
      <c r="A1192" s="136" t="s">
        <v>68</v>
      </c>
      <c r="B1192" s="136"/>
      <c r="C1192" s="136"/>
      <c r="D1192" s="136"/>
      <c r="E1192" s="136"/>
      <c r="F1192" s="136"/>
      <c r="G1192" s="136"/>
      <c r="H1192" s="136"/>
      <c r="I1192" s="136"/>
      <c r="J1192" s="136"/>
      <c r="K1192" s="136"/>
      <c r="L1192" s="136"/>
      <c r="N1192" s="54"/>
      <c r="O1192" s="54"/>
      <c r="P1192" s="109"/>
      <c r="Q1192" s="109"/>
      <c r="R1192" s="109"/>
      <c r="S1192" s="54"/>
      <c r="T1192" s="54"/>
      <c r="U1192" s="54"/>
      <c r="V1192" s="54"/>
      <c r="W1192" s="54"/>
      <c r="X1192" s="54"/>
      <c r="Y1192" s="54"/>
      <c r="Z1192" s="54"/>
      <c r="AA1192" s="54"/>
      <c r="AB1192" s="54"/>
      <c r="AC1192" s="54"/>
      <c r="AD1192" s="54"/>
      <c r="AE1192" s="54"/>
      <c r="AF1192" s="54"/>
      <c r="AG1192" s="54"/>
      <c r="AH1192" s="54"/>
      <c r="AI1192" s="54"/>
    </row>
    <row r="1193" spans="1:37">
      <c r="A1193" s="136"/>
      <c r="B1193" s="136"/>
      <c r="C1193" s="136"/>
      <c r="D1193" s="136"/>
      <c r="E1193" s="136"/>
      <c r="F1193" s="136"/>
      <c r="G1193" s="136"/>
      <c r="H1193" s="136"/>
      <c r="I1193" s="136"/>
      <c r="J1193" s="136"/>
      <c r="K1193" s="136"/>
      <c r="L1193" s="136"/>
      <c r="N1193" s="54"/>
      <c r="O1193" s="54"/>
      <c r="P1193" s="109"/>
      <c r="Q1193" s="109"/>
      <c r="R1193" s="109"/>
      <c r="S1193" s="54"/>
      <c r="T1193" s="54"/>
      <c r="U1193" s="54"/>
      <c r="V1193" s="54"/>
      <c r="W1193" s="54"/>
      <c r="X1193" s="54"/>
      <c r="Y1193" s="54"/>
      <c r="Z1193" s="54"/>
      <c r="AA1193" s="54"/>
      <c r="AB1193" s="54"/>
      <c r="AC1193" s="54"/>
      <c r="AD1193" s="54"/>
      <c r="AE1193" s="54"/>
      <c r="AF1193" s="54"/>
      <c r="AG1193" s="54"/>
      <c r="AH1193" s="54"/>
      <c r="AI1193" s="54"/>
    </row>
    <row r="1194" spans="1:37">
      <c r="A1194" s="136" t="s">
        <v>291</v>
      </c>
      <c r="B1194" s="136"/>
      <c r="C1194" s="168">
        <f>177</f>
        <v>177</v>
      </c>
      <c r="D1194" s="172">
        <v>3.5</v>
      </c>
      <c r="E1194" s="136"/>
      <c r="F1194" s="127">
        <f>ROUND(D1194*C1194,0)</f>
        <v>620</v>
      </c>
      <c r="G1194" s="172">
        <v>3.75</v>
      </c>
      <c r="H1194" s="136"/>
      <c r="I1194" s="127">
        <f>ROUND(C1194*G1194,0)</f>
        <v>664</v>
      </c>
      <c r="J1194" s="172">
        <v>4</v>
      </c>
      <c r="K1194" s="136"/>
      <c r="L1194" s="127">
        <f>ROUND(J1194*$C1194,0)</f>
        <v>708</v>
      </c>
      <c r="N1194" s="128" t="e">
        <f>J1194*#REF!</f>
        <v>#REF!</v>
      </c>
      <c r="O1194" s="54"/>
      <c r="P1194" s="344"/>
      <c r="Q1194" s="344"/>
      <c r="R1194" s="344"/>
      <c r="S1194" s="54"/>
      <c r="T1194" s="54"/>
      <c r="U1194" s="54"/>
      <c r="V1194" s="54"/>
      <c r="W1194" s="54"/>
      <c r="X1194" s="54"/>
      <c r="Y1194" s="54"/>
      <c r="Z1194" s="54"/>
      <c r="AA1194" s="54"/>
      <c r="AB1194" s="54"/>
      <c r="AC1194" s="54"/>
      <c r="AD1194" s="54"/>
      <c r="AE1194" s="54"/>
      <c r="AF1194" s="54"/>
      <c r="AG1194" s="54"/>
      <c r="AH1194" s="54"/>
      <c r="AI1194" s="54"/>
    </row>
    <row r="1195" spans="1:37">
      <c r="A1195" s="136" t="s">
        <v>292</v>
      </c>
      <c r="B1195" s="136"/>
      <c r="C1195" s="168">
        <f>172</f>
        <v>172</v>
      </c>
      <c r="D1195" s="172">
        <v>6.5</v>
      </c>
      <c r="E1195" s="136"/>
      <c r="F1195" s="127">
        <f>ROUND(D1195*C1195,0)</f>
        <v>1118</v>
      </c>
      <c r="G1195" s="172">
        <v>6.75</v>
      </c>
      <c r="H1195" s="136"/>
      <c r="I1195" s="127">
        <f>ROUND(C1195*G1195,0)</f>
        <v>1161</v>
      </c>
      <c r="J1195" s="172">
        <v>7</v>
      </c>
      <c r="K1195" s="136"/>
      <c r="L1195" s="127">
        <f>ROUND(J1195*$C1195,0)</f>
        <v>1204</v>
      </c>
      <c r="N1195" s="128" t="e">
        <f>J1195*#REF!</f>
        <v>#REF!</v>
      </c>
      <c r="O1195" s="54"/>
      <c r="P1195" s="344"/>
      <c r="Q1195" s="344"/>
      <c r="R1195" s="344"/>
      <c r="S1195" s="54"/>
      <c r="T1195" s="54"/>
      <c r="U1195" s="54"/>
      <c r="V1195" s="54"/>
      <c r="W1195" s="54"/>
      <c r="X1195" s="54"/>
      <c r="Y1195" s="54"/>
      <c r="Z1195" s="54"/>
      <c r="AA1195" s="54"/>
      <c r="AB1195" s="54"/>
      <c r="AC1195" s="54"/>
      <c r="AD1195" s="54"/>
      <c r="AE1195" s="54"/>
      <c r="AF1195" s="54"/>
      <c r="AG1195" s="54"/>
      <c r="AH1195" s="54"/>
      <c r="AI1195" s="54"/>
    </row>
    <row r="1196" spans="1:37">
      <c r="A1196" s="136" t="s">
        <v>293</v>
      </c>
      <c r="B1196" s="136"/>
      <c r="C1196" s="168">
        <f>SUM(C1194:C1195)</f>
        <v>349</v>
      </c>
      <c r="D1196" s="188"/>
      <c r="E1196" s="136"/>
      <c r="F1196" s="335"/>
      <c r="G1196" s="188"/>
      <c r="H1196" s="136"/>
      <c r="I1196" s="335"/>
      <c r="J1196" s="188"/>
      <c r="K1196" s="136"/>
      <c r="L1196" s="127"/>
      <c r="N1196" s="54"/>
      <c r="O1196" s="54"/>
      <c r="P1196" s="344"/>
      <c r="Q1196" s="344"/>
      <c r="R1196" s="344"/>
      <c r="S1196" s="54"/>
      <c r="T1196" s="54"/>
      <c r="U1196" s="54"/>
      <c r="V1196" s="54"/>
      <c r="W1196" s="54"/>
      <c r="X1196" s="54"/>
      <c r="Y1196" s="54"/>
      <c r="Z1196" s="54"/>
      <c r="AA1196" s="54"/>
      <c r="AB1196" s="54"/>
      <c r="AC1196" s="54"/>
      <c r="AD1196" s="54"/>
      <c r="AE1196" s="54"/>
      <c r="AF1196" s="54"/>
      <c r="AG1196" s="54"/>
      <c r="AH1196" s="54"/>
      <c r="AI1196" s="54"/>
    </row>
    <row r="1197" spans="1:37">
      <c r="A1197" s="136" t="s">
        <v>211</v>
      </c>
      <c r="B1197" s="136"/>
      <c r="C1197" s="168">
        <f>77267+205979</f>
        <v>283246</v>
      </c>
      <c r="D1197" s="267">
        <v>7.7190000000000003</v>
      </c>
      <c r="E1197" s="136" t="s">
        <v>99</v>
      </c>
      <c r="F1197" s="335">
        <f>ROUND(C1197*D1197/100,0)</f>
        <v>21864</v>
      </c>
      <c r="G1197" s="267">
        <v>8.1110000000000007</v>
      </c>
      <c r="H1197" s="127" t="s">
        <v>99</v>
      </c>
      <c r="I1197" s="335">
        <f>ROUND(G1197*C1197/100,0)</f>
        <v>22974</v>
      </c>
      <c r="J1197" s="267">
        <v>6.1310000000000002</v>
      </c>
      <c r="K1197" s="127" t="s">
        <v>99</v>
      </c>
      <c r="L1197" s="127">
        <f>ROUND(J1197*$C1197/100,0)</f>
        <v>17366</v>
      </c>
      <c r="N1197" s="128" t="e">
        <f>(J1197/100)*#REF!</f>
        <v>#REF!</v>
      </c>
      <c r="O1197" s="54"/>
      <c r="P1197" s="344"/>
      <c r="Q1197" s="344"/>
      <c r="R1197" s="344"/>
      <c r="S1197" s="54"/>
      <c r="T1197" s="54"/>
      <c r="U1197" s="54"/>
      <c r="V1197" s="54"/>
      <c r="W1197" s="54"/>
      <c r="X1197" s="54"/>
      <c r="Y1197" s="54"/>
      <c r="Z1197" s="54"/>
      <c r="AA1197" s="54"/>
      <c r="AB1197" s="54"/>
      <c r="AC1197" s="54"/>
      <c r="AD1197" s="54"/>
      <c r="AE1197" s="54"/>
      <c r="AF1197" s="54"/>
      <c r="AG1197" s="54"/>
      <c r="AH1197" s="54"/>
      <c r="AI1197" s="54"/>
    </row>
    <row r="1198" spans="1:37">
      <c r="A1198" s="134" t="s">
        <v>212</v>
      </c>
      <c r="C1198" s="125">
        <f>C1200</f>
        <v>283246</v>
      </c>
      <c r="D1198" s="133"/>
      <c r="E1198" s="54"/>
      <c r="F1198" s="127"/>
      <c r="G1198" s="133"/>
      <c r="H1198" s="54"/>
      <c r="I1198" s="127"/>
      <c r="J1198" s="135">
        <f>ROUND(O1198/C1198*100,3)</f>
        <v>2.246</v>
      </c>
      <c r="K1198" s="207" t="s">
        <v>99</v>
      </c>
      <c r="L1198" s="207">
        <f>ROUND(J1198*$C1198/100,0)</f>
        <v>6362</v>
      </c>
      <c r="N1198" s="128"/>
      <c r="O1198" s="128">
        <v>6362.244148869735</v>
      </c>
      <c r="P1198" s="93" t="s">
        <v>18</v>
      </c>
      <c r="Q1198" s="108"/>
      <c r="R1198" s="108"/>
      <c r="S1198" s="129"/>
      <c r="T1198" s="129"/>
      <c r="Y1198" s="54"/>
      <c r="Z1198" s="54"/>
      <c r="AA1198" s="54"/>
      <c r="AB1198" s="54"/>
      <c r="AC1198" s="54"/>
      <c r="AD1198" s="54"/>
      <c r="AE1198" s="54"/>
      <c r="AF1198" s="54"/>
      <c r="AG1198" s="54"/>
      <c r="AH1198" s="54"/>
      <c r="AI1198" s="54"/>
      <c r="AK1198" s="128"/>
    </row>
    <row r="1199" spans="1:37">
      <c r="A1199" s="179" t="s">
        <v>264</v>
      </c>
      <c r="B1199" s="180"/>
      <c r="C1199" s="322"/>
      <c r="D1199" s="182"/>
      <c r="E1199" s="183"/>
      <c r="F1199" s="184"/>
      <c r="G1199" s="268">
        <f>G1197</f>
        <v>8.1110000000000007</v>
      </c>
      <c r="H1199" s="184" t="s">
        <v>99</v>
      </c>
      <c r="I1199" s="184"/>
      <c r="J1199" s="268">
        <f>J1197+J1198</f>
        <v>8.3770000000000007</v>
      </c>
      <c r="K1199" s="184" t="s">
        <v>99</v>
      </c>
      <c r="L1199" s="269"/>
      <c r="N1199" s="128"/>
      <c r="O1199" s="128"/>
      <c r="P1199" s="93"/>
      <c r="R1199" s="108"/>
      <c r="S1199" s="129"/>
      <c r="T1199" s="129"/>
      <c r="Y1199" s="54"/>
      <c r="Z1199" s="54"/>
      <c r="AA1199" s="54"/>
      <c r="AB1199" s="54"/>
      <c r="AC1199" s="54"/>
      <c r="AD1199" s="54"/>
      <c r="AE1199" s="54"/>
      <c r="AF1199" s="54"/>
      <c r="AG1199" s="54"/>
      <c r="AH1199" s="54"/>
      <c r="AI1199" s="54"/>
      <c r="AK1199" s="128"/>
    </row>
    <row r="1200" spans="1:37">
      <c r="A1200" s="136" t="s">
        <v>122</v>
      </c>
      <c r="B1200" s="136"/>
      <c r="C1200" s="205">
        <f>SUM(C1197)</f>
        <v>283246</v>
      </c>
      <c r="D1200" s="168"/>
      <c r="E1200" s="168"/>
      <c r="F1200" s="335">
        <f>SUM(F1194:F1197)</f>
        <v>23602</v>
      </c>
      <c r="G1200" s="168"/>
      <c r="H1200" s="127"/>
      <c r="I1200" s="335">
        <f>SUM(I1194:I1197)</f>
        <v>24799</v>
      </c>
      <c r="J1200" s="168"/>
      <c r="K1200" s="127"/>
      <c r="L1200" s="335">
        <f>SUM(L1194:L1198)</f>
        <v>25640</v>
      </c>
      <c r="N1200" s="243" t="e">
        <f>SUM(N1194:N1197)</f>
        <v>#REF!</v>
      </c>
      <c r="O1200" s="54"/>
      <c r="P1200" s="109"/>
      <c r="Q1200" s="109"/>
      <c r="R1200" s="109"/>
      <c r="S1200" s="54"/>
      <c r="T1200" s="54"/>
      <c r="U1200" s="54"/>
      <c r="V1200" s="54"/>
      <c r="W1200" s="54"/>
      <c r="X1200" s="54"/>
      <c r="Y1200" s="54"/>
      <c r="Z1200" s="54"/>
      <c r="AA1200" s="54"/>
      <c r="AB1200" s="54"/>
      <c r="AC1200" s="54"/>
      <c r="AD1200" s="54"/>
      <c r="AE1200" s="54"/>
      <c r="AF1200" s="54"/>
      <c r="AG1200" s="54"/>
      <c r="AH1200" s="54"/>
      <c r="AI1200" s="54"/>
    </row>
    <row r="1201" spans="1:35">
      <c r="A1201" s="136" t="s">
        <v>102</v>
      </c>
      <c r="B1201" s="136"/>
      <c r="C1201" s="246">
        <v>-730.25779208267056</v>
      </c>
      <c r="D1201" s="345"/>
      <c r="E1201" s="345"/>
      <c r="F1201" s="346" t="e">
        <f>#REF!</f>
        <v>#REF!</v>
      </c>
      <c r="G1201" s="347"/>
      <c r="H1201" s="347"/>
      <c r="I1201" s="346">
        <v>-73.380560007788219</v>
      </c>
      <c r="J1201" s="347"/>
      <c r="K1201" s="347"/>
      <c r="L1201" s="346">
        <f>I1201</f>
        <v>-73.380560007788219</v>
      </c>
      <c r="N1201" s="230"/>
      <c r="O1201" s="230"/>
      <c r="P1201" s="275"/>
      <c r="Q1201" s="109"/>
      <c r="R1201" s="109"/>
      <c r="S1201" s="54"/>
      <c r="T1201" s="54"/>
      <c r="U1201" s="54"/>
      <c r="V1201" s="54"/>
      <c r="W1201" s="54"/>
      <c r="X1201" s="54"/>
      <c r="Y1201" s="54"/>
      <c r="Z1201" s="54"/>
      <c r="AA1201" s="54"/>
      <c r="AB1201" s="54"/>
      <c r="AC1201" s="54"/>
      <c r="AD1201" s="54"/>
      <c r="AE1201" s="54"/>
      <c r="AF1201" s="54"/>
      <c r="AG1201" s="54"/>
      <c r="AH1201" s="54"/>
      <c r="AI1201" s="54"/>
    </row>
    <row r="1202" spans="1:35" ht="16.5" thickBot="1">
      <c r="A1202" s="136" t="s">
        <v>123</v>
      </c>
      <c r="B1202" s="136"/>
      <c r="C1202" s="263">
        <f>C1200+C1201</f>
        <v>282515.74220791733</v>
      </c>
      <c r="D1202" s="235"/>
      <c r="E1202" s="235"/>
      <c r="F1202" s="143" t="e">
        <f>F1200+F1201</f>
        <v>#REF!</v>
      </c>
      <c r="G1202" s="235"/>
      <c r="H1202" s="235"/>
      <c r="I1202" s="143">
        <f>I1200+I1201</f>
        <v>24725.619439992213</v>
      </c>
      <c r="J1202" s="235"/>
      <c r="K1202" s="235"/>
      <c r="L1202" s="143">
        <f>L1200+L1201</f>
        <v>25566.619439992213</v>
      </c>
      <c r="N1202" s="237"/>
      <c r="O1202" s="330" t="s">
        <v>154</v>
      </c>
      <c r="P1202" s="145">
        <v>25566.785013340748</v>
      </c>
      <c r="Q1202" s="146">
        <f>(J1199-G1199)/G1199</f>
        <v>3.2794969794106767E-2</v>
      </c>
      <c r="R1202" s="109"/>
      <c r="S1202" s="54"/>
      <c r="T1202" s="54"/>
      <c r="U1202" s="54"/>
      <c r="V1202" s="54"/>
      <c r="W1202" s="54"/>
      <c r="X1202" s="54"/>
      <c r="Y1202" s="54"/>
      <c r="Z1202" s="54"/>
      <c r="AA1202" s="54"/>
      <c r="AB1202" s="54"/>
      <c r="AC1202" s="54"/>
      <c r="AD1202" s="54"/>
      <c r="AE1202" s="54"/>
      <c r="AF1202" s="54"/>
      <c r="AG1202" s="54"/>
      <c r="AH1202" s="54"/>
      <c r="AI1202" s="54"/>
    </row>
    <row r="1203" spans="1:35" ht="16.5" thickTop="1">
      <c r="A1203" s="136"/>
      <c r="B1203" s="195"/>
      <c r="C1203" s="136"/>
      <c r="D1203" s="136"/>
      <c r="E1203" s="136"/>
      <c r="F1203" s="136"/>
      <c r="G1203" s="136" t="s">
        <v>0</v>
      </c>
      <c r="H1203" s="136"/>
      <c r="I1203" s="136"/>
      <c r="J1203" s="136" t="s">
        <v>0</v>
      </c>
      <c r="K1203" s="136"/>
      <c r="L1203" s="127" t="s">
        <v>0</v>
      </c>
      <c r="N1203" s="54"/>
      <c r="O1203" s="333" t="s">
        <v>105</v>
      </c>
      <c r="P1203" s="151">
        <f>P1202-L1202</f>
        <v>0.16557334853496286</v>
      </c>
      <c r="Q1203" s="240" t="s">
        <v>0</v>
      </c>
      <c r="R1203" s="153"/>
      <c r="S1203" s="54"/>
      <c r="T1203" s="54"/>
      <c r="U1203" s="54"/>
      <c r="V1203" s="54"/>
      <c r="W1203" s="54"/>
      <c r="X1203" s="54"/>
      <c r="Y1203" s="54"/>
      <c r="Z1203" s="54"/>
      <c r="AA1203" s="54"/>
      <c r="AB1203" s="54"/>
      <c r="AC1203" s="54"/>
      <c r="AD1203" s="54"/>
      <c r="AE1203" s="54"/>
      <c r="AF1203" s="54"/>
      <c r="AG1203" s="54"/>
      <c r="AH1203" s="54"/>
      <c r="AI1203" s="54"/>
    </row>
    <row r="1204" spans="1:35">
      <c r="A1204" s="134" t="s">
        <v>294</v>
      </c>
      <c r="B1204" s="177"/>
      <c r="C1204" s="177"/>
      <c r="D1204" s="177"/>
      <c r="E1204" s="177"/>
      <c r="F1204" s="177"/>
      <c r="G1204" s="177"/>
      <c r="H1204" s="177"/>
      <c r="I1204" s="177"/>
      <c r="J1204" s="177"/>
      <c r="K1204" s="177"/>
      <c r="L1204" s="177"/>
      <c r="N1204" s="54"/>
      <c r="O1204" s="54"/>
      <c r="P1204" s="109"/>
      <c r="Q1204" s="109"/>
      <c r="R1204" s="109"/>
      <c r="S1204" s="54"/>
      <c r="T1204" s="54"/>
      <c r="U1204" s="54"/>
      <c r="V1204" s="54"/>
      <c r="W1204" s="54"/>
      <c r="X1204" s="54"/>
      <c r="Y1204" s="54"/>
      <c r="Z1204" s="54"/>
      <c r="AA1204" s="54"/>
      <c r="AB1204" s="54"/>
      <c r="AC1204" s="54"/>
      <c r="AD1204" s="54"/>
      <c r="AE1204" s="54"/>
      <c r="AF1204" s="54"/>
      <c r="AG1204" s="54"/>
      <c r="AH1204" s="54"/>
      <c r="AI1204" s="54"/>
    </row>
    <row r="1205" spans="1:35">
      <c r="A1205" s="177" t="s">
        <v>295</v>
      </c>
      <c r="B1205" s="177"/>
      <c r="C1205" s="177"/>
      <c r="D1205" s="177"/>
      <c r="E1205" s="177"/>
      <c r="F1205" s="177"/>
      <c r="G1205" s="177"/>
      <c r="H1205" s="177"/>
      <c r="I1205" s="177"/>
      <c r="J1205" s="177"/>
      <c r="K1205" s="177"/>
      <c r="L1205" s="177"/>
      <c r="N1205" s="154"/>
      <c r="O1205" s="154"/>
      <c r="P1205" s="154"/>
      <c r="Q1205" s="154"/>
      <c r="R1205" s="154"/>
      <c r="S1205" s="154"/>
      <c r="T1205" s="154"/>
      <c r="U1205" s="154"/>
      <c r="V1205" s="154"/>
      <c r="W1205" s="154"/>
      <c r="X1205" s="154"/>
      <c r="Y1205" s="154"/>
      <c r="Z1205" s="154"/>
      <c r="AA1205" s="154"/>
      <c r="AB1205" s="154"/>
      <c r="AC1205" s="154"/>
      <c r="AD1205" s="154"/>
      <c r="AE1205" s="54"/>
      <c r="AF1205" s="54"/>
      <c r="AG1205" s="54"/>
      <c r="AH1205" s="54"/>
      <c r="AI1205" s="54"/>
    </row>
    <row r="1206" spans="1:35">
      <c r="A1206" s="348" t="s">
        <v>296</v>
      </c>
      <c r="B1206" s="177"/>
      <c r="C1206" s="177"/>
      <c r="D1206" s="177"/>
      <c r="E1206" s="177"/>
      <c r="F1206" s="177"/>
      <c r="G1206" s="177"/>
      <c r="H1206" s="177"/>
      <c r="I1206" s="177"/>
      <c r="J1206" s="177"/>
      <c r="K1206" s="177"/>
      <c r="L1206" s="177"/>
      <c r="N1206" s="154"/>
      <c r="O1206" s="154"/>
      <c r="P1206" s="154"/>
      <c r="Q1206" s="154"/>
      <c r="R1206" s="154"/>
      <c r="S1206" s="154"/>
      <c r="T1206" s="154"/>
      <c r="U1206" s="154"/>
      <c r="V1206" s="154"/>
      <c r="W1206" s="154"/>
      <c r="X1206" s="154"/>
      <c r="Y1206" s="154"/>
      <c r="Z1206" s="154"/>
      <c r="AA1206" s="154"/>
      <c r="AB1206" s="154"/>
      <c r="AC1206" s="154"/>
      <c r="AD1206" s="154"/>
      <c r="AE1206" s="54"/>
      <c r="AF1206" s="54"/>
      <c r="AG1206" s="54"/>
      <c r="AH1206" s="54"/>
      <c r="AI1206" s="54"/>
    </row>
    <row r="1207" spans="1:35">
      <c r="A1207" s="108" t="s">
        <v>297</v>
      </c>
      <c r="F1207" s="124"/>
      <c r="I1207" s="124"/>
      <c r="N1207" s="154"/>
      <c r="O1207" s="154"/>
      <c r="P1207" s="154"/>
      <c r="Q1207" s="109"/>
      <c r="R1207" s="109"/>
      <c r="S1207" s="155"/>
      <c r="T1207" s="155"/>
      <c r="U1207" s="156"/>
      <c r="V1207" s="156"/>
      <c r="W1207" s="156"/>
      <c r="X1207" s="156"/>
      <c r="Y1207" s="349"/>
      <c r="Z1207" s="158"/>
      <c r="AA1207" s="154"/>
      <c r="AB1207" s="154"/>
      <c r="AC1207" s="154"/>
      <c r="AD1207" s="154"/>
      <c r="AE1207" s="54"/>
      <c r="AF1207" s="54"/>
      <c r="AG1207" s="54"/>
      <c r="AH1207" s="54"/>
      <c r="AI1207" s="54"/>
    </row>
    <row r="1208" spans="1:35">
      <c r="A1208" s="108" t="s">
        <v>90</v>
      </c>
      <c r="C1208" s="125">
        <f>12985</f>
        <v>12985</v>
      </c>
      <c r="D1208" s="126">
        <v>9.25</v>
      </c>
      <c r="F1208" s="127">
        <f>ROUND(D1208*$C1208,0)</f>
        <v>120111</v>
      </c>
      <c r="G1208" s="126">
        <v>9.75</v>
      </c>
      <c r="I1208" s="127">
        <f>ROUND(C1208*G1208,0)</f>
        <v>126604</v>
      </c>
      <c r="J1208" s="126">
        <f>ROUND(G1208+(G1208*$Q$1241),2)</f>
        <v>8.25</v>
      </c>
      <c r="L1208" s="127">
        <f>ROUND(J1208*$C1208,0)</f>
        <v>107126</v>
      </c>
      <c r="N1208" s="128" t="e">
        <f>J1208*#REF!</f>
        <v>#REF!</v>
      </c>
      <c r="O1208" s="54"/>
      <c r="P1208" s="157"/>
      <c r="Q1208" s="109"/>
      <c r="R1208" s="109"/>
      <c r="S1208" s="328"/>
      <c r="T1208" s="328"/>
      <c r="U1208" s="159"/>
      <c r="V1208" s="159"/>
      <c r="W1208" s="159"/>
      <c r="X1208" s="159"/>
      <c r="Y1208" s="160"/>
      <c r="Z1208" s="154"/>
      <c r="AA1208" s="157"/>
      <c r="AB1208" s="157"/>
      <c r="AC1208" s="350"/>
      <c r="AD1208" s="157"/>
      <c r="AE1208" s="54"/>
      <c r="AF1208" s="54"/>
      <c r="AG1208" s="54"/>
      <c r="AH1208" s="54"/>
      <c r="AI1208" s="54"/>
    </row>
    <row r="1209" spans="1:35">
      <c r="A1209" s="108" t="s">
        <v>91</v>
      </c>
      <c r="C1209" s="125">
        <f>1930</f>
        <v>1930</v>
      </c>
      <c r="D1209" s="126">
        <v>16.940000000000001</v>
      </c>
      <c r="F1209" s="127">
        <f>ROUND(D1209*$C1209,0)</f>
        <v>32694</v>
      </c>
      <c r="G1209" s="126">
        <v>17.850000000000001</v>
      </c>
      <c r="I1209" s="127">
        <f t="shared" ref="I1209:I1213" si="154">ROUND(C1209*G1209,0)</f>
        <v>34451</v>
      </c>
      <c r="J1209" s="126">
        <f t="shared" ref="J1209:J1213" si="155">ROUND(G1209+(G1209*$Q$1241),2)</f>
        <v>15.11</v>
      </c>
      <c r="L1209" s="127">
        <f>ROUND(J1209*$C1209,0)</f>
        <v>29162</v>
      </c>
      <c r="N1209" s="128" t="e">
        <f>J1209*#REF!</f>
        <v>#REF!</v>
      </c>
      <c r="O1209" s="54"/>
      <c r="P1209" s="157"/>
      <c r="Q1209" s="109"/>
      <c r="R1209" s="109"/>
      <c r="S1209" s="328"/>
      <c r="T1209" s="328"/>
      <c r="U1209" s="159"/>
      <c r="V1209" s="159"/>
      <c r="W1209" s="159"/>
      <c r="X1209" s="159"/>
      <c r="Y1209" s="154"/>
      <c r="Z1209" s="154"/>
      <c r="AA1209" s="157"/>
      <c r="AB1209" s="157"/>
      <c r="AC1209" s="350"/>
      <c r="AD1209" s="157"/>
      <c r="AE1209" s="54"/>
      <c r="AF1209" s="54"/>
      <c r="AG1209" s="54"/>
      <c r="AH1209" s="54"/>
      <c r="AI1209" s="54"/>
    </row>
    <row r="1210" spans="1:35">
      <c r="A1210" s="108" t="s">
        <v>92</v>
      </c>
      <c r="C1210" s="125">
        <v>0</v>
      </c>
      <c r="D1210" s="126">
        <v>34.25</v>
      </c>
      <c r="F1210" s="127">
        <f>ROUND(D1210*$C1210,0)</f>
        <v>0</v>
      </c>
      <c r="G1210" s="126">
        <v>36.1</v>
      </c>
      <c r="I1210" s="127">
        <f t="shared" si="154"/>
        <v>0</v>
      </c>
      <c r="J1210" s="126">
        <f t="shared" si="155"/>
        <v>30.56</v>
      </c>
      <c r="L1210" s="127">
        <f>ROUND(J1210*$C1210,0)</f>
        <v>0</v>
      </c>
      <c r="N1210" s="128" t="e">
        <f>J1210*#REF!</f>
        <v>#REF!</v>
      </c>
      <c r="O1210" s="54"/>
      <c r="P1210" s="157"/>
      <c r="Q1210" s="109"/>
      <c r="R1210" s="109"/>
      <c r="S1210" s="328"/>
      <c r="T1210" s="328"/>
      <c r="U1210" s="159"/>
      <c r="V1210" s="159"/>
      <c r="W1210" s="159"/>
      <c r="X1210" s="159"/>
      <c r="Y1210" s="154"/>
      <c r="Z1210" s="154"/>
      <c r="AA1210" s="157"/>
      <c r="AB1210" s="157"/>
      <c r="AC1210" s="350"/>
      <c r="AD1210" s="157"/>
      <c r="AE1210" s="54"/>
      <c r="AF1210" s="54"/>
      <c r="AG1210" s="54"/>
      <c r="AH1210" s="54"/>
      <c r="AI1210" s="54"/>
    </row>
    <row r="1211" spans="1:35">
      <c r="A1211" s="108" t="s">
        <v>298</v>
      </c>
      <c r="C1211" s="125"/>
      <c r="D1211" s="132"/>
      <c r="F1211" s="124"/>
      <c r="G1211" s="132"/>
      <c r="I1211" s="124"/>
      <c r="J1211" s="132"/>
      <c r="O1211" s="54"/>
      <c r="P1211" s="157"/>
      <c r="Q1211" s="109"/>
      <c r="R1211" s="109"/>
      <c r="S1211" s="54"/>
      <c r="T1211" s="54"/>
      <c r="U1211" s="162"/>
      <c r="V1211" s="162"/>
      <c r="W1211" s="162"/>
      <c r="X1211" s="162"/>
      <c r="Y1211" s="154"/>
      <c r="Z1211" s="154"/>
      <c r="AA1211" s="157"/>
      <c r="AB1211" s="157"/>
      <c r="AC1211" s="350"/>
      <c r="AD1211" s="157"/>
      <c r="AE1211" s="54"/>
      <c r="AF1211" s="54"/>
      <c r="AG1211" s="54"/>
      <c r="AH1211" s="54"/>
      <c r="AI1211" s="54"/>
    </row>
    <row r="1212" spans="1:35">
      <c r="A1212" s="108" t="s">
        <v>90</v>
      </c>
      <c r="C1212" s="125">
        <f>4846</f>
        <v>4846</v>
      </c>
      <c r="D1212" s="126">
        <v>8.68</v>
      </c>
      <c r="F1212" s="127">
        <f>ROUND(D1212*$C1212,0)</f>
        <v>42063</v>
      </c>
      <c r="G1212" s="126">
        <v>9.15</v>
      </c>
      <c r="I1212" s="127">
        <f t="shared" si="154"/>
        <v>44341</v>
      </c>
      <c r="J1212" s="126">
        <f t="shared" si="155"/>
        <v>7.75</v>
      </c>
      <c r="L1212" s="127">
        <f>ROUND(J1212*$C1212,0)</f>
        <v>37557</v>
      </c>
      <c r="N1212" s="128" t="e">
        <f>J1212*#REF!</f>
        <v>#REF!</v>
      </c>
      <c r="O1212" s="54"/>
      <c r="P1212" s="157"/>
      <c r="Q1212" s="109"/>
      <c r="R1212" s="109"/>
      <c r="S1212" s="328"/>
      <c r="T1212" s="328"/>
      <c r="U1212" s="159"/>
      <c r="V1212" s="159"/>
      <c r="W1212" s="159"/>
      <c r="X1212" s="159"/>
      <c r="Y1212" s="54"/>
      <c r="Z1212" s="54"/>
      <c r="AA1212" s="157"/>
      <c r="AB1212" s="157"/>
      <c r="AC1212" s="350"/>
      <c r="AD1212" s="157"/>
      <c r="AE1212" s="54"/>
      <c r="AF1212" s="54"/>
      <c r="AG1212" s="54"/>
      <c r="AH1212" s="54"/>
      <c r="AI1212" s="54"/>
    </row>
    <row r="1213" spans="1:35">
      <c r="A1213" s="108" t="s">
        <v>91</v>
      </c>
      <c r="C1213" s="125">
        <v>0</v>
      </c>
      <c r="D1213" s="126">
        <v>15.8</v>
      </c>
      <c r="F1213" s="127">
        <f>ROUND(D1213*$C1213,0)</f>
        <v>0</v>
      </c>
      <c r="G1213" s="126">
        <v>16.649999999999999</v>
      </c>
      <c r="I1213" s="127">
        <f t="shared" si="154"/>
        <v>0</v>
      </c>
      <c r="J1213" s="126">
        <f t="shared" si="155"/>
        <v>14.09</v>
      </c>
      <c r="L1213" s="127">
        <f>ROUND(J1213*$C1213,0)</f>
        <v>0</v>
      </c>
      <c r="N1213" s="128" t="e">
        <f>J1213*#REF!</f>
        <v>#REF!</v>
      </c>
      <c r="O1213" s="54"/>
      <c r="P1213" s="157"/>
      <c r="Q1213" s="109"/>
      <c r="R1213" s="109"/>
      <c r="S1213" s="328"/>
      <c r="T1213" s="328"/>
      <c r="U1213" s="159"/>
      <c r="V1213" s="159"/>
      <c r="W1213" s="159"/>
      <c r="X1213" s="159"/>
      <c r="Y1213" s="54"/>
      <c r="Z1213" s="54"/>
      <c r="AA1213" s="157"/>
      <c r="AB1213" s="157"/>
      <c r="AC1213" s="350"/>
      <c r="AD1213" s="157"/>
      <c r="AE1213" s="54"/>
      <c r="AF1213" s="54"/>
      <c r="AG1213" s="54"/>
      <c r="AH1213" s="54"/>
      <c r="AI1213" s="54"/>
    </row>
    <row r="1214" spans="1:35">
      <c r="A1214" s="348" t="s">
        <v>299</v>
      </c>
      <c r="C1214" s="125"/>
      <c r="D1214" s="126"/>
      <c r="F1214" s="127"/>
      <c r="G1214" s="126"/>
      <c r="I1214" s="127"/>
      <c r="J1214" s="126"/>
      <c r="L1214" s="127"/>
      <c r="O1214" s="54"/>
      <c r="P1214" s="157"/>
      <c r="Q1214" s="109"/>
      <c r="R1214" s="109"/>
      <c r="S1214" s="54"/>
      <c r="T1214" s="54"/>
      <c r="U1214" s="54"/>
      <c r="V1214" s="54"/>
      <c r="W1214" s="54"/>
      <c r="X1214" s="54"/>
      <c r="Y1214" s="54"/>
      <c r="Z1214" s="54"/>
      <c r="AA1214" s="54"/>
      <c r="AB1214" s="54"/>
      <c r="AC1214" s="350"/>
      <c r="AD1214" s="54"/>
      <c r="AE1214" s="54"/>
      <c r="AF1214" s="54"/>
      <c r="AG1214" s="54"/>
      <c r="AH1214" s="54"/>
      <c r="AI1214" s="54"/>
    </row>
    <row r="1215" spans="1:35">
      <c r="A1215" s="108" t="s">
        <v>297</v>
      </c>
      <c r="C1215" s="125"/>
      <c r="D1215" s="132"/>
      <c r="F1215" s="124"/>
      <c r="G1215" s="132"/>
      <c r="I1215" s="124"/>
      <c r="J1215" s="132"/>
      <c r="O1215" s="54"/>
      <c r="P1215" s="109"/>
      <c r="Q1215" s="109"/>
      <c r="R1215" s="109"/>
      <c r="S1215" s="54"/>
      <c r="T1215" s="54"/>
      <c r="U1215" s="54"/>
      <c r="V1215" s="54"/>
      <c r="W1215" s="54"/>
      <c r="X1215" s="54"/>
      <c r="Y1215" s="54"/>
      <c r="Z1215" s="54"/>
      <c r="AA1215" s="54"/>
      <c r="AB1215" s="54"/>
      <c r="AC1215" s="350"/>
      <c r="AD1215" s="54"/>
      <c r="AE1215" s="54"/>
      <c r="AF1215" s="54"/>
      <c r="AG1215" s="54"/>
      <c r="AH1215" s="54"/>
      <c r="AI1215" s="54"/>
    </row>
    <row r="1216" spans="1:35">
      <c r="A1216" s="108" t="s">
        <v>90</v>
      </c>
      <c r="C1216" s="125">
        <f>480</f>
        <v>480</v>
      </c>
      <c r="D1216" s="126">
        <v>12.09</v>
      </c>
      <c r="F1216" s="127">
        <f>ROUND(D1216*$C1216,0)</f>
        <v>5803</v>
      </c>
      <c r="G1216" s="126">
        <v>12.74</v>
      </c>
      <c r="I1216" s="127">
        <f t="shared" ref="I1216:I1218" si="156">ROUND(C1216*G1216,0)</f>
        <v>6115</v>
      </c>
      <c r="J1216" s="126">
        <f t="shared" ref="J1216:J1218" si="157">ROUND(G1216+(G1216*$Q$1241),2)</f>
        <v>10.78</v>
      </c>
      <c r="L1216" s="127">
        <f>ROUND(J1216*$C1216,0)</f>
        <v>5174</v>
      </c>
      <c r="N1216" s="128" t="e">
        <f>J1216*#REF!</f>
        <v>#REF!</v>
      </c>
      <c r="O1216" s="54"/>
      <c r="P1216" s="157"/>
      <c r="Q1216" s="109"/>
      <c r="R1216" s="109"/>
      <c r="S1216" s="328"/>
      <c r="T1216" s="328"/>
      <c r="U1216" s="159"/>
      <c r="V1216" s="159"/>
      <c r="W1216" s="159"/>
      <c r="X1216" s="159"/>
      <c r="Y1216" s="54"/>
      <c r="Z1216" s="54"/>
      <c r="AA1216" s="157"/>
      <c r="AB1216" s="157"/>
      <c r="AC1216" s="350"/>
      <c r="AD1216" s="157"/>
      <c r="AE1216" s="54"/>
      <c r="AF1216" s="54"/>
      <c r="AG1216" s="54"/>
      <c r="AH1216" s="54"/>
      <c r="AI1216" s="54"/>
    </row>
    <row r="1217" spans="1:35">
      <c r="A1217" s="108" t="s">
        <v>91</v>
      </c>
      <c r="C1217" s="125">
        <f>348</f>
        <v>348</v>
      </c>
      <c r="D1217" s="126">
        <v>20.290000000000003</v>
      </c>
      <c r="F1217" s="127">
        <f>ROUND(D1217*$C1217,0)</f>
        <v>7061</v>
      </c>
      <c r="G1217" s="126">
        <v>21.39</v>
      </c>
      <c r="I1217" s="127">
        <f t="shared" si="156"/>
        <v>7444</v>
      </c>
      <c r="J1217" s="126">
        <f t="shared" si="157"/>
        <v>18.11</v>
      </c>
      <c r="L1217" s="127">
        <f>ROUND(J1217*$C1217,0)</f>
        <v>6302</v>
      </c>
      <c r="N1217" s="128" t="e">
        <f>J1217*#REF!</f>
        <v>#REF!</v>
      </c>
      <c r="O1217" s="54"/>
      <c r="P1217" s="157"/>
      <c r="Q1217" s="109"/>
      <c r="R1217" s="109"/>
      <c r="S1217" s="328"/>
      <c r="T1217" s="328"/>
      <c r="U1217" s="159"/>
      <c r="V1217" s="159"/>
      <c r="W1217" s="159"/>
      <c r="X1217" s="159"/>
      <c r="Y1217" s="351"/>
      <c r="Z1217" s="351"/>
      <c r="AA1217" s="157"/>
      <c r="AB1217" s="157"/>
      <c r="AC1217" s="350"/>
      <c r="AD1217" s="157"/>
      <c r="AE1217" s="54"/>
      <c r="AF1217" s="54"/>
      <c r="AG1217" s="54"/>
      <c r="AH1217" s="54"/>
      <c r="AI1217" s="54"/>
    </row>
    <row r="1218" spans="1:35">
      <c r="A1218" s="108" t="s">
        <v>92</v>
      </c>
      <c r="C1218" s="125">
        <v>0</v>
      </c>
      <c r="D1218" s="126">
        <v>37.64</v>
      </c>
      <c r="F1218" s="127">
        <f>ROUND(D1218*$C1218,0)</f>
        <v>0</v>
      </c>
      <c r="G1218" s="126">
        <v>39.67</v>
      </c>
      <c r="I1218" s="127">
        <f t="shared" si="156"/>
        <v>0</v>
      </c>
      <c r="J1218" s="126">
        <f t="shared" si="157"/>
        <v>33.58</v>
      </c>
      <c r="L1218" s="127">
        <f>ROUND(J1218*$C1218,0)</f>
        <v>0</v>
      </c>
      <c r="N1218" s="128" t="e">
        <f>J1218*#REF!</f>
        <v>#REF!</v>
      </c>
      <c r="O1218" s="54"/>
      <c r="P1218" s="157"/>
      <c r="Q1218" s="109"/>
      <c r="R1218" s="109"/>
      <c r="S1218" s="328"/>
      <c r="T1218" s="328"/>
      <c r="U1218" s="159"/>
      <c r="V1218" s="159"/>
      <c r="W1218" s="159"/>
      <c r="X1218" s="159"/>
      <c r="Y1218" s="351"/>
      <c r="Z1218" s="351"/>
      <c r="AA1218" s="157"/>
      <c r="AB1218" s="157"/>
      <c r="AC1218" s="350"/>
      <c r="AD1218" s="157"/>
      <c r="AE1218" s="54"/>
      <c r="AF1218" s="54"/>
      <c r="AG1218" s="54"/>
      <c r="AH1218" s="54"/>
      <c r="AI1218" s="54"/>
    </row>
    <row r="1219" spans="1:35">
      <c r="A1219" s="108" t="s">
        <v>298</v>
      </c>
      <c r="C1219" s="125"/>
      <c r="D1219" s="132"/>
      <c r="F1219" s="124"/>
      <c r="G1219" s="132"/>
      <c r="I1219" s="124"/>
      <c r="J1219" s="132"/>
      <c r="N1219" s="54"/>
      <c r="O1219" s="54"/>
      <c r="P1219" s="54"/>
      <c r="Q1219" s="352"/>
      <c r="R1219" s="352"/>
      <c r="S1219" s="352"/>
      <c r="T1219" s="352"/>
      <c r="U1219" s="353"/>
      <c r="V1219" s="353"/>
      <c r="W1219" s="353"/>
      <c r="X1219" s="353"/>
      <c r="Y1219" s="351"/>
      <c r="Z1219" s="351"/>
      <c r="AA1219" s="239"/>
      <c r="AB1219" s="54"/>
      <c r="AC1219" s="350"/>
      <c r="AD1219" s="54"/>
      <c r="AE1219" s="54"/>
      <c r="AF1219" s="54"/>
      <c r="AG1219" s="54"/>
      <c r="AH1219" s="54"/>
      <c r="AI1219" s="54"/>
    </row>
    <row r="1220" spans="1:35">
      <c r="A1220" s="108" t="s">
        <v>90</v>
      </c>
      <c r="C1220" s="125">
        <v>0</v>
      </c>
      <c r="D1220" s="126">
        <v>11.44</v>
      </c>
      <c r="F1220" s="127">
        <f>ROUND(D1220*$C1220,0)</f>
        <v>0</v>
      </c>
      <c r="G1220" s="126">
        <v>12.06</v>
      </c>
      <c r="I1220" s="127">
        <f t="shared" ref="I1220:I1221" si="158">ROUND(C1220*G1220,0)</f>
        <v>0</v>
      </c>
      <c r="J1220" s="126">
        <f t="shared" ref="J1220:J1221" si="159">ROUND(G1220+(G1220*$Q$1241),2)</f>
        <v>10.210000000000001</v>
      </c>
      <c r="L1220" s="127">
        <f>ROUND(J1220*$C1220,0)</f>
        <v>0</v>
      </c>
      <c r="N1220" s="128" t="e">
        <f>J1220*#REF!</f>
        <v>#REF!</v>
      </c>
      <c r="O1220" s="54"/>
      <c r="P1220" s="157"/>
      <c r="Q1220" s="109"/>
      <c r="R1220" s="109"/>
      <c r="S1220" s="328"/>
      <c r="T1220" s="328"/>
      <c r="U1220" s="159"/>
      <c r="V1220" s="159"/>
      <c r="W1220" s="159"/>
      <c r="X1220" s="159"/>
      <c r="Y1220" s="351"/>
      <c r="Z1220" s="351"/>
      <c r="AA1220" s="157"/>
      <c r="AB1220" s="157"/>
      <c r="AC1220" s="350"/>
      <c r="AD1220" s="157"/>
      <c r="AE1220" s="54"/>
      <c r="AF1220" s="54"/>
      <c r="AG1220" s="54"/>
      <c r="AH1220" s="54"/>
      <c r="AI1220" s="54"/>
    </row>
    <row r="1221" spans="1:35">
      <c r="A1221" s="108" t="s">
        <v>91</v>
      </c>
      <c r="C1221" s="125">
        <v>0</v>
      </c>
      <c r="D1221" s="126">
        <v>19.18</v>
      </c>
      <c r="F1221" s="127">
        <f>ROUND(D1221*$C1221,0)</f>
        <v>0</v>
      </c>
      <c r="G1221" s="126">
        <v>20.22</v>
      </c>
      <c r="I1221" s="127">
        <f t="shared" si="158"/>
        <v>0</v>
      </c>
      <c r="J1221" s="126">
        <f t="shared" si="159"/>
        <v>17.12</v>
      </c>
      <c r="L1221" s="127">
        <f>ROUND(J1221*$C1221,0)</f>
        <v>0</v>
      </c>
      <c r="N1221" s="128" t="e">
        <f>J1221*#REF!</f>
        <v>#REF!</v>
      </c>
      <c r="O1221" s="54"/>
      <c r="P1221" s="157"/>
      <c r="Q1221" s="109"/>
      <c r="R1221" s="109"/>
      <c r="S1221" s="328"/>
      <c r="T1221" s="328"/>
      <c r="U1221" s="159"/>
      <c r="V1221" s="159"/>
      <c r="W1221" s="159"/>
      <c r="X1221" s="159"/>
      <c r="Y1221" s="351"/>
      <c r="Z1221" s="351"/>
      <c r="AA1221" s="157"/>
      <c r="AB1221" s="157"/>
      <c r="AC1221" s="350"/>
      <c r="AD1221" s="157"/>
      <c r="AE1221" s="54"/>
      <c r="AF1221" s="54"/>
      <c r="AG1221" s="54"/>
      <c r="AH1221" s="54"/>
      <c r="AI1221" s="54"/>
    </row>
    <row r="1222" spans="1:35">
      <c r="A1222" s="348" t="s">
        <v>300</v>
      </c>
      <c r="B1222" s="177"/>
      <c r="C1222" s="125"/>
      <c r="D1222" s="132"/>
      <c r="E1222" s="177"/>
      <c r="F1222" s="177"/>
      <c r="G1222" s="132"/>
      <c r="H1222" s="177"/>
      <c r="I1222" s="177"/>
      <c r="J1222" s="132"/>
      <c r="K1222" s="177"/>
      <c r="L1222" s="177"/>
      <c r="N1222" s="54"/>
      <c r="O1222" s="54"/>
      <c r="P1222" s="54"/>
      <c r="Q1222" s="352"/>
      <c r="R1222" s="352"/>
      <c r="S1222" s="352"/>
      <c r="T1222" s="352"/>
      <c r="U1222" s="353"/>
      <c r="V1222" s="353"/>
      <c r="W1222" s="353"/>
      <c r="X1222" s="353"/>
      <c r="Y1222" s="351"/>
      <c r="Z1222" s="351"/>
      <c r="AA1222" s="239"/>
      <c r="AB1222" s="54"/>
      <c r="AC1222" s="350"/>
      <c r="AD1222" s="54"/>
      <c r="AE1222" s="54"/>
      <c r="AF1222" s="54"/>
      <c r="AG1222" s="54"/>
      <c r="AH1222" s="54"/>
      <c r="AI1222" s="54"/>
    </row>
    <row r="1223" spans="1:35">
      <c r="A1223" s="108" t="s">
        <v>297</v>
      </c>
      <c r="C1223" s="125"/>
      <c r="D1223" s="132"/>
      <c r="F1223" s="124"/>
      <c r="G1223" s="132"/>
      <c r="I1223" s="124"/>
      <c r="J1223" s="132"/>
      <c r="N1223" s="54"/>
      <c r="O1223" s="54"/>
      <c r="P1223" s="54"/>
      <c r="Q1223" s="352"/>
      <c r="R1223" s="352"/>
      <c r="S1223" s="352"/>
      <c r="T1223" s="352"/>
      <c r="U1223" s="353"/>
      <c r="V1223" s="353"/>
      <c r="W1223" s="353"/>
      <c r="X1223" s="353"/>
      <c r="Y1223" s="351"/>
      <c r="Z1223" s="351"/>
      <c r="AA1223" s="239"/>
      <c r="AB1223" s="54"/>
      <c r="AC1223" s="350"/>
      <c r="AD1223" s="54"/>
      <c r="AE1223" s="54"/>
      <c r="AF1223" s="54"/>
      <c r="AG1223" s="54"/>
      <c r="AH1223" s="54"/>
      <c r="AI1223" s="54"/>
    </row>
    <row r="1224" spans="1:35">
      <c r="A1224" s="108" t="s">
        <v>90</v>
      </c>
      <c r="C1224" s="125">
        <v>0</v>
      </c>
      <c r="D1224" s="126">
        <v>12.08</v>
      </c>
      <c r="F1224" s="127">
        <f>ROUND(D1224*$C1224,0)</f>
        <v>0</v>
      </c>
      <c r="G1224" s="126">
        <v>12.73</v>
      </c>
      <c r="I1224" s="127">
        <f t="shared" ref="I1224:I1226" si="160">ROUND(C1224*G1224,0)</f>
        <v>0</v>
      </c>
      <c r="J1224" s="126">
        <f t="shared" ref="J1224:J1226" si="161">ROUND(G1224+(G1224*$Q$1241),2)</f>
        <v>10.78</v>
      </c>
      <c r="L1224" s="127">
        <f>ROUND(J1224*$C1224,0)</f>
        <v>0</v>
      </c>
      <c r="N1224" s="128" t="e">
        <f>J1224*#REF!</f>
        <v>#REF!</v>
      </c>
      <c r="O1224" s="54"/>
      <c r="P1224" s="157"/>
      <c r="Q1224" s="109"/>
      <c r="R1224" s="109"/>
      <c r="S1224" s="328"/>
      <c r="T1224" s="328"/>
      <c r="U1224" s="159"/>
      <c r="V1224" s="159"/>
      <c r="W1224" s="159"/>
      <c r="X1224" s="159"/>
      <c r="Y1224" s="351"/>
      <c r="Z1224" s="351"/>
      <c r="AA1224" s="157"/>
      <c r="AB1224" s="157"/>
      <c r="AC1224" s="350"/>
      <c r="AD1224" s="157"/>
      <c r="AE1224" s="54"/>
      <c r="AF1224" s="54"/>
      <c r="AG1224" s="54"/>
      <c r="AH1224" s="54"/>
      <c r="AI1224" s="54"/>
    </row>
    <row r="1225" spans="1:35">
      <c r="A1225" s="108" t="s">
        <v>91</v>
      </c>
      <c r="C1225" s="125">
        <v>0</v>
      </c>
      <c r="D1225" s="126">
        <v>19.64</v>
      </c>
      <c r="F1225" s="127">
        <f>ROUND(D1225*$C1225,0)</f>
        <v>0</v>
      </c>
      <c r="G1225" s="126">
        <v>20.7</v>
      </c>
      <c r="I1225" s="127">
        <f t="shared" si="160"/>
        <v>0</v>
      </c>
      <c r="J1225" s="126">
        <f t="shared" si="161"/>
        <v>17.52</v>
      </c>
      <c r="L1225" s="127">
        <f>ROUND(J1225*$C1225,0)</f>
        <v>0</v>
      </c>
      <c r="N1225" s="128" t="e">
        <f>J1225*#REF!</f>
        <v>#REF!</v>
      </c>
      <c r="O1225" s="54"/>
      <c r="P1225" s="157"/>
      <c r="Q1225" s="109"/>
      <c r="R1225" s="109"/>
      <c r="S1225" s="328"/>
      <c r="T1225" s="328"/>
      <c r="U1225" s="159"/>
      <c r="V1225" s="159"/>
      <c r="W1225" s="159"/>
      <c r="X1225" s="159"/>
      <c r="Y1225" s="351"/>
      <c r="Z1225" s="351"/>
      <c r="AA1225" s="157"/>
      <c r="AB1225" s="157"/>
      <c r="AC1225" s="350"/>
      <c r="AD1225" s="157"/>
      <c r="AE1225" s="54"/>
      <c r="AF1225" s="54"/>
      <c r="AG1225" s="54"/>
      <c r="AH1225" s="54"/>
      <c r="AI1225" s="54"/>
    </row>
    <row r="1226" spans="1:35">
      <c r="A1226" s="108" t="s">
        <v>92</v>
      </c>
      <c r="C1226" s="125">
        <v>0</v>
      </c>
      <c r="D1226" s="126">
        <v>36.99</v>
      </c>
      <c r="F1226" s="127">
        <f>ROUND(D1226*$C1226,0)</f>
        <v>0</v>
      </c>
      <c r="G1226" s="126">
        <v>38.99</v>
      </c>
      <c r="I1226" s="127">
        <f t="shared" si="160"/>
        <v>0</v>
      </c>
      <c r="J1226" s="126">
        <f t="shared" si="161"/>
        <v>33.01</v>
      </c>
      <c r="L1226" s="127">
        <f>ROUND(J1226*$C1226,0)</f>
        <v>0</v>
      </c>
      <c r="N1226" s="128" t="e">
        <f>J1226*#REF!</f>
        <v>#REF!</v>
      </c>
      <c r="O1226" s="54"/>
      <c r="P1226" s="157"/>
      <c r="Q1226" s="109"/>
      <c r="R1226" s="109"/>
      <c r="S1226" s="328"/>
      <c r="T1226" s="328"/>
      <c r="U1226" s="159"/>
      <c r="V1226" s="159"/>
      <c r="W1226" s="159"/>
      <c r="X1226" s="159"/>
      <c r="Y1226" s="351"/>
      <c r="Z1226" s="351"/>
      <c r="AA1226" s="157"/>
      <c r="AB1226" s="157"/>
      <c r="AC1226" s="350"/>
      <c r="AD1226" s="157"/>
      <c r="AE1226" s="54"/>
      <c r="AF1226" s="54"/>
      <c r="AG1226" s="54"/>
      <c r="AH1226" s="54"/>
      <c r="AI1226" s="54"/>
    </row>
    <row r="1227" spans="1:35">
      <c r="A1227" s="108" t="s">
        <v>298</v>
      </c>
      <c r="C1227" s="125"/>
      <c r="D1227" s="132"/>
      <c r="F1227" s="124"/>
      <c r="G1227" s="132"/>
      <c r="I1227" s="124"/>
      <c r="J1227" s="132"/>
      <c r="N1227" s="54"/>
      <c r="O1227" s="54"/>
      <c r="P1227" s="54"/>
      <c r="Q1227" s="352"/>
      <c r="R1227" s="352"/>
      <c r="S1227" s="352"/>
      <c r="T1227" s="352"/>
      <c r="U1227" s="353"/>
      <c r="V1227" s="353"/>
      <c r="W1227" s="353"/>
      <c r="X1227" s="353"/>
      <c r="Y1227" s="351"/>
      <c r="Z1227" s="351"/>
      <c r="AA1227" s="239"/>
      <c r="AB1227" s="54"/>
      <c r="AC1227" s="350"/>
      <c r="AD1227" s="54"/>
      <c r="AE1227" s="54"/>
      <c r="AF1227" s="54"/>
      <c r="AG1227" s="54"/>
      <c r="AH1227" s="54"/>
      <c r="AI1227" s="54"/>
    </row>
    <row r="1228" spans="1:35">
      <c r="A1228" s="108" t="s">
        <v>90</v>
      </c>
      <c r="C1228" s="125">
        <v>0</v>
      </c>
      <c r="D1228" s="126">
        <v>11.44</v>
      </c>
      <c r="F1228" s="127">
        <f>ROUND(D1228*$C1228,0)</f>
        <v>0</v>
      </c>
      <c r="G1228" s="126">
        <v>12.06</v>
      </c>
      <c r="I1228" s="127">
        <f t="shared" ref="I1228:I1229" si="162">ROUND(C1228*G1228,0)</f>
        <v>0</v>
      </c>
      <c r="J1228" s="126">
        <f t="shared" ref="J1228:J1229" si="163">ROUND(G1228+(G1228*$Q$1241),2)</f>
        <v>10.210000000000001</v>
      </c>
      <c r="L1228" s="127">
        <f>ROUND(J1228*$C1228,0)</f>
        <v>0</v>
      </c>
      <c r="N1228" s="128" t="e">
        <f>J1228*#REF!</f>
        <v>#REF!</v>
      </c>
      <c r="O1228" s="54"/>
      <c r="P1228" s="157"/>
      <c r="Q1228" s="109"/>
      <c r="R1228" s="109"/>
      <c r="S1228" s="328"/>
      <c r="T1228" s="328"/>
      <c r="U1228" s="159"/>
      <c r="V1228" s="159"/>
      <c r="W1228" s="159"/>
      <c r="X1228" s="159"/>
      <c r="Y1228" s="351"/>
      <c r="Z1228" s="351"/>
      <c r="AA1228" s="157"/>
      <c r="AB1228" s="157"/>
      <c r="AC1228" s="350"/>
      <c r="AD1228" s="157"/>
      <c r="AE1228" s="54"/>
      <c r="AF1228" s="54"/>
      <c r="AG1228" s="54"/>
      <c r="AH1228" s="54"/>
      <c r="AI1228" s="54"/>
    </row>
    <row r="1229" spans="1:35">
      <c r="A1229" s="108" t="s">
        <v>91</v>
      </c>
      <c r="C1229" s="125">
        <v>0</v>
      </c>
      <c r="D1229" s="126">
        <v>18.53</v>
      </c>
      <c r="F1229" s="127">
        <f>ROUND(D1229*$C1229,0)</f>
        <v>0</v>
      </c>
      <c r="G1229" s="126">
        <v>19.53</v>
      </c>
      <c r="I1229" s="127">
        <f t="shared" si="162"/>
        <v>0</v>
      </c>
      <c r="J1229" s="126">
        <f t="shared" si="163"/>
        <v>16.53</v>
      </c>
      <c r="L1229" s="127">
        <f>ROUND(J1229*$C1229,0)</f>
        <v>0</v>
      </c>
      <c r="N1229" s="128" t="e">
        <f>J1229*#REF!</f>
        <v>#REF!</v>
      </c>
      <c r="O1229" s="54"/>
      <c r="P1229" s="157"/>
      <c r="Q1229" s="109"/>
      <c r="R1229" s="109"/>
      <c r="S1229" s="328"/>
      <c r="T1229" s="328"/>
      <c r="U1229" s="159"/>
      <c r="V1229" s="159"/>
      <c r="W1229" s="159"/>
      <c r="X1229" s="159"/>
      <c r="Y1229" s="351"/>
      <c r="Z1229" s="351"/>
      <c r="AA1229" s="157"/>
      <c r="AB1229" s="157"/>
      <c r="AC1229" s="350"/>
      <c r="AD1229" s="157"/>
      <c r="AE1229" s="54"/>
      <c r="AF1229" s="54"/>
      <c r="AG1229" s="54"/>
      <c r="AH1229" s="54"/>
      <c r="AI1229" s="54"/>
    </row>
    <row r="1230" spans="1:35">
      <c r="A1230" s="348" t="s">
        <v>301</v>
      </c>
      <c r="B1230" s="177"/>
      <c r="C1230" s="125"/>
      <c r="D1230" s="132"/>
      <c r="E1230" s="177"/>
      <c r="F1230" s="177"/>
      <c r="G1230" s="132"/>
      <c r="H1230" s="177"/>
      <c r="I1230" s="177"/>
      <c r="J1230" s="132"/>
      <c r="K1230" s="177"/>
      <c r="L1230" s="177"/>
      <c r="N1230" s="54"/>
      <c r="O1230" s="54"/>
      <c r="P1230" s="54"/>
      <c r="Q1230" s="352"/>
      <c r="R1230" s="352"/>
      <c r="S1230" s="352"/>
      <c r="T1230" s="352"/>
      <c r="U1230" s="353"/>
      <c r="V1230" s="353"/>
      <c r="W1230" s="353"/>
      <c r="X1230" s="353"/>
      <c r="Y1230" s="351"/>
      <c r="Z1230" s="351"/>
      <c r="AA1230" s="239"/>
      <c r="AB1230" s="54"/>
      <c r="AC1230" s="350"/>
      <c r="AD1230" s="54"/>
      <c r="AE1230" s="54"/>
      <c r="AF1230" s="54"/>
      <c r="AG1230" s="54"/>
      <c r="AH1230" s="54"/>
      <c r="AI1230" s="54"/>
    </row>
    <row r="1231" spans="1:35">
      <c r="A1231" s="108" t="s">
        <v>90</v>
      </c>
      <c r="C1231" s="125">
        <f>444</f>
        <v>444</v>
      </c>
      <c r="D1231" s="126">
        <v>9.67</v>
      </c>
      <c r="F1231" s="127">
        <f>ROUND(D1231*$C1231,0)</f>
        <v>4293</v>
      </c>
      <c r="G1231" s="126">
        <v>10.19</v>
      </c>
      <c r="I1231" s="127">
        <f t="shared" ref="I1231:I1233" si="164">ROUND(C1231*G1231,0)</f>
        <v>4524</v>
      </c>
      <c r="J1231" s="126">
        <f t="shared" ref="J1231:J1233" si="165">ROUND(G1231+(G1231*$Q$1241),2)</f>
        <v>8.6300000000000008</v>
      </c>
      <c r="L1231" s="127">
        <f>ROUND(J1231*$C1231,0)</f>
        <v>3832</v>
      </c>
      <c r="N1231" s="128" t="e">
        <f>J1231*#REF!</f>
        <v>#REF!</v>
      </c>
      <c r="O1231" s="54"/>
      <c r="P1231" s="157"/>
      <c r="Q1231" s="109"/>
      <c r="R1231" s="109"/>
      <c r="S1231" s="328"/>
      <c r="T1231" s="328"/>
      <c r="U1231" s="159"/>
      <c r="V1231" s="159"/>
      <c r="W1231" s="159"/>
      <c r="X1231" s="159"/>
      <c r="Y1231" s="351"/>
      <c r="Z1231" s="351"/>
      <c r="AA1231" s="157"/>
      <c r="AB1231" s="157"/>
      <c r="AC1231" s="350"/>
      <c r="AD1231" s="157"/>
      <c r="AE1231" s="54"/>
      <c r="AF1231" s="54"/>
      <c r="AG1231" s="54"/>
      <c r="AH1231" s="54"/>
      <c r="AI1231" s="54"/>
    </row>
    <row r="1232" spans="1:35">
      <c r="A1232" s="108" t="s">
        <v>91</v>
      </c>
      <c r="C1232" s="125">
        <f>828</f>
        <v>828</v>
      </c>
      <c r="D1232" s="126">
        <v>16.93</v>
      </c>
      <c r="F1232" s="127">
        <f>ROUND(D1232*$C1232,0)</f>
        <v>14018</v>
      </c>
      <c r="G1232" s="126">
        <v>17.84</v>
      </c>
      <c r="I1232" s="127">
        <f t="shared" si="164"/>
        <v>14772</v>
      </c>
      <c r="J1232" s="126">
        <f t="shared" si="165"/>
        <v>15.1</v>
      </c>
      <c r="L1232" s="127">
        <f>ROUND(J1232*$C1232,0)</f>
        <v>12503</v>
      </c>
      <c r="N1232" s="128" t="e">
        <f>J1232*#REF!</f>
        <v>#REF!</v>
      </c>
      <c r="O1232" s="54"/>
      <c r="P1232" s="157"/>
      <c r="Q1232" s="109"/>
      <c r="R1232" s="109"/>
      <c r="S1232" s="328"/>
      <c r="T1232" s="328"/>
      <c r="U1232" s="159"/>
      <c r="V1232" s="159"/>
      <c r="W1232" s="159"/>
      <c r="X1232" s="159"/>
      <c r="Y1232" s="351"/>
      <c r="Z1232" s="351"/>
      <c r="AA1232" s="157"/>
      <c r="AB1232" s="157"/>
      <c r="AC1232" s="350"/>
      <c r="AD1232" s="157"/>
      <c r="AE1232" s="54"/>
      <c r="AF1232" s="54"/>
      <c r="AG1232" s="54"/>
      <c r="AH1232" s="54"/>
      <c r="AI1232" s="54"/>
    </row>
    <row r="1233" spans="1:37">
      <c r="A1233" s="108" t="s">
        <v>92</v>
      </c>
      <c r="C1233" s="125">
        <v>0</v>
      </c>
      <c r="D1233" s="126">
        <v>36.159999999999997</v>
      </c>
      <c r="F1233" s="127">
        <f>ROUND(D1233*$C1233,0)</f>
        <v>0</v>
      </c>
      <c r="G1233" s="126">
        <v>38.11</v>
      </c>
      <c r="I1233" s="127">
        <f t="shared" si="164"/>
        <v>0</v>
      </c>
      <c r="J1233" s="126">
        <f t="shared" si="165"/>
        <v>32.26</v>
      </c>
      <c r="L1233" s="127">
        <f>ROUND(J1233*$C1233,0)</f>
        <v>0</v>
      </c>
      <c r="N1233" s="128" t="e">
        <f>J1233*#REF!</f>
        <v>#REF!</v>
      </c>
      <c r="O1233" s="54"/>
      <c r="P1233" s="157"/>
      <c r="Q1233" s="109"/>
      <c r="R1233" s="109"/>
      <c r="S1233" s="328"/>
      <c r="T1233" s="328"/>
      <c r="U1233" s="159"/>
      <c r="V1233" s="159"/>
      <c r="W1233" s="159"/>
      <c r="X1233" s="159"/>
      <c r="Y1233" s="351"/>
      <c r="Z1233" s="351"/>
      <c r="AA1233" s="157"/>
      <c r="AB1233" s="157"/>
      <c r="AC1233" s="350"/>
      <c r="AD1233" s="157"/>
      <c r="AE1233" s="54"/>
      <c r="AF1233" s="54"/>
      <c r="AG1233" s="54"/>
      <c r="AH1233" s="54"/>
      <c r="AI1233" s="54"/>
    </row>
    <row r="1234" spans="1:37">
      <c r="A1234" s="354" t="s">
        <v>302</v>
      </c>
      <c r="C1234" s="125"/>
      <c r="D1234" s="126"/>
      <c r="F1234" s="127"/>
      <c r="G1234" s="126"/>
      <c r="I1234" s="127"/>
      <c r="J1234" s="126"/>
      <c r="L1234" s="127"/>
      <c r="N1234" s="54"/>
      <c r="O1234" s="54"/>
      <c r="P1234" s="54"/>
      <c r="Q1234" s="352"/>
      <c r="R1234" s="352"/>
      <c r="S1234" s="352"/>
      <c r="T1234" s="352"/>
      <c r="U1234" s="355"/>
      <c r="V1234" s="355"/>
      <c r="W1234" s="355"/>
      <c r="X1234" s="355"/>
      <c r="Y1234" s="351"/>
      <c r="Z1234" s="351"/>
      <c r="AA1234" s="239"/>
      <c r="AB1234" s="54"/>
      <c r="AC1234" s="350"/>
      <c r="AD1234" s="54"/>
      <c r="AE1234" s="54"/>
      <c r="AF1234" s="54"/>
      <c r="AG1234" s="54"/>
      <c r="AH1234" s="54"/>
      <c r="AI1234" s="54"/>
    </row>
    <row r="1235" spans="1:37">
      <c r="A1235" s="108" t="s">
        <v>303</v>
      </c>
      <c r="C1235" s="125">
        <v>0</v>
      </c>
      <c r="D1235" s="126">
        <v>34.700000000000003</v>
      </c>
      <c r="F1235" s="127">
        <f>ROUND(D1235*$C1235,0)</f>
        <v>0</v>
      </c>
      <c r="G1235" s="126">
        <v>36.57</v>
      </c>
      <c r="I1235" s="127">
        <f t="shared" ref="I1235" si="166">ROUND(C1235*G1235,0)</f>
        <v>0</v>
      </c>
      <c r="J1235" s="126">
        <f t="shared" ref="J1235" si="167">ROUND(G1235+(G1235*$Q$1241),2)</f>
        <v>30.96</v>
      </c>
      <c r="L1235" s="127">
        <f>ROUND(J1235*$C1235,0)</f>
        <v>0</v>
      </c>
      <c r="N1235" s="128" t="e">
        <f>J1235*#REF!</f>
        <v>#REF!</v>
      </c>
      <c r="O1235" s="54"/>
      <c r="P1235" s="157"/>
      <c r="Q1235" s="109"/>
      <c r="R1235" s="109"/>
      <c r="S1235" s="328"/>
      <c r="T1235" s="328"/>
      <c r="U1235" s="159"/>
      <c r="V1235" s="159"/>
      <c r="W1235" s="159"/>
      <c r="X1235" s="159"/>
      <c r="Y1235" s="351"/>
      <c r="Z1235" s="351"/>
      <c r="AA1235" s="157"/>
      <c r="AB1235" s="157"/>
      <c r="AC1235" s="350"/>
      <c r="AD1235" s="157"/>
      <c r="AE1235" s="54"/>
      <c r="AF1235" s="54"/>
      <c r="AG1235" s="54"/>
      <c r="AH1235" s="54"/>
      <c r="AI1235" s="54"/>
    </row>
    <row r="1236" spans="1:37">
      <c r="A1236" s="108" t="s">
        <v>100</v>
      </c>
      <c r="C1236" s="125">
        <f>493</f>
        <v>493</v>
      </c>
      <c r="D1236" s="356"/>
      <c r="F1236" s="127"/>
      <c r="G1236" s="356"/>
      <c r="I1236" s="127"/>
      <c r="J1236" s="356"/>
      <c r="L1236" s="127"/>
      <c r="O1236" s="54"/>
      <c r="P1236" s="157"/>
      <c r="Q1236" s="357"/>
      <c r="R1236" s="357"/>
      <c r="S1236" s="54"/>
      <c r="T1236" s="54"/>
      <c r="U1236" s="162"/>
      <c r="V1236" s="162"/>
      <c r="W1236" s="162"/>
      <c r="X1236" s="162"/>
      <c r="Y1236" s="154"/>
      <c r="Z1236" s="154"/>
      <c r="AA1236" s="157"/>
      <c r="AB1236" s="157"/>
      <c r="AC1236" s="157"/>
      <c r="AD1236" s="157"/>
      <c r="AE1236" s="54"/>
      <c r="AF1236" s="54"/>
      <c r="AG1236" s="54"/>
      <c r="AH1236" s="54"/>
      <c r="AI1236" s="54"/>
    </row>
    <row r="1237" spans="1:37">
      <c r="A1237" s="134" t="s">
        <v>212</v>
      </c>
      <c r="C1237" s="125">
        <f>C1238</f>
        <v>1960718</v>
      </c>
      <c r="D1237" s="133"/>
      <c r="E1237" s="54"/>
      <c r="F1237" s="127"/>
      <c r="G1237" s="133"/>
      <c r="H1237" s="54"/>
      <c r="I1237" s="127"/>
      <c r="J1237" s="135">
        <f>ROUND(O1237/C1237*100,3)</f>
        <v>2.246</v>
      </c>
      <c r="K1237" s="207" t="s">
        <v>99</v>
      </c>
      <c r="L1237" s="207">
        <f>ROUND(J1237*$C1237/100,0)</f>
        <v>44038</v>
      </c>
      <c r="N1237" s="128"/>
      <c r="O1237" s="128">
        <v>44041.457330672172</v>
      </c>
      <c r="P1237" s="93" t="s">
        <v>18</v>
      </c>
      <c r="Q1237" s="108"/>
      <c r="R1237" s="108"/>
      <c r="S1237" s="129"/>
      <c r="T1237" s="129"/>
      <c r="Y1237" s="54"/>
      <c r="Z1237" s="54"/>
      <c r="AA1237" s="54"/>
      <c r="AB1237" s="54"/>
      <c r="AC1237" s="54"/>
      <c r="AD1237" s="54"/>
      <c r="AE1237" s="54"/>
      <c r="AF1237" s="54"/>
      <c r="AG1237" s="54"/>
      <c r="AH1237" s="54"/>
      <c r="AI1237" s="54"/>
      <c r="AK1237" s="128"/>
    </row>
    <row r="1238" spans="1:37">
      <c r="A1238" s="108" t="s">
        <v>122</v>
      </c>
      <c r="C1238" s="125">
        <f>1960718</f>
        <v>1960718</v>
      </c>
      <c r="D1238" s="133"/>
      <c r="E1238" s="54"/>
      <c r="F1238" s="139">
        <f>SUM(F1208:F1235)</f>
        <v>226043</v>
      </c>
      <c r="G1238" s="133"/>
      <c r="H1238" s="54"/>
      <c r="I1238" s="139">
        <f>SUM(I1208:I1235)</f>
        <v>238251</v>
      </c>
      <c r="J1238" s="133"/>
      <c r="K1238" s="54"/>
      <c r="L1238" s="139">
        <f>SUM(L1208:L1237)</f>
        <v>245694</v>
      </c>
      <c r="N1238" s="128" t="e">
        <f>SUM(N1208:N1236)</f>
        <v>#REF!</v>
      </c>
      <c r="O1238" s="54"/>
      <c r="P1238" s="157"/>
      <c r="Q1238" s="358"/>
      <c r="R1238" s="358"/>
      <c r="S1238" s="54"/>
      <c r="T1238" s="54"/>
      <c r="U1238" s="162"/>
      <c r="V1238" s="162"/>
      <c r="W1238" s="162"/>
      <c r="X1238" s="162"/>
      <c r="Y1238" s="154"/>
      <c r="Z1238" s="154"/>
      <c r="AA1238" s="163"/>
      <c r="AB1238" s="154"/>
      <c r="AC1238" s="154"/>
      <c r="AD1238" s="154"/>
      <c r="AE1238" s="54"/>
      <c r="AF1238" s="54"/>
      <c r="AG1238" s="54"/>
      <c r="AH1238" s="54"/>
      <c r="AI1238" s="54"/>
    </row>
    <row r="1239" spans="1:37">
      <c r="A1239" s="108" t="s">
        <v>102</v>
      </c>
      <c r="C1239" s="125">
        <v>-171190.19947704519</v>
      </c>
      <c r="D1239" s="133"/>
      <c r="E1239" s="54"/>
      <c r="F1239" s="139" t="e">
        <f>#REF!</f>
        <v>#REF!</v>
      </c>
      <c r="G1239" s="133"/>
      <c r="H1239" s="54"/>
      <c r="I1239" s="139">
        <v>-19585.785496781922</v>
      </c>
      <c r="J1239" s="133"/>
      <c r="K1239" s="54"/>
      <c r="L1239" s="139">
        <f>I1239</f>
        <v>-19585.785496781922</v>
      </c>
      <c r="N1239" s="230"/>
      <c r="O1239" s="164"/>
      <c r="P1239" s="162"/>
      <c r="Q1239" s="154"/>
      <c r="R1239" s="154"/>
      <c r="S1239" s="154"/>
      <c r="T1239" s="154"/>
      <c r="U1239" s="159"/>
      <c r="V1239" s="159"/>
      <c r="W1239" s="159"/>
      <c r="X1239" s="159"/>
      <c r="Y1239" s="157"/>
      <c r="Z1239" s="154"/>
      <c r="AA1239" s="54"/>
      <c r="AB1239" s="54"/>
      <c r="AC1239" s="54"/>
      <c r="AD1239" s="54"/>
      <c r="AE1239" s="54"/>
      <c r="AF1239" s="54"/>
      <c r="AG1239" s="54"/>
      <c r="AH1239" s="54"/>
      <c r="AI1239" s="54"/>
    </row>
    <row r="1240" spans="1:37" ht="16.5" thickBot="1">
      <c r="A1240" s="108" t="s">
        <v>103</v>
      </c>
      <c r="C1240" s="141">
        <f>C1238+C1239</f>
        <v>1789527.8005229549</v>
      </c>
      <c r="D1240" s="142"/>
      <c r="E1240" s="142"/>
      <c r="F1240" s="142" t="e">
        <f>F1238+F1239</f>
        <v>#REF!</v>
      </c>
      <c r="G1240" s="143"/>
      <c r="H1240" s="143"/>
      <c r="I1240" s="142">
        <f>I1238+I1239</f>
        <v>218665.21450321807</v>
      </c>
      <c r="J1240" s="143"/>
      <c r="K1240" s="143"/>
      <c r="L1240" s="142">
        <f>L1238+L1239</f>
        <v>226108.21450321807</v>
      </c>
      <c r="N1240" s="237"/>
      <c r="O1240" s="330" t="s">
        <v>154</v>
      </c>
      <c r="P1240" s="145">
        <v>226104.20510061755</v>
      </c>
      <c r="Q1240" s="146">
        <f>(L1240-I1240)/I1240</f>
        <v>3.4038335804392257E-2</v>
      </c>
      <c r="R1240" s="323"/>
      <c r="S1240" s="154"/>
      <c r="T1240" s="154"/>
      <c r="U1240" s="154"/>
      <c r="V1240" s="154"/>
      <c r="W1240" s="154"/>
      <c r="X1240" s="154"/>
      <c r="Y1240" s="154"/>
      <c r="Z1240" s="154"/>
      <c r="AA1240" s="54"/>
      <c r="AB1240" s="54"/>
      <c r="AC1240" s="54"/>
      <c r="AD1240" s="54"/>
      <c r="AE1240" s="54"/>
      <c r="AF1240" s="54"/>
      <c r="AG1240" s="54"/>
      <c r="AH1240" s="54"/>
      <c r="AI1240" s="54"/>
    </row>
    <row r="1241" spans="1:37" ht="16.5" thickTop="1">
      <c r="C1241" s="359" t="s">
        <v>0</v>
      </c>
      <c r="D1241" s="148"/>
      <c r="E1241" s="148"/>
      <c r="F1241" s="124"/>
      <c r="G1241" s="148"/>
      <c r="H1241" s="148"/>
      <c r="I1241" s="124"/>
      <c r="J1241" s="148" t="s">
        <v>0</v>
      </c>
      <c r="K1241" s="148"/>
      <c r="L1241" s="127" t="s">
        <v>0</v>
      </c>
      <c r="N1241" s="332"/>
      <c r="O1241" s="333" t="s">
        <v>105</v>
      </c>
      <c r="P1241" s="151">
        <f>P1240-L1240</f>
        <v>-4.0094026005244814</v>
      </c>
      <c r="Q1241" s="334">
        <v>-0.1535</v>
      </c>
      <c r="R1241" s="227"/>
      <c r="S1241" s="154"/>
      <c r="T1241" s="154"/>
      <c r="U1241" s="154"/>
      <c r="V1241" s="154"/>
      <c r="W1241" s="154"/>
      <c r="X1241" s="154"/>
      <c r="Y1241" s="154"/>
      <c r="Z1241" s="154"/>
      <c r="AA1241" s="54"/>
      <c r="AB1241" s="54"/>
      <c r="AC1241" s="54"/>
      <c r="AD1241" s="54"/>
      <c r="AE1241" s="54"/>
      <c r="AF1241" s="54"/>
      <c r="AG1241" s="54"/>
      <c r="AH1241" s="54"/>
      <c r="AI1241" s="54"/>
    </row>
    <row r="1242" spans="1:37">
      <c r="A1242" s="177"/>
      <c r="B1242" s="195"/>
      <c r="C1242" s="360"/>
      <c r="D1242" s="361"/>
      <c r="E1242" s="127"/>
      <c r="F1242" s="127"/>
      <c r="G1242" s="361"/>
      <c r="H1242" s="177"/>
      <c r="I1242" s="127"/>
      <c r="J1242" s="361"/>
      <c r="K1242" s="177"/>
      <c r="L1242" s="127"/>
      <c r="N1242" s="54"/>
      <c r="O1242" s="54"/>
      <c r="P1242" s="109"/>
      <c r="Q1242" s="109"/>
      <c r="R1242" s="109"/>
      <c r="S1242" s="54"/>
      <c r="T1242" s="54"/>
      <c r="U1242" s="54"/>
      <c r="V1242" s="54"/>
      <c r="W1242" s="54"/>
      <c r="X1242" s="54"/>
      <c r="Y1242" s="54"/>
      <c r="Z1242" s="54"/>
      <c r="AA1242" s="54"/>
      <c r="AB1242" s="54"/>
      <c r="AC1242" s="54"/>
      <c r="AD1242" s="54"/>
    </row>
    <row r="1243" spans="1:37" s="134" customFormat="1" ht="19.899999999999999" customHeight="1" thickBot="1">
      <c r="A1243" s="250" t="s">
        <v>304</v>
      </c>
      <c r="B1243" s="195"/>
      <c r="C1243" s="362">
        <f>C28+C99+C201+C592+C632+C762+C890+C908+C1124+C1137+C1149+C1202+C1240</f>
        <v>4000612315.4745193</v>
      </c>
      <c r="D1243" s="363"/>
      <c r="E1243" s="364"/>
      <c r="F1243" s="364" t="e">
        <f>F28+F99+F201+F592+F632+F762+F890+F908+F1124+F1137+F1149+F1202+F1240</f>
        <v>#REF!</v>
      </c>
      <c r="G1243" s="363"/>
      <c r="H1243" s="364"/>
      <c r="I1243" s="364">
        <f>I28+I99+I201+I592+I632+I762+I890+I908+I1124+I1137+I1149+I1202+I1240</f>
        <v>303518156.1400001</v>
      </c>
      <c r="J1243" s="363"/>
      <c r="K1243" s="364"/>
      <c r="L1243" s="364">
        <f>L28+L99+L201+L592+L632+L762+L890+L908+L1124+L1137+L1149+L1202+L1240</f>
        <v>340452344.18823498</v>
      </c>
      <c r="N1243" s="54"/>
      <c r="O1243" s="365" t="s">
        <v>154</v>
      </c>
      <c r="P1243" s="366">
        <f>P28+P99+P201+P632+P762+P927+P1096+P1124+P1137+P1149+P1202+P1240</f>
        <v>340452174.69290382</v>
      </c>
      <c r="Q1243" s="109"/>
      <c r="R1243" s="109"/>
      <c r="S1243" s="199"/>
      <c r="T1243" s="199"/>
      <c r="U1243" s="199"/>
      <c r="V1243" s="199"/>
      <c r="W1243" s="199"/>
      <c r="X1243" s="199"/>
      <c r="Y1243" s="199"/>
      <c r="Z1243" s="199"/>
      <c r="AA1243" s="199"/>
      <c r="AB1243" s="199"/>
      <c r="AC1243" s="199"/>
      <c r="AD1243" s="199"/>
    </row>
    <row r="1244" spans="1:37" ht="17.25" thickTop="1" thickBot="1">
      <c r="A1244" s="136"/>
      <c r="B1244" s="195"/>
      <c r="C1244" s="362"/>
      <c r="D1244" s="225"/>
      <c r="E1244" s="127"/>
      <c r="F1244" s="127"/>
      <c r="G1244" s="225"/>
      <c r="H1244" s="136"/>
      <c r="I1244" s="127"/>
      <c r="J1244" s="251" t="s">
        <v>0</v>
      </c>
      <c r="K1244" s="136"/>
      <c r="L1244" s="127" t="s">
        <v>0</v>
      </c>
      <c r="N1244" s="54"/>
      <c r="O1244" s="150" t="s">
        <v>105</v>
      </c>
      <c r="P1244" s="367">
        <f>P1243-L1243</f>
        <v>-169.49533116817474</v>
      </c>
      <c r="Q1244" s="368" t="s">
        <v>0</v>
      </c>
      <c r="R1244" s="368"/>
      <c r="S1244" s="54"/>
      <c r="T1244" s="54"/>
      <c r="U1244" s="54"/>
      <c r="V1244" s="54"/>
      <c r="W1244" s="54"/>
      <c r="X1244" s="54"/>
      <c r="Y1244" s="54"/>
      <c r="Z1244" s="54"/>
      <c r="AA1244" s="54"/>
      <c r="AB1244" s="54"/>
      <c r="AC1244" s="54"/>
      <c r="AD1244" s="54"/>
    </row>
    <row r="1245" spans="1:37" ht="16.5" thickTop="1">
      <c r="A1245" s="136" t="s">
        <v>305</v>
      </c>
      <c r="B1245" s="195"/>
      <c r="C1245" s="369"/>
      <c r="D1245" s="370"/>
      <c r="E1245" s="371"/>
      <c r="F1245" s="371" t="e">
        <f>#REF!+#REF!+#REF!+#REF!+#REF!</f>
        <v>#REF!</v>
      </c>
      <c r="G1245" s="370"/>
      <c r="H1245" s="372"/>
      <c r="I1245" s="371">
        <v>545052.17999999993</v>
      </c>
      <c r="J1245" s="373"/>
      <c r="K1245" s="372"/>
      <c r="L1245" s="374">
        <f>I1245</f>
        <v>545052.17999999993</v>
      </c>
      <c r="N1245" s="54"/>
      <c r="S1245" s="54"/>
      <c r="T1245" s="54"/>
      <c r="U1245" s="54"/>
      <c r="V1245" s="54"/>
      <c r="W1245" s="54"/>
      <c r="X1245" s="54"/>
      <c r="Y1245" s="54"/>
      <c r="Z1245" s="54"/>
      <c r="AA1245" s="54"/>
      <c r="AB1245" s="54"/>
      <c r="AC1245" s="54"/>
      <c r="AD1245" s="54"/>
    </row>
    <row r="1246" spans="1:37" s="134" customFormat="1" ht="19.899999999999999" customHeight="1" thickBot="1">
      <c r="A1246" s="375" t="s">
        <v>306</v>
      </c>
      <c r="B1246" s="376"/>
      <c r="C1246" s="377">
        <f>C1243+C1245</f>
        <v>4000612315.4745193</v>
      </c>
      <c r="D1246" s="378"/>
      <c r="E1246" s="379"/>
      <c r="F1246" s="380" t="e">
        <f>F1243+F1245</f>
        <v>#REF!</v>
      </c>
      <c r="G1246" s="378"/>
      <c r="H1246" s="379"/>
      <c r="I1246" s="380">
        <f>I1243+I1245</f>
        <v>304063208.32000011</v>
      </c>
      <c r="J1246" s="381"/>
      <c r="K1246" s="379"/>
      <c r="L1246" s="380">
        <f>L1243+L1245</f>
        <v>340997396.36823499</v>
      </c>
      <c r="N1246" s="199"/>
      <c r="S1246" s="199"/>
      <c r="T1246" s="199"/>
      <c r="U1246" s="199"/>
      <c r="V1246" s="199"/>
      <c r="W1246" s="199"/>
      <c r="X1246" s="199"/>
      <c r="Y1246" s="199"/>
      <c r="Z1246" s="199"/>
      <c r="AA1246" s="199"/>
      <c r="AB1246" s="199"/>
      <c r="AC1246" s="199"/>
      <c r="AD1246" s="199"/>
    </row>
    <row r="1247" spans="1:37" ht="16.5" thickTop="1">
      <c r="A1247" s="136"/>
      <c r="B1247" s="195"/>
      <c r="C1247" s="168"/>
      <c r="D1247" s="382" t="s">
        <v>0</v>
      </c>
      <c r="E1247" s="127"/>
      <c r="F1247" s="127" t="s">
        <v>0</v>
      </c>
      <c r="G1247" s="382" t="s">
        <v>0</v>
      </c>
      <c r="H1247" s="382"/>
      <c r="I1247" s="127" t="s">
        <v>0</v>
      </c>
      <c r="J1247" s="225"/>
      <c r="K1247" s="136"/>
      <c r="L1247" s="127"/>
      <c r="N1247" s="54"/>
      <c r="O1247" s="54"/>
      <c r="P1247" s="109"/>
      <c r="Q1247" s="109"/>
      <c r="R1247" s="109"/>
      <c r="S1247" s="54"/>
      <c r="T1247" s="54"/>
      <c r="U1247" s="54"/>
      <c r="V1247" s="54"/>
      <c r="W1247" s="54"/>
      <c r="X1247" s="54"/>
      <c r="Y1247" s="54"/>
      <c r="Z1247" s="54"/>
      <c r="AA1247" s="54"/>
      <c r="AB1247" s="54"/>
      <c r="AC1247" s="54"/>
      <c r="AD1247" s="54"/>
    </row>
    <row r="1248" spans="1:37">
      <c r="C1248" s="294"/>
      <c r="D1248" s="137"/>
      <c r="G1248" s="137"/>
      <c r="H1248" s="137"/>
      <c r="I1248" s="383"/>
      <c r="L1248" s="125"/>
      <c r="N1248" s="54"/>
      <c r="O1248" s="54"/>
      <c r="P1248" s="109"/>
      <c r="Q1248" s="109"/>
      <c r="R1248" s="109"/>
      <c r="S1248" s="54"/>
      <c r="T1248" s="54"/>
      <c r="U1248" s="54"/>
      <c r="V1248" s="54"/>
      <c r="W1248" s="54"/>
      <c r="X1248" s="54"/>
      <c r="Y1248" s="54"/>
      <c r="Z1248" s="54"/>
      <c r="AA1248" s="54"/>
      <c r="AB1248" s="54"/>
      <c r="AC1248" s="54"/>
      <c r="AD1248" s="54"/>
    </row>
    <row r="1249" spans="1:30">
      <c r="A1249" s="384"/>
      <c r="N1249" s="54"/>
      <c r="O1249" s="54"/>
      <c r="P1249" s="109"/>
      <c r="Q1249" s="109"/>
      <c r="R1249" s="109"/>
      <c r="S1249" s="54"/>
      <c r="T1249" s="54"/>
      <c r="U1249" s="54"/>
      <c r="V1249" s="54"/>
      <c r="W1249" s="54"/>
      <c r="X1249" s="54"/>
      <c r="Y1249" s="54"/>
      <c r="Z1249" s="54"/>
      <c r="AA1249" s="54"/>
      <c r="AB1249" s="54"/>
      <c r="AC1249" s="54"/>
      <c r="AD1249" s="54"/>
    </row>
    <row r="1250" spans="1:30">
      <c r="A1250" s="136" t="s">
        <v>307</v>
      </c>
      <c r="B1250" s="108" t="s">
        <v>308</v>
      </c>
      <c r="C1250" s="125">
        <v>4000612315.4745183</v>
      </c>
      <c r="F1250" s="128" t="e">
        <f>#REF!</f>
        <v>#REF!</v>
      </c>
      <c r="I1250" s="128">
        <v>304063208.36000001</v>
      </c>
      <c r="N1250" s="54"/>
      <c r="O1250" s="54"/>
      <c r="P1250" s="109"/>
      <c r="Q1250" s="109"/>
      <c r="R1250" s="109"/>
      <c r="S1250" s="54"/>
      <c r="T1250" s="54"/>
      <c r="U1250" s="54"/>
      <c r="V1250" s="54"/>
      <c r="W1250" s="54"/>
      <c r="X1250" s="54"/>
      <c r="Y1250" s="54"/>
      <c r="Z1250" s="54"/>
      <c r="AA1250" s="54"/>
      <c r="AB1250" s="54"/>
      <c r="AC1250" s="54"/>
      <c r="AD1250" s="54"/>
    </row>
    <row r="1251" spans="1:30">
      <c r="B1251" s="108" t="s">
        <v>309</v>
      </c>
      <c r="C1251" s="125">
        <v>4000612315.4745183</v>
      </c>
      <c r="F1251" s="128" t="e">
        <f>#REF!</f>
        <v>#REF!</v>
      </c>
      <c r="I1251" s="128">
        <v>304063208.36000001</v>
      </c>
      <c r="N1251" s="54"/>
      <c r="O1251" s="54"/>
      <c r="P1251" s="109"/>
      <c r="Q1251" s="109"/>
      <c r="R1251" s="109"/>
      <c r="S1251" s="54"/>
      <c r="T1251" s="54"/>
      <c r="U1251" s="54"/>
      <c r="V1251" s="54"/>
      <c r="W1251" s="54"/>
      <c r="X1251" s="54"/>
      <c r="Y1251" s="54"/>
      <c r="Z1251" s="54"/>
      <c r="AA1251" s="54"/>
      <c r="AB1251" s="54"/>
      <c r="AC1251" s="54"/>
      <c r="AD1251" s="54"/>
    </row>
    <row r="1252" spans="1:30">
      <c r="N1252" s="54"/>
      <c r="O1252" s="54"/>
      <c r="P1252" s="109"/>
      <c r="Q1252" s="109"/>
      <c r="R1252" s="109"/>
      <c r="S1252" s="54"/>
      <c r="T1252" s="54"/>
      <c r="U1252" s="54"/>
      <c r="V1252" s="54"/>
      <c r="W1252" s="54"/>
      <c r="X1252" s="54"/>
      <c r="Y1252" s="54"/>
      <c r="Z1252" s="54"/>
      <c r="AA1252" s="54"/>
      <c r="AB1252" s="54"/>
      <c r="AC1252" s="54"/>
      <c r="AD1252" s="54"/>
    </row>
    <row r="1253" spans="1:30">
      <c r="B1253" s="108" t="s">
        <v>310</v>
      </c>
      <c r="C1253" s="125">
        <f>C1246-C1251</f>
        <v>0</v>
      </c>
      <c r="F1253" s="125" t="e">
        <f>F1246-F1251</f>
        <v>#REF!</v>
      </c>
      <c r="I1253" s="125">
        <f>I1246-I1251</f>
        <v>-3.9999902248382568E-2</v>
      </c>
      <c r="N1253" s="54"/>
      <c r="O1253" s="54"/>
      <c r="P1253" s="109"/>
      <c r="Q1253" s="109"/>
      <c r="R1253" s="109"/>
      <c r="S1253" s="54"/>
      <c r="T1253" s="54"/>
      <c r="U1253" s="54"/>
      <c r="V1253" s="54"/>
      <c r="W1253" s="54"/>
      <c r="X1253" s="54"/>
      <c r="Y1253" s="54"/>
      <c r="Z1253" s="54"/>
      <c r="AA1253" s="54"/>
      <c r="AB1253" s="54"/>
      <c r="AC1253" s="54"/>
      <c r="AD1253" s="54"/>
    </row>
    <row r="1254" spans="1:30">
      <c r="N1254" s="54"/>
      <c r="O1254" s="54"/>
      <c r="P1254" s="109"/>
      <c r="Q1254" s="109"/>
      <c r="R1254" s="109"/>
      <c r="S1254" s="54"/>
      <c r="T1254" s="54"/>
      <c r="U1254" s="54"/>
      <c r="V1254" s="54"/>
      <c r="W1254" s="54"/>
      <c r="X1254" s="54"/>
      <c r="Y1254" s="54"/>
      <c r="Z1254" s="54"/>
      <c r="AA1254" s="54"/>
      <c r="AB1254" s="54"/>
      <c r="AC1254" s="54"/>
      <c r="AD1254" s="54"/>
    </row>
    <row r="1256" spans="1:30">
      <c r="B1256" s="108" t="s">
        <v>311</v>
      </c>
      <c r="C1256" s="125">
        <f>C25+C87+C173+C601+C719+C876+C898+C1120+C1132+C1145+C1196+C1236</f>
        <v>1530682.1666666595</v>
      </c>
    </row>
    <row r="1257" spans="1:30">
      <c r="B1257" s="108" t="s">
        <v>312</v>
      </c>
      <c r="C1257" s="125">
        <f>((C25+C87+C211+C349+C601+C876+C898+C1120+C1132+C1145+C1196+C1236)/12)+C454+C719</f>
        <v>132380.34516742709</v>
      </c>
    </row>
    <row r="1258" spans="1:30">
      <c r="B1258" s="385" t="s">
        <v>313</v>
      </c>
      <c r="C1258" s="125">
        <v>132378.51388888832</v>
      </c>
      <c r="D1258" s="174" t="s">
        <v>0</v>
      </c>
    </row>
    <row r="1259" spans="1:30">
      <c r="B1259" s="108" t="s">
        <v>310</v>
      </c>
      <c r="C1259" s="125">
        <f>C1257-C1258</f>
        <v>1.8312785387679469</v>
      </c>
    </row>
  </sheetData>
  <mergeCells count="4">
    <mergeCell ref="A2:L2"/>
    <mergeCell ref="A3:L3"/>
    <mergeCell ref="A4:L4"/>
    <mergeCell ref="A5:L5"/>
  </mergeCells>
  <printOptions horizontalCentered="1"/>
  <pageMargins left="0.7" right="0.7" top="0.75" bottom="0.75" header="0.3" footer="0.3"/>
  <pageSetup scale="49" fitToHeight="8" orientation="portrait" r:id="rId1"/>
  <rowBreaks count="7" manualBreakCount="7">
    <brk id="130" max="11" man="1"/>
    <brk id="202" max="11" man="1"/>
    <brk id="633" max="11" man="1"/>
    <brk id="891" max="11" man="1"/>
    <brk id="984" max="11" man="1"/>
    <brk id="1125" max="11" man="1"/>
    <brk id="119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X1204"/>
  <sheetViews>
    <sheetView view="pageBreakPreview" zoomScale="60" zoomScaleNormal="100" workbookViewId="0">
      <selection activeCell="O1260" sqref="O1260"/>
    </sheetView>
  </sheetViews>
  <sheetFormatPr defaultRowHeight="15.75"/>
  <cols>
    <col min="1" max="1" width="41.125" bestFit="1" customWidth="1"/>
    <col min="2" max="2" width="10.125" bestFit="1" customWidth="1"/>
    <col min="3" max="3" width="7.625" customWidth="1"/>
    <col min="4" max="4" width="11.625" bestFit="1" customWidth="1"/>
    <col min="5" max="5" width="15.75" bestFit="1" customWidth="1"/>
    <col min="6" max="6" width="10.5" customWidth="1"/>
    <col min="7" max="7" width="10.375" bestFit="1" customWidth="1"/>
    <col min="10" max="10" width="11.5" customWidth="1"/>
    <col min="11" max="11" width="2" customWidth="1"/>
    <col min="12" max="12" width="11.5" bestFit="1" customWidth="1"/>
    <col min="13" max="20" width="0" hidden="1" customWidth="1"/>
    <col min="24" max="24" width="10.25" customWidth="1"/>
  </cols>
  <sheetData>
    <row r="1" spans="1:24">
      <c r="A1" s="626" t="s">
        <v>314</v>
      </c>
      <c r="B1" s="626"/>
      <c r="C1" s="626"/>
      <c r="D1" s="626"/>
      <c r="E1" s="626"/>
      <c r="F1" s="626"/>
      <c r="G1" s="626"/>
      <c r="H1" s="626"/>
      <c r="I1" s="626"/>
      <c r="J1" s="62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</row>
    <row r="2" spans="1:24">
      <c r="A2" s="626" t="s">
        <v>315</v>
      </c>
      <c r="B2" s="626"/>
      <c r="C2" s="626"/>
      <c r="D2" s="626"/>
      <c r="E2" s="626"/>
      <c r="F2" s="626"/>
      <c r="G2" s="626"/>
      <c r="H2" s="626"/>
      <c r="I2" s="626"/>
      <c r="J2" s="62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</row>
    <row r="3" spans="1:24">
      <c r="A3" s="626" t="s">
        <v>316</v>
      </c>
      <c r="B3" s="626"/>
      <c r="C3" s="626"/>
      <c r="D3" s="626"/>
      <c r="E3" s="626"/>
      <c r="F3" s="626"/>
      <c r="G3" s="626"/>
      <c r="H3" s="626"/>
      <c r="I3" s="626"/>
      <c r="J3" s="62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</row>
    <row r="4" spans="1:24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</row>
    <row r="5" spans="1:24">
      <c r="A5" s="388" t="s">
        <v>317</v>
      </c>
      <c r="B5" s="389">
        <v>5192</v>
      </c>
      <c r="C5" s="387"/>
      <c r="D5" s="390"/>
      <c r="E5" s="390"/>
      <c r="F5" s="387"/>
      <c r="G5" s="387"/>
      <c r="H5" s="387"/>
      <c r="I5" s="387"/>
      <c r="J5" s="387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</row>
    <row r="6" spans="1:24">
      <c r="A6" s="391" t="s">
        <v>318</v>
      </c>
      <c r="B6" s="392">
        <f>2*'Exhibit No._(JRS-10)'!Z16</f>
        <v>0.25869248006391515</v>
      </c>
      <c r="C6" s="386"/>
      <c r="D6" s="393" t="s">
        <v>319</v>
      </c>
      <c r="E6" s="394" t="s">
        <v>12</v>
      </c>
      <c r="F6" s="395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</row>
    <row r="7" spans="1:24">
      <c r="A7" s="391">
        <v>0</v>
      </c>
      <c r="B7" s="396">
        <v>67.5</v>
      </c>
      <c r="C7" s="396"/>
      <c r="D7" s="397" t="s">
        <v>320</v>
      </c>
      <c r="E7" s="398" t="s">
        <v>321</v>
      </c>
      <c r="F7" s="399"/>
      <c r="G7" s="386"/>
      <c r="H7" s="400"/>
      <c r="I7" s="400"/>
      <c r="J7" s="400"/>
      <c r="K7" s="400"/>
      <c r="L7" s="398" t="s">
        <v>322</v>
      </c>
      <c r="M7" s="400"/>
      <c r="N7" s="401"/>
      <c r="O7" s="402"/>
      <c r="P7" s="402"/>
      <c r="Q7" s="395"/>
      <c r="R7" s="386"/>
      <c r="S7" s="401"/>
      <c r="T7" s="395"/>
      <c r="U7" s="386"/>
      <c r="V7" s="398" t="s">
        <v>322</v>
      </c>
      <c r="W7" s="386"/>
      <c r="X7" s="386"/>
    </row>
    <row r="8" spans="1:24">
      <c r="A8" s="403" t="s">
        <v>0</v>
      </c>
      <c r="B8" s="386"/>
      <c r="C8" s="386"/>
      <c r="D8" s="404"/>
      <c r="E8" s="405">
        <v>0.21325</v>
      </c>
      <c r="F8" s="399"/>
      <c r="G8" s="406" t="s">
        <v>0</v>
      </c>
      <c r="H8" s="406"/>
      <c r="I8" s="406"/>
      <c r="J8" s="406"/>
      <c r="K8" s="400"/>
      <c r="L8" s="407" t="s">
        <v>323</v>
      </c>
      <c r="M8" s="400"/>
      <c r="N8" s="408"/>
      <c r="O8" s="400"/>
      <c r="P8" s="400"/>
      <c r="Q8" s="399"/>
      <c r="R8" s="386"/>
      <c r="S8" s="408"/>
      <c r="T8" s="399"/>
      <c r="U8" s="386"/>
      <c r="V8" s="407" t="s">
        <v>324</v>
      </c>
      <c r="W8" s="386"/>
      <c r="X8" s="386"/>
    </row>
    <row r="9" spans="1:24">
      <c r="A9" s="386"/>
      <c r="B9" s="627" t="s">
        <v>325</v>
      </c>
      <c r="C9" s="628"/>
      <c r="D9" s="397" t="s">
        <v>0</v>
      </c>
      <c r="E9" s="398" t="s">
        <v>27</v>
      </c>
      <c r="F9" s="409" t="s">
        <v>21</v>
      </c>
      <c r="G9" s="398" t="s">
        <v>326</v>
      </c>
      <c r="H9" s="400"/>
      <c r="I9" s="400"/>
      <c r="J9" s="410" t="s">
        <v>326</v>
      </c>
      <c r="K9" s="400"/>
      <c r="L9" s="407" t="s">
        <v>11</v>
      </c>
      <c r="M9" s="400"/>
      <c r="N9" s="408"/>
      <c r="O9" s="400"/>
      <c r="P9" s="400"/>
      <c r="Q9" s="399"/>
      <c r="R9" s="386"/>
      <c r="S9" s="404" t="s">
        <v>327</v>
      </c>
      <c r="T9" s="411">
        <f>E8</f>
        <v>0.21325</v>
      </c>
      <c r="U9" s="386"/>
      <c r="V9" s="407" t="s">
        <v>26</v>
      </c>
      <c r="W9" s="386"/>
      <c r="X9" s="386"/>
    </row>
    <row r="10" spans="1:24">
      <c r="A10" s="391" t="s">
        <v>328</v>
      </c>
      <c r="B10" s="386" t="s">
        <v>329</v>
      </c>
      <c r="C10" s="386" t="s">
        <v>330</v>
      </c>
      <c r="D10" s="412">
        <f>X27</f>
        <v>1823440.4000000004</v>
      </c>
      <c r="E10" s="413">
        <f>+J27</f>
        <v>2212702.84</v>
      </c>
      <c r="F10" s="414">
        <f>E10-D10</f>
        <v>389262.43999999948</v>
      </c>
      <c r="G10" s="398" t="s">
        <v>331</v>
      </c>
      <c r="H10" s="398"/>
      <c r="I10" s="400"/>
      <c r="J10" s="410" t="s">
        <v>332</v>
      </c>
      <c r="K10" s="400"/>
      <c r="L10" s="415"/>
      <c r="M10" s="400"/>
      <c r="N10" s="408"/>
      <c r="O10" s="400"/>
      <c r="P10" s="400"/>
      <c r="Q10" s="399"/>
      <c r="R10" s="386"/>
      <c r="S10" s="416">
        <f>D10</f>
        <v>1823440.4000000004</v>
      </c>
      <c r="T10" s="417">
        <f>E10</f>
        <v>2212702.84</v>
      </c>
      <c r="U10" s="386"/>
      <c r="V10" s="386"/>
      <c r="W10" s="386"/>
      <c r="X10" s="386" t="s">
        <v>333</v>
      </c>
    </row>
    <row r="11" spans="1:24">
      <c r="A11" s="418" t="s">
        <v>334</v>
      </c>
      <c r="B11" s="396">
        <v>67.5</v>
      </c>
      <c r="C11" s="396">
        <f>+B7</f>
        <v>67.5</v>
      </c>
      <c r="D11" s="412">
        <f>4720*B11</f>
        <v>318600</v>
      </c>
      <c r="E11" s="419">
        <f>4720*C11</f>
        <v>318600</v>
      </c>
      <c r="F11" s="420">
        <f>+E11-D11</f>
        <v>0</v>
      </c>
      <c r="G11" s="398" t="s">
        <v>11</v>
      </c>
      <c r="H11" s="421"/>
      <c r="I11" s="400"/>
      <c r="J11" s="422" t="s">
        <v>12</v>
      </c>
      <c r="K11" s="398"/>
      <c r="L11" s="423"/>
      <c r="M11" s="386"/>
      <c r="N11" s="408" t="s">
        <v>312</v>
      </c>
      <c r="O11" s="400"/>
      <c r="P11" s="400" t="s">
        <v>311</v>
      </c>
      <c r="Q11" s="399" t="s">
        <v>335</v>
      </c>
      <c r="R11" s="386"/>
      <c r="S11" s="416">
        <f>D11</f>
        <v>318600</v>
      </c>
      <c r="T11" s="417">
        <f>E11</f>
        <v>318600</v>
      </c>
      <c r="U11" s="386"/>
      <c r="V11" s="386"/>
      <c r="W11" s="386"/>
      <c r="X11" s="398" t="s">
        <v>326</v>
      </c>
    </row>
    <row r="12" spans="1:24">
      <c r="A12" s="634" t="s">
        <v>336</v>
      </c>
      <c r="B12" s="386"/>
      <c r="C12" s="386"/>
      <c r="D12" s="424">
        <f>D10-D11</f>
        <v>1504840.4000000004</v>
      </c>
      <c r="E12" s="425">
        <f>E10-E11</f>
        <v>1894102.8399999999</v>
      </c>
      <c r="F12" s="426">
        <f>E12-D12</f>
        <v>389262.43999999948</v>
      </c>
      <c r="G12" s="427" t="s">
        <v>337</v>
      </c>
      <c r="H12" s="428" t="s">
        <v>312</v>
      </c>
      <c r="I12" s="400"/>
      <c r="J12" s="429" t="s">
        <v>26</v>
      </c>
      <c r="K12" s="421"/>
      <c r="L12" s="415"/>
      <c r="M12" s="386" t="s">
        <v>0</v>
      </c>
      <c r="N12" s="408" t="s">
        <v>338</v>
      </c>
      <c r="O12" s="400"/>
      <c r="P12" s="400" t="s">
        <v>338</v>
      </c>
      <c r="Q12" s="399" t="s">
        <v>338</v>
      </c>
      <c r="R12" s="386"/>
      <c r="S12" s="416">
        <f>S10-S11</f>
        <v>1504840.4000000004</v>
      </c>
      <c r="T12" s="417">
        <f>T10-T11</f>
        <v>1894102.8399999999</v>
      </c>
      <c r="U12" s="386"/>
      <c r="V12" s="386"/>
      <c r="W12" s="386"/>
      <c r="X12" s="398" t="s">
        <v>332</v>
      </c>
    </row>
    <row r="13" spans="1:24">
      <c r="A13" s="391"/>
      <c r="B13" s="386"/>
      <c r="C13" s="386"/>
      <c r="D13" s="404"/>
      <c r="E13" s="430"/>
      <c r="F13" s="400"/>
      <c r="G13" s="386"/>
      <c r="H13" s="386"/>
      <c r="I13" s="386"/>
      <c r="J13" s="399"/>
      <c r="K13" s="400"/>
      <c r="L13" s="386"/>
      <c r="M13" s="386"/>
      <c r="N13" s="408"/>
      <c r="O13" s="400"/>
      <c r="P13" s="400"/>
      <c r="Q13" s="399"/>
      <c r="R13" s="386"/>
      <c r="S13" s="416"/>
      <c r="T13" s="417"/>
      <c r="U13" s="386"/>
      <c r="V13" s="386"/>
      <c r="W13" s="386"/>
      <c r="X13" s="398" t="s">
        <v>26</v>
      </c>
    </row>
    <row r="14" spans="1:24">
      <c r="A14" s="391" t="s">
        <v>339</v>
      </c>
      <c r="B14" s="386" t="s">
        <v>23</v>
      </c>
      <c r="C14" s="431">
        <v>15</v>
      </c>
      <c r="D14" s="432">
        <v>0.12</v>
      </c>
      <c r="E14" s="433">
        <f t="shared" ref="E14" si="0">ROUND(D14*(1+$E$8),2)</f>
        <v>0.15</v>
      </c>
      <c r="F14" s="400"/>
      <c r="G14" s="434">
        <f t="shared" ref="G14:G26" si="1">E14-D14</f>
        <v>0.03</v>
      </c>
      <c r="H14" s="435">
        <v>2599</v>
      </c>
      <c r="I14" s="435"/>
      <c r="J14" s="417">
        <f>H14*E14*12</f>
        <v>4678.2</v>
      </c>
      <c r="K14" s="434"/>
      <c r="L14" s="392">
        <f t="shared" ref="L14:L26" si="2">(E14-D14)/D14</f>
        <v>0.25</v>
      </c>
      <c r="M14" s="386"/>
      <c r="N14" s="436">
        <v>3226</v>
      </c>
      <c r="O14" s="435"/>
      <c r="P14" s="435">
        <f t="shared" ref="P14:P18" si="3">Q14/D14/12</f>
        <v>961.45833333333337</v>
      </c>
      <c r="Q14" s="417">
        <v>1384.5</v>
      </c>
      <c r="R14" s="386"/>
      <c r="S14" s="416">
        <f t="shared" ref="S14:S18" si="4">P14*D14*12</f>
        <v>1384.5</v>
      </c>
      <c r="T14" s="417">
        <f>H14*E14*12</f>
        <v>4678.2</v>
      </c>
      <c r="U14" s="386"/>
      <c r="V14" s="437">
        <f>(J14-X14)/X14</f>
        <v>0.24999999999999997</v>
      </c>
      <c r="W14" s="386"/>
      <c r="X14" s="415">
        <v>3742.56</v>
      </c>
    </row>
    <row r="15" spans="1:24">
      <c r="A15" s="391"/>
      <c r="B15" s="386" t="s">
        <v>23</v>
      </c>
      <c r="C15" s="438" t="s">
        <v>340</v>
      </c>
      <c r="D15" s="432">
        <v>0.68</v>
      </c>
      <c r="E15" s="433">
        <f>ROUND(D15*(1+$E$8),2)</f>
        <v>0.83</v>
      </c>
      <c r="F15" s="400"/>
      <c r="G15" s="434">
        <f t="shared" si="1"/>
        <v>0.14999999999999991</v>
      </c>
      <c r="H15" s="435">
        <f>100214-E29+D29</f>
        <v>99742</v>
      </c>
      <c r="I15" s="435"/>
      <c r="J15" s="417">
        <f>(H15)*E15*12</f>
        <v>993430.32000000007</v>
      </c>
      <c r="K15" s="434"/>
      <c r="L15" s="392">
        <f t="shared" si="2"/>
        <v>0.2205882352941175</v>
      </c>
      <c r="M15" s="386"/>
      <c r="N15" s="436">
        <v>130394</v>
      </c>
      <c r="O15" s="435"/>
      <c r="P15" s="435">
        <f t="shared" si="3"/>
        <v>32793.084558823532</v>
      </c>
      <c r="Q15" s="417">
        <v>267591.57</v>
      </c>
      <c r="R15" s="386"/>
      <c r="S15" s="416">
        <f t="shared" si="4"/>
        <v>267591.57000000007</v>
      </c>
      <c r="T15" s="417">
        <f>(H15-E29)*E15*12</f>
        <v>941718</v>
      </c>
      <c r="U15" s="386"/>
      <c r="V15" s="437">
        <f t="shared" ref="V15:V27" si="5">(J15-X15)/X15</f>
        <v>0.22058823529411778</v>
      </c>
      <c r="W15" s="386"/>
      <c r="X15" s="415">
        <v>813894.72</v>
      </c>
    </row>
    <row r="16" spans="1:24">
      <c r="A16" s="391"/>
      <c r="B16" s="386" t="s">
        <v>23</v>
      </c>
      <c r="C16" s="431">
        <v>24</v>
      </c>
      <c r="D16" s="432">
        <v>1.42</v>
      </c>
      <c r="E16" s="433">
        <f>ROUND(D16*(1+$E$8),2)-0.01</f>
        <v>1.71</v>
      </c>
      <c r="F16" s="400"/>
      <c r="G16" s="434">
        <f t="shared" si="1"/>
        <v>0.29000000000000004</v>
      </c>
      <c r="H16" s="435">
        <v>18647</v>
      </c>
      <c r="I16" s="435"/>
      <c r="J16" s="417">
        <f>H16*E16*12</f>
        <v>382636.44</v>
      </c>
      <c r="K16" s="434"/>
      <c r="L16" s="392">
        <f t="shared" si="2"/>
        <v>0.20422535211267609</v>
      </c>
      <c r="M16" s="386"/>
      <c r="N16" s="436">
        <v>19694</v>
      </c>
      <c r="O16" s="435"/>
      <c r="P16" s="435">
        <f t="shared" si="3"/>
        <v>5480.1238262910801</v>
      </c>
      <c r="Q16" s="417">
        <v>93381.31</v>
      </c>
      <c r="R16" s="386"/>
      <c r="S16" s="416">
        <f t="shared" si="4"/>
        <v>93381.31</v>
      </c>
      <c r="T16" s="417">
        <f>H16*E16*12</f>
        <v>382636.44</v>
      </c>
      <c r="U16" s="386"/>
      <c r="V16" s="437">
        <f t="shared" si="5"/>
        <v>0.20422535211267603</v>
      </c>
      <c r="W16" s="386"/>
      <c r="X16" s="415">
        <v>317744.88</v>
      </c>
    </row>
    <row r="17" spans="1:24">
      <c r="A17" s="391"/>
      <c r="B17" s="386" t="s">
        <v>23</v>
      </c>
      <c r="C17" s="431">
        <v>33</v>
      </c>
      <c r="D17" s="432">
        <v>34.58</v>
      </c>
      <c r="E17" s="433">
        <f>ROUND(D17*(1+$E$8),2)-0.1</f>
        <v>41.85</v>
      </c>
      <c r="F17" s="400"/>
      <c r="G17" s="434">
        <f t="shared" si="1"/>
        <v>7.2700000000000031</v>
      </c>
      <c r="H17" s="435">
        <v>0</v>
      </c>
      <c r="I17" s="435"/>
      <c r="J17" s="417">
        <f>H17*E17*12</f>
        <v>0</v>
      </c>
      <c r="K17" s="434"/>
      <c r="L17" s="392">
        <f t="shared" si="2"/>
        <v>0.21023713128976296</v>
      </c>
      <c r="M17" s="386"/>
      <c r="N17" s="436">
        <v>1</v>
      </c>
      <c r="O17" s="435"/>
      <c r="P17" s="435">
        <f t="shared" si="3"/>
        <v>9.8154038943512614E-2</v>
      </c>
      <c r="Q17" s="417">
        <v>40.729999999999997</v>
      </c>
      <c r="R17" s="386"/>
      <c r="S17" s="416">
        <f t="shared" si="4"/>
        <v>40.72999999999999</v>
      </c>
      <c r="T17" s="417">
        <f>H17*E17*12</f>
        <v>0</v>
      </c>
      <c r="U17" s="386"/>
      <c r="V17" s="437">
        <f>V18</f>
        <v>0.21023713128976301</v>
      </c>
      <c r="W17" s="386"/>
      <c r="X17" s="415">
        <v>0</v>
      </c>
    </row>
    <row r="18" spans="1:24">
      <c r="A18" s="391"/>
      <c r="B18" s="386" t="s">
        <v>23</v>
      </c>
      <c r="C18" s="431">
        <v>36</v>
      </c>
      <c r="D18" s="432">
        <v>34.58</v>
      </c>
      <c r="E18" s="433">
        <f>ROUND(D18*(1+$E$8),2)-0.1</f>
        <v>41.85</v>
      </c>
      <c r="F18" s="400"/>
      <c r="G18" s="434">
        <f t="shared" si="1"/>
        <v>7.2700000000000031</v>
      </c>
      <c r="H18" s="435">
        <v>1044</v>
      </c>
      <c r="I18" s="435"/>
      <c r="J18" s="417">
        <f>H18*E18*12</f>
        <v>524296.80000000005</v>
      </c>
      <c r="K18" s="434"/>
      <c r="L18" s="392">
        <f t="shared" si="2"/>
        <v>0.21023713128976296</v>
      </c>
      <c r="M18" s="386"/>
      <c r="N18" s="436">
        <v>1318</v>
      </c>
      <c r="O18" s="435"/>
      <c r="P18" s="435">
        <f t="shared" si="3"/>
        <v>320.64035087719304</v>
      </c>
      <c r="Q18" s="417">
        <v>133052.92000000001</v>
      </c>
      <c r="R18" s="386"/>
      <c r="S18" s="416">
        <f t="shared" si="4"/>
        <v>133052.92000000004</v>
      </c>
      <c r="T18" s="417">
        <f>H18*E18*12</f>
        <v>524296.80000000005</v>
      </c>
      <c r="U18" s="386"/>
      <c r="V18" s="437">
        <f t="shared" si="5"/>
        <v>0.21023713128976301</v>
      </c>
      <c r="W18" s="386"/>
      <c r="X18" s="415">
        <v>433218.24</v>
      </c>
    </row>
    <row r="19" spans="1:24">
      <c r="A19" s="391"/>
      <c r="B19" s="386" t="s">
        <v>23</v>
      </c>
      <c r="C19" s="431">
        <v>40</v>
      </c>
      <c r="D19" s="432">
        <v>14.28</v>
      </c>
      <c r="E19" s="433">
        <f>ROUND(D19*(1+$E$8),2)-0.08</f>
        <v>17.25</v>
      </c>
      <c r="F19" s="439" t="s">
        <v>341</v>
      </c>
      <c r="G19" s="434">
        <f t="shared" si="1"/>
        <v>2.9700000000000006</v>
      </c>
      <c r="H19" s="435">
        <v>5260</v>
      </c>
      <c r="I19" s="435"/>
      <c r="J19" s="417">
        <f>H19*E19</f>
        <v>90735</v>
      </c>
      <c r="K19" s="434"/>
      <c r="L19" s="392">
        <f t="shared" si="2"/>
        <v>0.20798319327731099</v>
      </c>
      <c r="M19" s="434"/>
      <c r="N19" s="436">
        <v>3590</v>
      </c>
      <c r="O19" s="435"/>
      <c r="P19" s="435">
        <f>Q19/D19</f>
        <v>1089.7303921568628</v>
      </c>
      <c r="Q19" s="417">
        <v>15561.35</v>
      </c>
      <c r="R19" s="386"/>
      <c r="S19" s="416">
        <f>P19*D19</f>
        <v>15561.35</v>
      </c>
      <c r="T19" s="417">
        <f>H19*E19</f>
        <v>90735</v>
      </c>
      <c r="U19" s="386"/>
      <c r="V19" s="437">
        <f t="shared" si="5"/>
        <v>0.20798319327731088</v>
      </c>
      <c r="W19" s="386"/>
      <c r="X19" s="415">
        <v>75112.800000000003</v>
      </c>
    </row>
    <row r="20" spans="1:24">
      <c r="A20" s="391"/>
      <c r="B20" s="386" t="s">
        <v>23</v>
      </c>
      <c r="C20" s="431" t="s">
        <v>342</v>
      </c>
      <c r="D20" s="432">
        <v>234.85</v>
      </c>
      <c r="E20" s="433">
        <f>ROUND(D20*(1+$E$8),2)-1.43</f>
        <v>283.5</v>
      </c>
      <c r="F20" s="400"/>
      <c r="G20" s="434">
        <f t="shared" si="1"/>
        <v>48.650000000000006</v>
      </c>
      <c r="H20" s="435">
        <v>1</v>
      </c>
      <c r="I20" s="435"/>
      <c r="J20" s="417">
        <f t="shared" ref="J20:J26" si="6">H20*E20*12</f>
        <v>3402</v>
      </c>
      <c r="K20" s="434"/>
      <c r="L20" s="392">
        <f t="shared" si="2"/>
        <v>0.20715350223546947</v>
      </c>
      <c r="M20" s="434"/>
      <c r="N20" s="436">
        <v>1</v>
      </c>
      <c r="O20" s="435"/>
      <c r="P20" s="435">
        <f t="shared" ref="P20:P26" si="7">Q20/D20/12</f>
        <v>0.31935277836917181</v>
      </c>
      <c r="Q20" s="417">
        <v>900</v>
      </c>
      <c r="R20" s="386"/>
      <c r="S20" s="416">
        <f t="shared" ref="S20:S26" si="8">P20*D20*12</f>
        <v>900</v>
      </c>
      <c r="T20" s="417">
        <f t="shared" ref="T20:T26" si="9">H20*E20*12</f>
        <v>3402</v>
      </c>
      <c r="U20" s="386"/>
      <c r="V20" s="437">
        <f t="shared" si="5"/>
        <v>0.20715350223546952</v>
      </c>
      <c r="W20" s="386"/>
      <c r="X20" s="415">
        <v>2818.2</v>
      </c>
    </row>
    <row r="21" spans="1:24">
      <c r="A21" s="391"/>
      <c r="B21" s="386" t="s">
        <v>23</v>
      </c>
      <c r="C21" s="431" t="s">
        <v>343</v>
      </c>
      <c r="D21" s="432">
        <v>234.85</v>
      </c>
      <c r="E21" s="433">
        <f>ROUND(D21*(1+$E$8),2)-1.43</f>
        <v>283.5</v>
      </c>
      <c r="F21" s="400"/>
      <c r="G21" s="434">
        <f t="shared" si="1"/>
        <v>48.650000000000006</v>
      </c>
      <c r="H21" s="435">
        <v>59</v>
      </c>
      <c r="I21" s="435"/>
      <c r="J21" s="417">
        <f t="shared" si="6"/>
        <v>200718</v>
      </c>
      <c r="K21" s="434"/>
      <c r="L21" s="392">
        <f t="shared" si="2"/>
        <v>0.20715350223546947</v>
      </c>
      <c r="M21" s="434"/>
      <c r="N21" s="436">
        <v>77</v>
      </c>
      <c r="O21" s="435"/>
      <c r="P21" s="435">
        <f t="shared" si="7"/>
        <v>20.616808601234833</v>
      </c>
      <c r="Q21" s="417">
        <v>58102.29</v>
      </c>
      <c r="R21" s="386"/>
      <c r="S21" s="416">
        <f t="shared" si="8"/>
        <v>58102.29</v>
      </c>
      <c r="T21" s="417">
        <f t="shared" si="9"/>
        <v>200718</v>
      </c>
      <c r="U21" s="386"/>
      <c r="V21" s="437">
        <f t="shared" si="5"/>
        <v>0.20715350223546952</v>
      </c>
      <c r="W21" s="386"/>
      <c r="X21" s="415">
        <v>166273.79999999999</v>
      </c>
    </row>
    <row r="22" spans="1:24">
      <c r="A22" s="391"/>
      <c r="B22" s="386" t="s">
        <v>23</v>
      </c>
      <c r="C22" s="431">
        <v>51</v>
      </c>
      <c r="D22" s="432">
        <v>1.96</v>
      </c>
      <c r="E22" s="433">
        <f>ROUND(D22*(1+$E$8),2)-0.02</f>
        <v>2.36</v>
      </c>
      <c r="F22" s="440"/>
      <c r="G22" s="434">
        <f t="shared" si="1"/>
        <v>0.39999999999999991</v>
      </c>
      <c r="H22" s="435">
        <v>163</v>
      </c>
      <c r="I22" s="435"/>
      <c r="J22" s="417">
        <f t="shared" si="6"/>
        <v>4616.16</v>
      </c>
      <c r="K22" s="434"/>
      <c r="L22" s="392">
        <f t="shared" si="2"/>
        <v>0.20408163265306117</v>
      </c>
      <c r="M22" s="400"/>
      <c r="N22" s="436">
        <v>149</v>
      </c>
      <c r="O22" s="435"/>
      <c r="P22" s="435">
        <f t="shared" si="7"/>
        <v>44.579506802721085</v>
      </c>
      <c r="Q22" s="417">
        <v>1048.51</v>
      </c>
      <c r="R22" s="386"/>
      <c r="S22" s="416">
        <f t="shared" si="8"/>
        <v>1048.5099999999998</v>
      </c>
      <c r="T22" s="417">
        <f t="shared" si="9"/>
        <v>4616.16</v>
      </c>
      <c r="U22" s="386"/>
      <c r="V22" s="437">
        <f t="shared" si="5"/>
        <v>0.20408163265306112</v>
      </c>
      <c r="W22" s="386"/>
      <c r="X22" s="415">
        <v>3833.76</v>
      </c>
    </row>
    <row r="23" spans="1:24">
      <c r="A23" s="391"/>
      <c r="B23" s="386" t="s">
        <v>23</v>
      </c>
      <c r="C23" s="431">
        <v>52</v>
      </c>
      <c r="D23" s="432">
        <v>1.96</v>
      </c>
      <c r="E23" s="433">
        <f>ROUND(D23*(1+$E$8),2)-0.02</f>
        <v>2.36</v>
      </c>
      <c r="F23" s="400"/>
      <c r="G23" s="434">
        <f t="shared" si="1"/>
        <v>0.39999999999999991</v>
      </c>
      <c r="H23" s="435">
        <v>18</v>
      </c>
      <c r="I23" s="435"/>
      <c r="J23" s="417">
        <f t="shared" si="6"/>
        <v>509.76</v>
      </c>
      <c r="K23" s="434"/>
      <c r="L23" s="392">
        <f t="shared" si="2"/>
        <v>0.20408163265306117</v>
      </c>
      <c r="M23" s="400"/>
      <c r="N23" s="436">
        <v>28</v>
      </c>
      <c r="O23" s="435"/>
      <c r="P23" s="435">
        <f t="shared" si="7"/>
        <v>7.0051020408163263</v>
      </c>
      <c r="Q23" s="417">
        <v>164.76</v>
      </c>
      <c r="R23" s="386"/>
      <c r="S23" s="416">
        <f t="shared" si="8"/>
        <v>164.76</v>
      </c>
      <c r="T23" s="417">
        <f t="shared" si="9"/>
        <v>509.76</v>
      </c>
      <c r="U23" s="386"/>
      <c r="V23" s="437">
        <f t="shared" si="5"/>
        <v>0.20408163265306117</v>
      </c>
      <c r="W23" s="386"/>
      <c r="X23" s="415">
        <v>423.36</v>
      </c>
    </row>
    <row r="24" spans="1:24">
      <c r="A24" s="391"/>
      <c r="B24" s="386" t="s">
        <v>23</v>
      </c>
      <c r="C24" s="431">
        <v>53</v>
      </c>
      <c r="D24" s="432">
        <v>1.96</v>
      </c>
      <c r="E24" s="433">
        <f>ROUND(D24*(1+$E$8),2)-0.02</f>
        <v>2.36</v>
      </c>
      <c r="F24" s="400"/>
      <c r="G24" s="434">
        <f t="shared" si="1"/>
        <v>0.39999999999999991</v>
      </c>
      <c r="H24" s="435">
        <v>220</v>
      </c>
      <c r="I24" s="435"/>
      <c r="J24" s="417">
        <f t="shared" si="6"/>
        <v>6230.4</v>
      </c>
      <c r="K24" s="434"/>
      <c r="L24" s="392">
        <f t="shared" si="2"/>
        <v>0.20408163265306117</v>
      </c>
      <c r="M24" s="400"/>
      <c r="N24" s="436">
        <v>264</v>
      </c>
      <c r="O24" s="435"/>
      <c r="P24" s="435">
        <f t="shared" si="7"/>
        <v>81.253401360544217</v>
      </c>
      <c r="Q24" s="417">
        <v>1911.08</v>
      </c>
      <c r="R24" s="386"/>
      <c r="S24" s="416">
        <f t="shared" si="8"/>
        <v>1911.08</v>
      </c>
      <c r="T24" s="417">
        <f t="shared" si="9"/>
        <v>6230.4</v>
      </c>
      <c r="U24" s="386"/>
      <c r="V24" s="437">
        <f t="shared" si="5"/>
        <v>0.20408163265306123</v>
      </c>
      <c r="W24" s="386"/>
      <c r="X24" s="415">
        <v>5174.3999999999996</v>
      </c>
    </row>
    <row r="25" spans="1:24">
      <c r="A25" s="391"/>
      <c r="B25" s="386" t="s">
        <v>23</v>
      </c>
      <c r="C25" s="431">
        <v>54</v>
      </c>
      <c r="D25" s="432">
        <v>0.68</v>
      </c>
      <c r="E25" s="433">
        <f>ROUND(D25*(1+$E$8),2)-0.01</f>
        <v>0.82</v>
      </c>
      <c r="F25" s="400"/>
      <c r="G25" s="434">
        <f t="shared" si="1"/>
        <v>0.1399999999999999</v>
      </c>
      <c r="H25" s="435">
        <v>29.333333333333332</v>
      </c>
      <c r="I25" s="435"/>
      <c r="J25" s="417">
        <f t="shared" si="6"/>
        <v>288.64</v>
      </c>
      <c r="K25" s="434"/>
      <c r="L25" s="392">
        <f t="shared" si="2"/>
        <v>0.20588235294117632</v>
      </c>
      <c r="M25" s="400"/>
      <c r="N25" s="436">
        <v>34</v>
      </c>
      <c r="O25" s="435"/>
      <c r="P25" s="435">
        <f t="shared" si="7"/>
        <v>9.5122549019607838</v>
      </c>
      <c r="Q25" s="417">
        <v>77.62</v>
      </c>
      <c r="R25" s="386"/>
      <c r="S25" s="416">
        <f t="shared" si="8"/>
        <v>77.62</v>
      </c>
      <c r="T25" s="417">
        <f t="shared" si="9"/>
        <v>288.64</v>
      </c>
      <c r="U25" s="386"/>
      <c r="V25" s="437">
        <f t="shared" si="5"/>
        <v>0.20588235294117635</v>
      </c>
      <c r="W25" s="386"/>
      <c r="X25" s="415">
        <v>239.36</v>
      </c>
    </row>
    <row r="26" spans="1:24">
      <c r="A26" s="391"/>
      <c r="B26" s="386" t="s">
        <v>23</v>
      </c>
      <c r="C26" s="431">
        <v>57</v>
      </c>
      <c r="D26" s="432">
        <v>1.96</v>
      </c>
      <c r="E26" s="433">
        <f>ROUND(D26*(1+$E$8),2)-0.02</f>
        <v>2.36</v>
      </c>
      <c r="F26" s="400"/>
      <c r="G26" s="434">
        <f t="shared" si="1"/>
        <v>0.39999999999999991</v>
      </c>
      <c r="H26" s="441">
        <v>41</v>
      </c>
      <c r="I26" s="435"/>
      <c r="J26" s="442">
        <f t="shared" si="6"/>
        <v>1161.1199999999999</v>
      </c>
      <c r="K26" s="443"/>
      <c r="L26" s="392">
        <f t="shared" si="2"/>
        <v>0.20408163265306117</v>
      </c>
      <c r="M26" s="400"/>
      <c r="N26" s="436">
        <v>66</v>
      </c>
      <c r="O26" s="435"/>
      <c r="P26" s="435">
        <f t="shared" si="7"/>
        <v>20.441326530612244</v>
      </c>
      <c r="Q26" s="417">
        <v>480.78</v>
      </c>
      <c r="R26" s="386"/>
      <c r="S26" s="416">
        <f t="shared" si="8"/>
        <v>480.78</v>
      </c>
      <c r="T26" s="417">
        <f t="shared" si="9"/>
        <v>1161.1199999999999</v>
      </c>
      <c r="U26" s="386"/>
      <c r="V26" s="437">
        <f t="shared" si="5"/>
        <v>0.2040816326530612</v>
      </c>
      <c r="W26" s="386"/>
      <c r="X26" s="415">
        <v>964.31999999999994</v>
      </c>
    </row>
    <row r="27" spans="1:24">
      <c r="A27" s="391"/>
      <c r="B27" s="386"/>
      <c r="C27" s="386"/>
      <c r="D27" s="404"/>
      <c r="E27" s="444"/>
      <c r="F27" s="400"/>
      <c r="G27" s="400"/>
      <c r="H27" s="435">
        <f>SUM(H14:H26)</f>
        <v>127823.33333333333</v>
      </c>
      <c r="I27" s="435"/>
      <c r="J27" s="417">
        <f>SUM(J14:J26)</f>
        <v>2212702.84</v>
      </c>
      <c r="K27" s="434"/>
      <c r="L27" s="434"/>
      <c r="M27" s="400"/>
      <c r="N27" s="436">
        <v>158986</v>
      </c>
      <c r="O27" s="435"/>
      <c r="P27" s="435">
        <f>SUM(P14:P26)</f>
        <v>40828.86336853719</v>
      </c>
      <c r="Q27" s="417">
        <v>574056.87</v>
      </c>
      <c r="R27" s="386"/>
      <c r="S27" s="416">
        <f>SUM(S14:S26)</f>
        <v>573697.42000000004</v>
      </c>
      <c r="T27" s="417">
        <f>SUM(T14:T26)</f>
        <v>2160990.52</v>
      </c>
      <c r="U27" s="386"/>
      <c r="V27" s="437">
        <f t="shared" si="5"/>
        <v>0.21347691978306468</v>
      </c>
      <c r="W27" s="386"/>
      <c r="X27" s="445">
        <f>SUM(X14:X26)</f>
        <v>1823440.4000000004</v>
      </c>
    </row>
    <row r="28" spans="1:24">
      <c r="A28" s="431" t="s">
        <v>0</v>
      </c>
      <c r="B28" s="391" t="s">
        <v>0</v>
      </c>
      <c r="C28" s="386"/>
      <c r="D28" s="446"/>
      <c r="E28" s="444"/>
      <c r="F28" s="400"/>
      <c r="G28" s="400"/>
      <c r="H28" s="400"/>
      <c r="I28" s="400"/>
      <c r="J28" s="399"/>
      <c r="K28" s="400"/>
    </row>
    <row r="29" spans="1:24">
      <c r="A29" s="391" t="s">
        <v>344</v>
      </c>
      <c r="B29" s="386" t="s">
        <v>0</v>
      </c>
      <c r="C29" s="391" t="s">
        <v>0</v>
      </c>
      <c r="D29" s="447">
        <v>4720</v>
      </c>
      <c r="E29" s="448">
        <v>5192</v>
      </c>
      <c r="F29" s="449">
        <f>E29-D29</f>
        <v>472</v>
      </c>
      <c r="G29" s="406"/>
      <c r="H29" s="406"/>
      <c r="I29" s="406"/>
      <c r="J29" s="420">
        <f>+J27-E48</f>
        <v>-39.63236559741199</v>
      </c>
      <c r="K29" s="400"/>
    </row>
    <row r="30" spans="1:24">
      <c r="A30" s="431"/>
      <c r="B30" s="386"/>
      <c r="C30" s="391"/>
      <c r="D30" s="450"/>
      <c r="E30" s="451"/>
      <c r="F30" s="452"/>
      <c r="G30" s="400"/>
      <c r="H30" s="400"/>
      <c r="I30" s="400"/>
      <c r="J30" s="453" t="s">
        <v>345</v>
      </c>
      <c r="K30" s="400"/>
    </row>
    <row r="31" spans="1:24">
      <c r="A31" s="454" t="s">
        <v>346</v>
      </c>
      <c r="B31" s="386"/>
      <c r="C31" s="391"/>
      <c r="D31" s="455"/>
      <c r="E31" s="451"/>
      <c r="F31" s="452"/>
      <c r="G31" s="400"/>
      <c r="H31" s="400"/>
      <c r="I31" s="400"/>
      <c r="J31" s="400"/>
      <c r="K31" s="400"/>
    </row>
    <row r="32" spans="1:24">
      <c r="A32" s="431" t="s">
        <v>347</v>
      </c>
      <c r="B32" s="386"/>
      <c r="C32" s="391"/>
      <c r="D32" s="455"/>
      <c r="E32" s="451"/>
      <c r="F32" s="452"/>
      <c r="G32" s="400"/>
      <c r="H32" s="400"/>
      <c r="I32" s="400"/>
      <c r="J32" s="400"/>
      <c r="K32" s="400"/>
    </row>
    <row r="33" spans="1:23">
      <c r="A33" s="431"/>
      <c r="B33" s="386"/>
      <c r="C33" s="391"/>
      <c r="D33" s="455"/>
      <c r="E33" s="451"/>
      <c r="F33" s="452"/>
      <c r="G33" s="398" t="s">
        <v>27</v>
      </c>
      <c r="H33" s="398" t="s">
        <v>111</v>
      </c>
      <c r="I33" s="400"/>
      <c r="J33" s="400"/>
      <c r="K33" s="400"/>
      <c r="W33" t="s">
        <v>0</v>
      </c>
    </row>
    <row r="34" spans="1:23">
      <c r="A34" s="456" t="s">
        <v>348</v>
      </c>
      <c r="B34" s="386"/>
      <c r="C34" s="391"/>
      <c r="D34" s="455" t="s">
        <v>329</v>
      </c>
      <c r="E34" s="451" t="s">
        <v>330</v>
      </c>
      <c r="F34" s="452"/>
      <c r="G34" s="398" t="s">
        <v>349</v>
      </c>
      <c r="H34" s="398" t="s">
        <v>349</v>
      </c>
      <c r="I34" s="400"/>
      <c r="J34" s="400"/>
      <c r="K34" s="400"/>
    </row>
    <row r="35" spans="1:23">
      <c r="A35" s="386" t="s">
        <v>350</v>
      </c>
      <c r="B35" s="386"/>
      <c r="C35" s="386"/>
      <c r="D35" s="457">
        <v>289.83999999999997</v>
      </c>
      <c r="E35" s="457">
        <f>E44</f>
        <v>364.81942842172515</v>
      </c>
      <c r="F35" s="386"/>
      <c r="G35" s="458">
        <f>E35-D35</f>
        <v>74.979428421725174</v>
      </c>
      <c r="H35" s="459">
        <f>G35/D35</f>
        <v>0.25869248006391521</v>
      </c>
      <c r="I35" s="386"/>
      <c r="J35" s="386" t="s">
        <v>0</v>
      </c>
      <c r="K35" s="386"/>
      <c r="L35" s="460"/>
    </row>
    <row r="36" spans="1:23">
      <c r="A36" s="431" t="s">
        <v>351</v>
      </c>
      <c r="B36" s="386"/>
      <c r="C36" s="386"/>
      <c r="D36" s="461">
        <f>+B11</f>
        <v>67.5</v>
      </c>
      <c r="E36" s="461">
        <f>+C11</f>
        <v>67.5</v>
      </c>
      <c r="F36" s="386"/>
      <c r="G36" s="386"/>
      <c r="H36" s="386"/>
      <c r="I36" s="386"/>
      <c r="J36" s="386"/>
      <c r="K36" s="386"/>
    </row>
    <row r="37" spans="1:23">
      <c r="A37" s="431" t="s">
        <v>352</v>
      </c>
      <c r="B37" s="386"/>
      <c r="C37" s="386"/>
      <c r="D37" s="457">
        <f>SUM(D35:D36)</f>
        <v>357.34</v>
      </c>
      <c r="E37" s="457">
        <f>SUM(E35:E36)</f>
        <v>432.31942842172515</v>
      </c>
      <c r="F37" s="386"/>
      <c r="G37" s="386"/>
      <c r="H37" s="386"/>
      <c r="I37" s="386"/>
      <c r="J37" s="386"/>
      <c r="K37" s="386"/>
    </row>
    <row r="38" spans="1:23">
      <c r="A38" s="431"/>
      <c r="B38" s="386"/>
      <c r="C38" s="386"/>
      <c r="D38" s="457"/>
      <c r="E38" s="457"/>
      <c r="F38" s="386"/>
      <c r="G38" s="386"/>
      <c r="H38" s="386"/>
      <c r="I38" s="386"/>
      <c r="J38" s="386"/>
      <c r="K38" s="386"/>
    </row>
    <row r="39" spans="1:23">
      <c r="A39" s="431" t="s">
        <v>353</v>
      </c>
      <c r="B39" s="386"/>
      <c r="C39" s="386"/>
      <c r="D39" s="462">
        <f>D37*D29</f>
        <v>1686644.7999999998</v>
      </c>
      <c r="E39" s="462">
        <f>E37*E29-F29*E36</f>
        <v>2212742.4723655968</v>
      </c>
      <c r="F39" s="386"/>
      <c r="G39" s="386"/>
      <c r="H39" s="386"/>
      <c r="I39" s="386"/>
      <c r="J39" s="386"/>
      <c r="K39" s="386"/>
    </row>
    <row r="40" spans="1:23">
      <c r="A40" s="463" t="s">
        <v>354</v>
      </c>
      <c r="B40" s="386"/>
      <c r="C40" s="386"/>
      <c r="D40" s="462">
        <f>D35*D29</f>
        <v>1368044.7999999998</v>
      </c>
      <c r="E40" s="462">
        <f>E35*E29</f>
        <v>1894142.472365597</v>
      </c>
      <c r="F40" s="386"/>
      <c r="G40" s="464"/>
      <c r="H40" s="386"/>
      <c r="I40" s="386"/>
      <c r="J40" s="386"/>
      <c r="K40" s="386"/>
    </row>
    <row r="41" spans="1:23">
      <c r="A41" s="463"/>
      <c r="B41" s="386"/>
      <c r="C41" s="386"/>
      <c r="D41" s="462"/>
      <c r="E41" s="462"/>
      <c r="F41" s="386"/>
      <c r="G41" s="386"/>
      <c r="H41" s="386"/>
      <c r="I41" s="386"/>
      <c r="J41" s="386"/>
      <c r="K41" s="386"/>
    </row>
    <row r="42" spans="1:23">
      <c r="A42" s="431"/>
      <c r="B42" s="386"/>
      <c r="C42" s="386"/>
      <c r="D42" s="457"/>
      <c r="E42" s="457"/>
      <c r="F42" s="386"/>
      <c r="G42" s="386"/>
      <c r="H42" s="386"/>
      <c r="I42" s="465" t="s">
        <v>0</v>
      </c>
      <c r="J42" s="386"/>
      <c r="K42" s="386"/>
    </row>
    <row r="43" spans="1:23">
      <c r="A43" s="456" t="s">
        <v>355</v>
      </c>
      <c r="B43" s="386"/>
      <c r="C43" s="386"/>
      <c r="D43" s="457"/>
      <c r="E43" s="457"/>
      <c r="F43" s="386"/>
      <c r="G43" s="386"/>
      <c r="H43" s="386"/>
      <c r="I43" s="386"/>
      <c r="J43" s="386"/>
      <c r="K43" s="386"/>
    </row>
    <row r="44" spans="1:23">
      <c r="A44" s="431" t="s">
        <v>356</v>
      </c>
      <c r="B44" s="466">
        <f>1+B6</f>
        <v>1.2586924800639152</v>
      </c>
      <c r="C44" s="386"/>
      <c r="E44" s="457">
        <f>D35*B44</f>
        <v>364.81942842172515</v>
      </c>
      <c r="F44" s="386"/>
      <c r="G44" s="386"/>
      <c r="H44" s="386"/>
      <c r="I44" s="386"/>
      <c r="J44" s="386"/>
      <c r="K44" s="386"/>
    </row>
    <row r="45" spans="1:23">
      <c r="A45" s="431" t="s">
        <v>357</v>
      </c>
      <c r="B45" s="467">
        <f>+E29</f>
        <v>5192</v>
      </c>
      <c r="C45" s="386"/>
      <c r="E45" s="457"/>
      <c r="F45" s="386"/>
      <c r="G45" s="386"/>
      <c r="H45" s="386"/>
      <c r="I45" s="386"/>
      <c r="J45" s="386"/>
      <c r="K45" s="386"/>
    </row>
    <row r="46" spans="1:23">
      <c r="A46" s="468" t="s">
        <v>358</v>
      </c>
      <c r="B46" s="386"/>
      <c r="C46" s="386"/>
      <c r="E46" s="462">
        <f>+E44*B45</f>
        <v>1894142.472365597</v>
      </c>
      <c r="F46" s="386"/>
      <c r="G46" s="464"/>
      <c r="H46" s="386"/>
      <c r="I46" s="386"/>
      <c r="J46" s="386"/>
      <c r="K46" s="386"/>
    </row>
    <row r="47" spans="1:23">
      <c r="A47" s="468" t="s">
        <v>359</v>
      </c>
      <c r="E47" s="469">
        <f>+E11</f>
        <v>318600</v>
      </c>
    </row>
    <row r="48" spans="1:23">
      <c r="A48" s="470" t="s">
        <v>360</v>
      </c>
      <c r="B48" s="471"/>
      <c r="C48" s="471"/>
      <c r="D48" s="472"/>
      <c r="E48" s="473">
        <f>+E47+E46</f>
        <v>2212742.4723655973</v>
      </c>
    </row>
    <row r="50" spans="1:1">
      <c r="A50" s="474" t="s">
        <v>361</v>
      </c>
    </row>
    <row r="84" spans="1:1">
      <c r="A84" s="633"/>
    </row>
    <row r="101" spans="1:1">
      <c r="A101" s="633"/>
    </row>
    <row r="116" spans="1:1">
      <c r="A116" s="633"/>
    </row>
    <row r="131" spans="1:1">
      <c r="A131" s="633"/>
    </row>
    <row r="146" spans="1:1">
      <c r="A146" s="633"/>
    </row>
    <row r="161" spans="1:1">
      <c r="A161" s="633"/>
    </row>
    <row r="553" spans="1:1">
      <c r="A553" s="633"/>
    </row>
    <row r="594" spans="1:1">
      <c r="A594" s="633"/>
    </row>
    <row r="710" spans="1:1">
      <c r="A710" s="633"/>
    </row>
    <row r="870" spans="1:1">
      <c r="A870" s="633"/>
    </row>
    <row r="892" spans="1:1">
      <c r="A892" s="633"/>
    </row>
    <row r="911" spans="1:1">
      <c r="A911" s="633"/>
    </row>
    <row r="929" spans="1:1">
      <c r="A929" s="633"/>
    </row>
    <row r="985" spans="1:1">
      <c r="A985" s="633"/>
    </row>
    <row r="1079" spans="1:1">
      <c r="A1079" s="633"/>
    </row>
    <row r="1098" spans="1:1">
      <c r="A1098" s="633"/>
    </row>
    <row r="1126" spans="1:1">
      <c r="A1126" s="633"/>
    </row>
    <row r="1139" spans="1:1">
      <c r="A1139" s="633"/>
    </row>
    <row r="1151" spans="1:1">
      <c r="A1151" s="633"/>
    </row>
    <row r="1179" spans="1:1">
      <c r="A1179" s="633"/>
    </row>
    <row r="1191" spans="1:1">
      <c r="A1191" s="633"/>
    </row>
    <row r="1204" spans="1:1">
      <c r="A1204" s="633"/>
    </row>
  </sheetData>
  <mergeCells count="4">
    <mergeCell ref="A1:J1"/>
    <mergeCell ref="A2:J2"/>
    <mergeCell ref="A3:J3"/>
    <mergeCell ref="B9:C9"/>
  </mergeCells>
  <printOptions horizontalCentered="1"/>
  <pageMargins left="0.7" right="0.7" top="0.75" bottom="0.75" header="0.3" footer="0.3"/>
  <pageSetup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04"/>
  <sheetViews>
    <sheetView view="pageBreakPreview" zoomScaleNormal="100" zoomScaleSheetLayoutView="100" workbookViewId="0">
      <selection activeCell="O1260" sqref="O1260"/>
    </sheetView>
  </sheetViews>
  <sheetFormatPr defaultRowHeight="15.75"/>
  <cols>
    <col min="1" max="1" width="16.125" customWidth="1"/>
    <col min="3" max="3" width="10.5" bestFit="1" customWidth="1"/>
    <col min="5" max="5" width="9.625" customWidth="1"/>
    <col min="6" max="6" width="13.25" customWidth="1"/>
  </cols>
  <sheetData>
    <row r="1" spans="1:8">
      <c r="A1" s="629" t="s">
        <v>314</v>
      </c>
      <c r="B1" s="629"/>
      <c r="C1" s="629"/>
      <c r="D1" s="629"/>
      <c r="E1" s="629"/>
      <c r="F1" s="629"/>
    </row>
    <row r="2" spans="1:8">
      <c r="A2" s="629" t="s">
        <v>362</v>
      </c>
      <c r="B2" s="629"/>
      <c r="C2" s="629"/>
      <c r="D2" s="629"/>
      <c r="E2" s="629"/>
      <c r="F2" s="629"/>
    </row>
    <row r="3" spans="1:8">
      <c r="A3" s="629" t="s">
        <v>363</v>
      </c>
      <c r="B3" s="629"/>
      <c r="C3" s="629"/>
      <c r="D3" s="629"/>
      <c r="E3" s="629"/>
      <c r="F3" s="629"/>
    </row>
    <row r="4" spans="1:8">
      <c r="A4" s="386"/>
      <c r="B4" s="386"/>
      <c r="C4" s="386"/>
      <c r="D4" s="386"/>
      <c r="E4" s="386"/>
      <c r="F4" s="386"/>
    </row>
    <row r="5" spans="1:8">
      <c r="A5" s="386"/>
      <c r="B5" s="630"/>
      <c r="C5" s="630"/>
      <c r="D5" s="630"/>
      <c r="E5" s="630"/>
      <c r="F5" s="630"/>
      <c r="H5" s="475" t="s">
        <v>319</v>
      </c>
    </row>
    <row r="6" spans="1:8">
      <c r="A6" s="431" t="s">
        <v>364</v>
      </c>
      <c r="B6" s="407" t="s">
        <v>326</v>
      </c>
      <c r="C6" s="407" t="s">
        <v>365</v>
      </c>
      <c r="D6" s="407" t="s">
        <v>366</v>
      </c>
      <c r="E6" s="407" t="s">
        <v>367</v>
      </c>
      <c r="F6" s="398" t="s">
        <v>326</v>
      </c>
      <c r="H6" s="407" t="s">
        <v>367</v>
      </c>
    </row>
    <row r="7" spans="1:8">
      <c r="A7" s="476" t="s">
        <v>368</v>
      </c>
      <c r="B7" s="477" t="s">
        <v>312</v>
      </c>
      <c r="C7" s="477" t="s">
        <v>369</v>
      </c>
      <c r="D7" s="477" t="s">
        <v>370</v>
      </c>
      <c r="E7" s="478" t="s">
        <v>371</v>
      </c>
      <c r="F7" s="477" t="s">
        <v>372</v>
      </c>
      <c r="H7" s="478" t="s">
        <v>371</v>
      </c>
    </row>
    <row r="8" spans="1:8">
      <c r="A8" s="454" t="s">
        <v>373</v>
      </c>
      <c r="B8" s="479">
        <v>2564.5333333333333</v>
      </c>
      <c r="C8" s="415">
        <f>F8*E8/100</f>
        <v>1205702.8522635787</v>
      </c>
      <c r="D8" s="458">
        <f>C8/B8</f>
        <v>470.14512800129148</v>
      </c>
      <c r="E8" s="480">
        <f>ROUND(H8*(1+$E$14),3)</f>
        <v>7.2359999999999998</v>
      </c>
      <c r="F8" s="479">
        <v>16662560.14736842</v>
      </c>
      <c r="H8" s="481">
        <v>5.8280000000000003</v>
      </c>
    </row>
    <row r="9" spans="1:8">
      <c r="A9" s="454" t="s">
        <v>374</v>
      </c>
      <c r="B9" s="479">
        <v>1491.1473684210525</v>
      </c>
      <c r="C9" s="415">
        <f>F9*E9/100</f>
        <v>462237.96488336846</v>
      </c>
      <c r="D9" s="458">
        <f>C9/B9</f>
        <v>309.98811698458979</v>
      </c>
      <c r="E9" s="480">
        <f>ROUND(H9*(1+$E$14),3)</f>
        <v>4.8680000000000003</v>
      </c>
      <c r="F9" s="479">
        <v>9495438.8842105269</v>
      </c>
      <c r="H9">
        <v>3.9209999999999998</v>
      </c>
    </row>
    <row r="10" spans="1:8">
      <c r="A10" s="454" t="s">
        <v>375</v>
      </c>
      <c r="B10" s="479">
        <v>1136.3192982456139</v>
      </c>
      <c r="C10" s="415">
        <f>F10*E10/100</f>
        <v>226205.68296505266</v>
      </c>
      <c r="D10" s="458">
        <f>C10/B10</f>
        <v>199.06876818364006</v>
      </c>
      <c r="E10" s="480">
        <f>ROUND(H10*(1+$E$14),3)</f>
        <v>3.0419999999999998</v>
      </c>
      <c r="F10" s="479">
        <v>7436084.2526315795</v>
      </c>
      <c r="H10" s="481">
        <v>2.4500000000000002</v>
      </c>
    </row>
    <row r="11" spans="1:8">
      <c r="A11" s="431" t="s">
        <v>365</v>
      </c>
      <c r="B11" s="479">
        <f>'Exhibit No._(JRS-11) p10'!E29</f>
        <v>5192</v>
      </c>
      <c r="C11" s="415">
        <f>SUM(C8:C10)</f>
        <v>1894146.5001119999</v>
      </c>
      <c r="D11" s="458">
        <f>C11/B11</f>
        <v>364.82020418181816</v>
      </c>
      <c r="E11" s="480">
        <f>C11/F11*100</f>
        <v>5.6383336437171456</v>
      </c>
      <c r="F11" s="479">
        <f>SUM(F8:F10)</f>
        <v>33594083.284210525</v>
      </c>
      <c r="H11" s="481">
        <v>4.4550000000000001</v>
      </c>
    </row>
    <row r="12" spans="1:8">
      <c r="A12" s="633"/>
    </row>
    <row r="13" spans="1:8">
      <c r="B13" t="s">
        <v>0</v>
      </c>
    </row>
    <row r="14" spans="1:8">
      <c r="E14" s="403">
        <v>0.241507</v>
      </c>
    </row>
    <row r="16" spans="1:8">
      <c r="C16" s="482">
        <f>'Exhibit No._(JRS-11) p10'!D40</f>
        <v>1368044.7999999998</v>
      </c>
      <c r="D16" s="460">
        <v>289.83999999999997</v>
      </c>
      <c r="H16" t="s">
        <v>0</v>
      </c>
    </row>
    <row r="17" spans="3:4">
      <c r="C17" s="482">
        <f>'Exhibit No._(JRS-11) p10'!E40</f>
        <v>1894142.472365597</v>
      </c>
      <c r="D17" s="460">
        <f>'Exhibit No._(JRS-11) p10'!E35</f>
        <v>364.81942842172515</v>
      </c>
    </row>
    <row r="84" spans="1:1">
      <c r="A84" s="633"/>
    </row>
    <row r="101" spans="1:1">
      <c r="A101" s="633"/>
    </row>
    <row r="116" spans="1:1">
      <c r="A116" s="633"/>
    </row>
    <row r="131" spans="1:1">
      <c r="A131" s="633"/>
    </row>
    <row r="146" spans="1:1">
      <c r="A146" s="633"/>
    </row>
    <row r="161" spans="1:1">
      <c r="A161" s="633"/>
    </row>
    <row r="553" spans="1:1">
      <c r="A553" s="633"/>
    </row>
    <row r="594" spans="1:1">
      <c r="A594" s="633"/>
    </row>
    <row r="710" spans="1:1">
      <c r="A710" s="633"/>
    </row>
    <row r="870" spans="1:1">
      <c r="A870" s="633"/>
    </row>
    <row r="892" spans="1:1">
      <c r="A892" s="633"/>
    </row>
    <row r="911" spans="1:1">
      <c r="A911" s="633"/>
    </row>
    <row r="929" spans="1:1">
      <c r="A929" s="633"/>
    </row>
    <row r="985" spans="1:1">
      <c r="A985" s="633"/>
    </row>
    <row r="1079" spans="1:1">
      <c r="A1079" s="633"/>
    </row>
    <row r="1098" spans="1:1">
      <c r="A1098" s="633"/>
    </row>
    <row r="1126" spans="1:1">
      <c r="A1126" s="633"/>
    </row>
    <row r="1139" spans="1:1">
      <c r="A1139" s="633"/>
    </row>
    <row r="1151" spans="1:1">
      <c r="A1151" s="633"/>
    </row>
    <row r="1179" spans="1:1">
      <c r="A1179" s="633"/>
    </row>
    <row r="1191" spans="1:1">
      <c r="A1191" s="633"/>
    </row>
    <row r="1204" spans="1:1">
      <c r="A1204" s="633"/>
    </row>
  </sheetData>
  <mergeCells count="4">
    <mergeCell ref="A1:F1"/>
    <mergeCell ref="A2:F2"/>
    <mergeCell ref="A3:F3"/>
    <mergeCell ref="B5:F5"/>
  </mergeCells>
  <printOptions horizontalCentered="1"/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49"/>
  <sheetViews>
    <sheetView tabSelected="1" view="pageBreakPreview" zoomScale="75" zoomScaleNormal="100" zoomScaleSheetLayoutView="75" workbookViewId="0">
      <selection activeCell="B1" sqref="B1"/>
    </sheetView>
  </sheetViews>
  <sheetFormatPr defaultColWidth="8.5" defaultRowHeight="15"/>
  <cols>
    <col min="1" max="1" width="4.625" style="483" customWidth="1"/>
    <col min="2" max="2" width="8.5" style="483"/>
    <col min="3" max="3" width="2.75" style="483" customWidth="1"/>
    <col min="4" max="4" width="7" style="483" bestFit="1" customWidth="1"/>
    <col min="5" max="5" width="2.875" style="483" customWidth="1"/>
    <col min="6" max="6" width="8.25" style="483" bestFit="1" customWidth="1"/>
    <col min="7" max="7" width="2.875" style="483" customWidth="1"/>
    <col min="8" max="8" width="6.75" style="483" bestFit="1" customWidth="1"/>
    <col min="9" max="9" width="2.875" style="483" customWidth="1"/>
    <col min="10" max="10" width="8.25" style="483" bestFit="1" customWidth="1"/>
    <col min="11" max="11" width="2.625" style="483" customWidth="1"/>
    <col min="12" max="12" width="8.25" style="483" bestFit="1" customWidth="1"/>
    <col min="13" max="13" width="2.625" style="483" customWidth="1"/>
    <col min="14" max="14" width="7.25" style="483" customWidth="1"/>
    <col min="15" max="15" width="2.875" style="483" customWidth="1"/>
    <col min="16" max="16" width="7.125" style="483" bestFit="1" customWidth="1"/>
    <col min="17" max="17" width="2.125" style="483" customWidth="1"/>
    <col min="18" max="18" width="2.25" style="483" customWidth="1"/>
    <col min="19" max="19" width="15.125" style="483" customWidth="1"/>
    <col min="20" max="20" width="15.25" style="483" customWidth="1"/>
    <col min="21" max="21" width="9.125" style="483" customWidth="1"/>
    <col min="22" max="22" width="8.25" style="483" customWidth="1"/>
    <col min="23" max="23" width="1.625" style="483" customWidth="1"/>
    <col min="24" max="16384" width="8.5" style="483"/>
  </cols>
  <sheetData>
    <row r="2" spans="1:26" ht="18.75">
      <c r="B2" s="484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6" t="s">
        <v>0</v>
      </c>
    </row>
    <row r="3" spans="1:26" ht="18.75">
      <c r="B3" s="631" t="s">
        <v>314</v>
      </c>
      <c r="C3" s="631"/>
      <c r="D3" s="631"/>
      <c r="E3" s="631"/>
      <c r="F3" s="631"/>
      <c r="G3" s="631"/>
      <c r="H3" s="631"/>
      <c r="I3" s="631"/>
      <c r="J3" s="631"/>
      <c r="K3" s="631"/>
      <c r="L3" s="631"/>
      <c r="M3" s="631"/>
      <c r="N3" s="631"/>
      <c r="O3" s="631"/>
      <c r="P3" s="631"/>
      <c r="Q3" s="487"/>
    </row>
    <row r="4" spans="1:26" ht="18.75">
      <c r="A4" s="488"/>
      <c r="B4" s="631" t="s">
        <v>376</v>
      </c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487"/>
    </row>
    <row r="5" spans="1:26" ht="18.75">
      <c r="A5" s="488"/>
      <c r="B5" s="631" t="s">
        <v>377</v>
      </c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1"/>
      <c r="O5" s="631"/>
      <c r="P5" s="631"/>
      <c r="Q5" s="487"/>
    </row>
    <row r="6" spans="1:26" ht="18.75">
      <c r="B6" s="487" t="s">
        <v>0</v>
      </c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</row>
    <row r="8" spans="1:26" ht="18.75" thickBot="1">
      <c r="J8" s="632" t="s">
        <v>459</v>
      </c>
      <c r="K8" s="632"/>
      <c r="L8" s="632"/>
      <c r="M8" s="632"/>
      <c r="N8" s="632"/>
      <c r="O8" s="632"/>
      <c r="P8" s="632"/>
      <c r="Q8" s="489"/>
      <c r="R8" s="488"/>
      <c r="S8" s="489"/>
    </row>
    <row r="9" spans="1:26">
      <c r="D9" s="632" t="s">
        <v>378</v>
      </c>
      <c r="E9" s="632"/>
      <c r="F9" s="632"/>
      <c r="G9" s="632"/>
      <c r="H9" s="632"/>
      <c r="I9" s="490"/>
      <c r="J9" s="490" t="s">
        <v>0</v>
      </c>
      <c r="K9" s="491"/>
      <c r="L9" s="491" t="s">
        <v>0</v>
      </c>
      <c r="N9" s="632" t="s">
        <v>21</v>
      </c>
      <c r="O9" s="632"/>
      <c r="P9" s="632"/>
      <c r="R9" s="491"/>
      <c r="S9" s="492" t="s">
        <v>379</v>
      </c>
      <c r="T9" s="493"/>
      <c r="U9" s="492" t="s">
        <v>380</v>
      </c>
      <c r="V9" s="493"/>
    </row>
    <row r="10" spans="1:26" ht="18">
      <c r="B10" s="494" t="s">
        <v>36</v>
      </c>
      <c r="D10" s="495" t="s">
        <v>9</v>
      </c>
      <c r="E10" s="496" t="s">
        <v>0</v>
      </c>
      <c r="F10" s="495" t="s">
        <v>12</v>
      </c>
      <c r="G10" s="496" t="s">
        <v>0</v>
      </c>
      <c r="H10" s="494" t="s">
        <v>21</v>
      </c>
      <c r="I10" s="490"/>
      <c r="J10" s="495" t="s">
        <v>9</v>
      </c>
      <c r="K10" s="496" t="s">
        <v>0</v>
      </c>
      <c r="L10" s="495" t="s">
        <v>12</v>
      </c>
      <c r="M10" s="496" t="s">
        <v>0</v>
      </c>
      <c r="N10" s="494" t="s">
        <v>381</v>
      </c>
      <c r="P10" s="495" t="s">
        <v>34</v>
      </c>
      <c r="S10" s="497" t="s">
        <v>382</v>
      </c>
      <c r="T10" s="498">
        <f>'Exhibit No._(JRS-11) p1-9'!G87</f>
        <v>6</v>
      </c>
      <c r="U10" s="497"/>
      <c r="V10" s="498">
        <f>'Exhibit No._(JRS-11) p1-9'!J87</f>
        <v>8.85</v>
      </c>
    </row>
    <row r="11" spans="1:26">
      <c r="B11" s="499"/>
      <c r="D11" s="499"/>
      <c r="E11" s="499"/>
      <c r="F11" s="499"/>
      <c r="J11" s="499"/>
      <c r="K11" s="499"/>
      <c r="L11" s="499"/>
      <c r="S11" s="497" t="s">
        <v>383</v>
      </c>
      <c r="T11" s="500">
        <f>'Exhibit No._(JRS-11) p1-9'!G88+V13+V21+V22</f>
        <v>6.2320000000000002</v>
      </c>
      <c r="U11" s="497"/>
      <c r="V11" s="501">
        <f>'Exhibit No._(JRS-11) p1-9'!J88+'Exhibit No._(JRS-11) p1-9'!J93+V14+V21+V22</f>
        <v>6.4930000000000003</v>
      </c>
      <c r="W11" s="502"/>
      <c r="X11" s="503">
        <f>(V11-T11)/T11</f>
        <v>4.1880616174582816E-2</v>
      </c>
    </row>
    <row r="12" spans="1:26" ht="15.75" thickBot="1">
      <c r="B12" s="504">
        <v>50</v>
      </c>
      <c r="D12" s="505">
        <f>$T$10</f>
        <v>6</v>
      </c>
      <c r="F12" s="505">
        <f>$V$10</f>
        <v>8.85</v>
      </c>
      <c r="H12" s="505">
        <f>F12-D12</f>
        <v>2.8499999999999996</v>
      </c>
      <c r="I12" s="505"/>
      <c r="J12" s="505">
        <f>ROUND((($B12*T$11/100))+((B12*$V$16)/100),2)+V18</f>
        <v>3.5900000000000003</v>
      </c>
      <c r="L12" s="505">
        <f>ROUND((($B12*V$11/100))+((B12*$V$17)/100),2)+V19</f>
        <v>3.87</v>
      </c>
      <c r="N12" s="506">
        <f>L12-J12</f>
        <v>0.2799999999999998</v>
      </c>
      <c r="P12" s="507">
        <f>(L12-J12)/J12</f>
        <v>7.7994428969359264E-2</v>
      </c>
      <c r="S12" s="508" t="s">
        <v>384</v>
      </c>
      <c r="T12" s="509">
        <f>'Exhibit No._(JRS-11) p1-9'!G89+V13+V21+V22</f>
        <v>9.6989999999999981</v>
      </c>
      <c r="U12" s="508"/>
      <c r="V12" s="509">
        <f>'Exhibit No._(JRS-11) p1-9'!J89+'Exhibit No._(JRS-11) p1-9'!J94+V14+V21+V22</f>
        <v>11.014999999999999</v>
      </c>
      <c r="X12" s="503">
        <f>(V12-T12)/T12</f>
        <v>0.13568409114341695</v>
      </c>
    </row>
    <row r="13" spans="1:26">
      <c r="B13" s="504">
        <v>100</v>
      </c>
      <c r="D13" s="505">
        <f>$T$10</f>
        <v>6</v>
      </c>
      <c r="F13" s="505">
        <f>$V$10</f>
        <v>8.85</v>
      </c>
      <c r="H13" s="505">
        <f t="shared" ref="H13:H35" si="0">F13-D13</f>
        <v>2.8499999999999996</v>
      </c>
      <c r="I13" s="505"/>
      <c r="J13" s="505">
        <f>ROUND((($B13*T$11/100))+((B13*$V$16)/100),2)+V18</f>
        <v>6.5</v>
      </c>
      <c r="L13" s="505">
        <f>ROUND((($B13*V$11/100))+((B13*$V$17)/100),2)+V19</f>
        <v>6.91</v>
      </c>
      <c r="N13" s="506">
        <f>L13-J13</f>
        <v>0.41000000000000014</v>
      </c>
      <c r="P13" s="507">
        <f>(L13-J13)/J13</f>
        <v>6.30769230769231E-2</v>
      </c>
      <c r="S13" s="510"/>
      <c r="T13" s="510" t="s">
        <v>385</v>
      </c>
      <c r="U13" s="510"/>
      <c r="V13" s="511">
        <v>0.28299999999999997</v>
      </c>
      <c r="Z13" s="506"/>
    </row>
    <row r="14" spans="1:26">
      <c r="B14" s="504">
        <v>150</v>
      </c>
      <c r="D14" s="505">
        <f>$T$10</f>
        <v>6</v>
      </c>
      <c r="F14" s="505">
        <f>$V$10</f>
        <v>8.85</v>
      </c>
      <c r="H14" s="505">
        <f t="shared" si="0"/>
        <v>2.8499999999999996</v>
      </c>
      <c r="I14" s="505"/>
      <c r="J14" s="505">
        <f>ROUND((($B14*T$11/100))+((B14*$V$16)/100),2)+V18</f>
        <v>9.41</v>
      </c>
      <c r="L14" s="505">
        <f>ROUND((($B14*V$11/100))+((B14*$V$17)/100),2)+V19</f>
        <v>9.9499999999999993</v>
      </c>
      <c r="N14" s="506">
        <f>L14-J14</f>
        <v>0.53999999999999915</v>
      </c>
      <c r="P14" s="507">
        <f>(L14-J14)/J14</f>
        <v>5.7385759829968026E-2</v>
      </c>
      <c r="S14" s="510"/>
      <c r="T14" s="510"/>
      <c r="U14" s="510"/>
      <c r="V14" s="511">
        <v>0.28299999999999997</v>
      </c>
      <c r="W14" s="512"/>
      <c r="Z14" s="506"/>
    </row>
    <row r="15" spans="1:26">
      <c r="D15" s="513"/>
      <c r="F15" s="513"/>
      <c r="J15" s="513"/>
      <c r="L15" s="513"/>
      <c r="S15" s="510"/>
      <c r="T15" s="510"/>
      <c r="U15" s="510"/>
      <c r="V15" s="514"/>
      <c r="Z15" s="506"/>
    </row>
    <row r="16" spans="1:26">
      <c r="B16" s="504">
        <v>200</v>
      </c>
      <c r="D16" s="505">
        <f>$T$10</f>
        <v>6</v>
      </c>
      <c r="F16" s="505">
        <f>$V$10</f>
        <v>8.85</v>
      </c>
      <c r="H16" s="505">
        <f t="shared" si="0"/>
        <v>2.8499999999999996</v>
      </c>
      <c r="I16" s="505"/>
      <c r="J16" s="505">
        <f>ROUND((($B16*T$11/100))+((B16*$V$16)/100),2)+V18</f>
        <v>12.32</v>
      </c>
      <c r="L16" s="505">
        <f>ROUND((($B16*V$11/100))+((B16*$V$17)/100),2)+V19</f>
        <v>13</v>
      </c>
      <c r="N16" s="506">
        <f>L16-J16</f>
        <v>0.67999999999999972</v>
      </c>
      <c r="P16" s="507">
        <f>(L16-J16)/J16</f>
        <v>5.5194805194805172E-2</v>
      </c>
      <c r="S16" s="510"/>
      <c r="T16" s="510" t="s">
        <v>386</v>
      </c>
      <c r="U16" s="510"/>
      <c r="V16" s="511">
        <v>-0.41</v>
      </c>
      <c r="X16" s="483" t="s">
        <v>0</v>
      </c>
      <c r="Z16" s="506"/>
    </row>
    <row r="17" spans="2:26">
      <c r="B17" s="504">
        <v>300</v>
      </c>
      <c r="D17" s="505">
        <f>$T$10</f>
        <v>6</v>
      </c>
      <c r="F17" s="505">
        <f>$V$10</f>
        <v>8.85</v>
      </c>
      <c r="H17" s="505">
        <f t="shared" si="0"/>
        <v>2.8499999999999996</v>
      </c>
      <c r="I17" s="505"/>
      <c r="J17" s="505">
        <f>ROUND((($B17*T$11/100))+((B17*$V$16)/100),2)+V18</f>
        <v>18.149999999999999</v>
      </c>
      <c r="L17" s="505">
        <f>ROUND((($B17*V$11/100))+((B17*$V$17)/100),2)+V19</f>
        <v>19.079999999999998</v>
      </c>
      <c r="N17" s="506">
        <f>L17-J17</f>
        <v>0.92999999999999972</v>
      </c>
      <c r="P17" s="507">
        <f>(L17-J17)/J17</f>
        <v>5.1239669421487589E-2</v>
      </c>
      <c r="S17" s="510"/>
      <c r="T17" s="483" t="s">
        <v>0</v>
      </c>
      <c r="U17" s="483" t="s">
        <v>0</v>
      </c>
      <c r="V17" s="511">
        <v>-0.41</v>
      </c>
      <c r="Z17" s="506"/>
    </row>
    <row r="18" spans="2:26">
      <c r="B18" s="504">
        <v>400</v>
      </c>
      <c r="D18" s="505">
        <f>$T$10</f>
        <v>6</v>
      </c>
      <c r="F18" s="505">
        <f>$V$10</f>
        <v>8.85</v>
      </c>
      <c r="H18" s="505">
        <f t="shared" si="0"/>
        <v>2.8499999999999996</v>
      </c>
      <c r="I18" s="505"/>
      <c r="J18" s="505">
        <f>ROUND((($B18*T$11/100))+((B18*$V$16)/100),2)+V18</f>
        <v>23.97</v>
      </c>
      <c r="L18" s="505">
        <f>ROUND((($B18*V$11/100))+((B18*$V$17)/100),2)+V19</f>
        <v>25.159999999999997</v>
      </c>
      <c r="N18" s="506">
        <f>L18-J18</f>
        <v>1.1899999999999977</v>
      </c>
      <c r="P18" s="507">
        <f>(L18-J18)/J18</f>
        <v>4.9645390070921891E-2</v>
      </c>
      <c r="T18" s="483" t="s">
        <v>387</v>
      </c>
      <c r="V18" s="506">
        <f>'Exhibit No._(JRS-11) p10'!D15</f>
        <v>0.68</v>
      </c>
      <c r="W18" s="483" t="s">
        <v>0</v>
      </c>
      <c r="Z18" s="506"/>
    </row>
    <row r="19" spans="2:26">
      <c r="B19" s="504">
        <v>500</v>
      </c>
      <c r="D19" s="505">
        <f>$T$10</f>
        <v>6</v>
      </c>
      <c r="F19" s="505">
        <f>$V$10</f>
        <v>8.85</v>
      </c>
      <c r="H19" s="505">
        <f t="shared" si="0"/>
        <v>2.8499999999999996</v>
      </c>
      <c r="I19" s="505"/>
      <c r="J19" s="505">
        <f>ROUND((($B19*T$11/100))+((B19*$V$16)/100),2)+V18</f>
        <v>29.79</v>
      </c>
      <c r="L19" s="505">
        <f>ROUND((($B19*V$11/100))+((B19*$V$17)/100),2)+V19</f>
        <v>31.25</v>
      </c>
      <c r="N19" s="506">
        <f>L19-J19</f>
        <v>1.4600000000000009</v>
      </c>
      <c r="P19" s="507">
        <f>(L19-J19)/J19</f>
        <v>4.9009734810339073E-2</v>
      </c>
      <c r="T19" s="483" t="s">
        <v>388</v>
      </c>
      <c r="V19" s="506">
        <f>'Exhibit No._(JRS-11) p10'!E15</f>
        <v>0.83</v>
      </c>
      <c r="Z19" s="506"/>
    </row>
    <row r="20" spans="2:26">
      <c r="D20" s="513"/>
      <c r="F20" s="513"/>
      <c r="J20" s="513"/>
      <c r="L20" s="513"/>
      <c r="Z20" s="506"/>
    </row>
    <row r="21" spans="2:26">
      <c r="B21" s="504">
        <v>600</v>
      </c>
      <c r="D21" s="505">
        <f>$T$10</f>
        <v>6</v>
      </c>
      <c r="F21" s="505">
        <f>$V$10</f>
        <v>8.85</v>
      </c>
      <c r="H21" s="505">
        <f t="shared" si="0"/>
        <v>2.8499999999999996</v>
      </c>
      <c r="I21" s="505"/>
      <c r="J21" s="505">
        <f>ROUND((($B21*T$11/100))+((B21*$V$16)/100),2)+V18</f>
        <v>35.61</v>
      </c>
      <c r="L21" s="505">
        <f>ROUND((($B21*V$11/100))+((B21*$V$17)/100),2)+V19</f>
        <v>37.33</v>
      </c>
      <c r="N21" s="506">
        <f>L21-J21</f>
        <v>1.7199999999999989</v>
      </c>
      <c r="P21" s="507">
        <f>(L21-J21)/J21</f>
        <v>4.8301039033979191E-2</v>
      </c>
      <c r="T21" s="483" t="s">
        <v>389</v>
      </c>
      <c r="V21" s="483">
        <v>0</v>
      </c>
      <c r="Z21" s="506"/>
    </row>
    <row r="22" spans="2:26">
      <c r="B22" s="504">
        <v>700</v>
      </c>
      <c r="D22" s="505">
        <f>$T$10</f>
        <v>6</v>
      </c>
      <c r="F22" s="505">
        <f>$V$10</f>
        <v>8.85</v>
      </c>
      <c r="H22" s="505">
        <f t="shared" si="0"/>
        <v>2.8499999999999996</v>
      </c>
      <c r="I22" s="505"/>
      <c r="J22" s="505">
        <f>ROUND((((600*T$11/100)+(($B22-600)*T$12/100)))+((B22*$V$16)/100),2)+V18</f>
        <v>44.9</v>
      </c>
      <c r="L22" s="505">
        <f>ROUND((((600*V$11/100)+(($B22-600)*V$12/100)))+((B22*$V$17)/100),2)+V19</f>
        <v>47.93</v>
      </c>
      <c r="N22" s="506">
        <f>L22-J22</f>
        <v>3.0300000000000011</v>
      </c>
      <c r="P22" s="507">
        <f>(L22-J22)/J22</f>
        <v>6.7483296213808497E-2</v>
      </c>
      <c r="T22" s="483" t="s">
        <v>390</v>
      </c>
      <c r="V22" s="483">
        <v>0</v>
      </c>
      <c r="Z22" s="506"/>
    </row>
    <row r="23" spans="2:26">
      <c r="B23" s="504">
        <v>800</v>
      </c>
      <c r="D23" s="505">
        <f>$T$10</f>
        <v>6</v>
      </c>
      <c r="F23" s="505">
        <f>$V$10</f>
        <v>8.85</v>
      </c>
      <c r="H23" s="505">
        <f t="shared" si="0"/>
        <v>2.8499999999999996</v>
      </c>
      <c r="I23" s="505"/>
      <c r="J23" s="505">
        <f>ROUND((((600*T$11/100)+(($B23-600)*T$12/100)))+((B23*$V$16)/100),2)+V18</f>
        <v>54.19</v>
      </c>
      <c r="L23" s="505">
        <f>ROUND((((600*V$11/100)+(($B23-600)*V$12/100)))+((B23*$V$17)/100),2)+V19</f>
        <v>58.54</v>
      </c>
      <c r="N23" s="506">
        <f>L23-J23</f>
        <v>4.3500000000000014</v>
      </c>
      <c r="P23" s="507">
        <f>(L23-J23)/J23</f>
        <v>8.0273113120501963E-2</v>
      </c>
      <c r="Z23" s="506"/>
    </row>
    <row r="24" spans="2:26">
      <c r="B24" s="504">
        <v>900</v>
      </c>
      <c r="D24" s="505">
        <f>$T$10</f>
        <v>6</v>
      </c>
      <c r="F24" s="505">
        <f>$V$10</f>
        <v>8.85</v>
      </c>
      <c r="H24" s="505">
        <f t="shared" si="0"/>
        <v>2.8499999999999996</v>
      </c>
      <c r="I24" s="505"/>
      <c r="J24" s="505">
        <f>ROUND((((600*T$11/100)+(($B24-600)*T$12/100)))+((B24*$V$16)/100),2)+V18</f>
        <v>63.48</v>
      </c>
      <c r="L24" s="505">
        <f>ROUND((((600*V$11/100)+(($B24-600)*V$12/100)))+((B24*$V$17)/100),2)+V19</f>
        <v>69.14</v>
      </c>
      <c r="N24" s="506">
        <f>L24-J24</f>
        <v>5.6600000000000037</v>
      </c>
      <c r="P24" s="507">
        <f>(L24-J24)/J24</f>
        <v>8.9161940768746131E-2</v>
      </c>
      <c r="S24" s="515" t="s">
        <v>391</v>
      </c>
      <c r="T24" s="516">
        <f>'Exhibit No._(JRS-10)'!Z16</f>
        <v>0.12934624003195758</v>
      </c>
      <c r="Z24" s="506"/>
    </row>
    <row r="25" spans="2:26">
      <c r="B25" s="504">
        <v>1000</v>
      </c>
      <c r="D25" s="505">
        <f>$T$10</f>
        <v>6</v>
      </c>
      <c r="F25" s="505">
        <f>$V$10</f>
        <v>8.85</v>
      </c>
      <c r="H25" s="505">
        <f t="shared" si="0"/>
        <v>2.8499999999999996</v>
      </c>
      <c r="I25" s="505"/>
      <c r="J25" s="505">
        <f>ROUND((((600*T$11/100)+(($B25-600)*T$12/100)))+((B25*$V$16)/100),2)+V18</f>
        <v>72.77000000000001</v>
      </c>
      <c r="L25" s="505">
        <f>ROUND((((600*V$11/100)+(($B25-600)*V$12/100)))+((B25*$V$17)/100),2)+V19</f>
        <v>79.75</v>
      </c>
      <c r="N25" s="506">
        <f>L25-J25</f>
        <v>6.9799999999999898</v>
      </c>
      <c r="P25" s="507">
        <f>(L25-J25)/J25</f>
        <v>9.5918647794420622E-2</v>
      </c>
      <c r="Z25" s="506"/>
    </row>
    <row r="26" spans="2:26">
      <c r="D26" s="513"/>
      <c r="F26" s="513"/>
      <c r="J26" s="513"/>
      <c r="L26" s="513"/>
      <c r="P26" s="517"/>
      <c r="Z26" s="506"/>
    </row>
    <row r="27" spans="2:26">
      <c r="B27" s="504">
        <v>1100</v>
      </c>
      <c r="D27" s="505">
        <f>$T$10</f>
        <v>6</v>
      </c>
      <c r="F27" s="505">
        <f>$V$10</f>
        <v>8.85</v>
      </c>
      <c r="H27" s="505">
        <f t="shared" si="0"/>
        <v>2.8499999999999996</v>
      </c>
      <c r="I27" s="505"/>
      <c r="J27" s="505">
        <f>ROUND((((600*T$11/100)+(($B27-600)*T$12/100)))+((B27*$V$16)/100),2)+V18</f>
        <v>82.06</v>
      </c>
      <c r="L27" s="505">
        <f>ROUND((((600*V$11/100)+(($B27-600)*V$12/100)))+((B27*$V$17)/100),2)+V19</f>
        <v>90.35</v>
      </c>
      <c r="N27" s="506">
        <f>L27-J27</f>
        <v>8.289999999999992</v>
      </c>
      <c r="P27" s="507">
        <f>(L27-J27)/J27</f>
        <v>0.10102364123811836</v>
      </c>
      <c r="Z27" s="506"/>
    </row>
    <row r="28" spans="2:26">
      <c r="B28" s="504">
        <v>1200</v>
      </c>
      <c r="D28" s="505">
        <f>$T$10</f>
        <v>6</v>
      </c>
      <c r="F28" s="505">
        <f>$V$10</f>
        <v>8.85</v>
      </c>
      <c r="H28" s="505">
        <f t="shared" si="0"/>
        <v>2.8499999999999996</v>
      </c>
      <c r="I28" s="505"/>
      <c r="J28" s="505">
        <f>ROUND((((600*T$11/100)+(($B28-600)*T$12/100)))+((B28*$V$16)/100),2)+V18</f>
        <v>91.350000000000009</v>
      </c>
      <c r="L28" s="505">
        <f>ROUND((((600*V$11/100)+(($B28-600)*V$12/100)))+((B28*$V$17)/100),2)+V19</f>
        <v>100.96</v>
      </c>
      <c r="N28" s="506">
        <f>L28-J28</f>
        <v>9.6099999999999852</v>
      </c>
      <c r="P28" s="507">
        <f>(L28-J28)/J28</f>
        <v>0.10519978106184985</v>
      </c>
      <c r="Z28" s="506"/>
    </row>
    <row r="29" spans="2:26">
      <c r="B29" s="504">
        <v>1300</v>
      </c>
      <c r="C29" s="483" t="s">
        <v>392</v>
      </c>
      <c r="D29" s="505">
        <f>$T$10</f>
        <v>6</v>
      </c>
      <c r="F29" s="505">
        <f>$V$10</f>
        <v>8.85</v>
      </c>
      <c r="H29" s="505">
        <f t="shared" si="0"/>
        <v>2.8499999999999996</v>
      </c>
      <c r="I29" s="505"/>
      <c r="J29" s="505">
        <f>ROUND((((600*T$11/100)+(($B29-600)*T$12/100)))+((B29*$V$16)/100),2)+V18</f>
        <v>100.64</v>
      </c>
      <c r="L29" s="505">
        <f>ROUND((((600*V$11/100)+(($B29-600)*V$12/100)))+((B29*$V$17)/100),2)+V19</f>
        <v>111.56</v>
      </c>
      <c r="N29" s="506">
        <f>L29-J29</f>
        <v>10.920000000000002</v>
      </c>
      <c r="P29" s="507">
        <f>(L29-J29)/J29</f>
        <v>0.10850556438791735</v>
      </c>
      <c r="Z29" s="506"/>
    </row>
    <row r="30" spans="2:26">
      <c r="B30" s="504">
        <v>1400</v>
      </c>
      <c r="D30" s="505">
        <f>$T$10</f>
        <v>6</v>
      </c>
      <c r="F30" s="505">
        <f>$V$10</f>
        <v>8.85</v>
      </c>
      <c r="H30" s="505">
        <f t="shared" si="0"/>
        <v>2.8499999999999996</v>
      </c>
      <c r="I30" s="505"/>
      <c r="J30" s="505">
        <f>ROUND((((600*T$11/100)+(($B30-600)*T$12/100)))+((B30*$V$16)/100),2)+V18</f>
        <v>109.92</v>
      </c>
      <c r="L30" s="505">
        <f>ROUND((((600*V$11/100)+(($B30-600)*V$12/100)))+((B30*$V$17)/100),2)+V19</f>
        <v>122.17</v>
      </c>
      <c r="N30" s="506">
        <f>L30-J30</f>
        <v>12.25</v>
      </c>
      <c r="P30" s="507">
        <f>(L30-J30)/J30</f>
        <v>0.11144468704512372</v>
      </c>
      <c r="Z30" s="506"/>
    </row>
    <row r="31" spans="2:26">
      <c r="B31" s="504">
        <v>1500</v>
      </c>
      <c r="D31" s="505">
        <f>$T$10</f>
        <v>6</v>
      </c>
      <c r="F31" s="505">
        <f>$V$10</f>
        <v>8.85</v>
      </c>
      <c r="H31" s="505">
        <f t="shared" si="0"/>
        <v>2.8499999999999996</v>
      </c>
      <c r="I31" s="505"/>
      <c r="J31" s="505">
        <f>ROUND((((600*T$11/100)+(($B31-600)*T$12/100)))+((B31*$V$16)/100),2)+V18</f>
        <v>119.21000000000001</v>
      </c>
      <c r="L31" s="505">
        <f>ROUND((((600*V$11/100)+(($B31-600)*V$12/100)))+((B31*$V$17)/100),2)+V19</f>
        <v>132.77000000000001</v>
      </c>
      <c r="N31" s="506">
        <f>L31-J31</f>
        <v>13.560000000000002</v>
      </c>
      <c r="P31" s="507">
        <f>(L31-J31)/J31</f>
        <v>0.11374884657327407</v>
      </c>
      <c r="Z31" s="506"/>
    </row>
    <row r="32" spans="2:26">
      <c r="D32" s="513"/>
      <c r="F32" s="513"/>
      <c r="J32" s="513"/>
      <c r="L32" s="513"/>
      <c r="Z32" s="506"/>
    </row>
    <row r="33" spans="2:26">
      <c r="B33" s="504">
        <v>1600</v>
      </c>
      <c r="D33" s="505">
        <f>$T$10</f>
        <v>6</v>
      </c>
      <c r="F33" s="505">
        <f>$V$10</f>
        <v>8.85</v>
      </c>
      <c r="H33" s="505">
        <f t="shared" si="0"/>
        <v>2.8499999999999996</v>
      </c>
      <c r="I33" s="505"/>
      <c r="J33" s="505">
        <f>ROUND((((600*T$11/100)+(($B33-600)*T$12/100)))+((B33*$V$16)/100),2)+V18</f>
        <v>128.5</v>
      </c>
      <c r="L33" s="505">
        <f>ROUND((((600*V$11/100)+(($B33-600)*V$12/100)))+((B33*$V$17)/100),2)+V19</f>
        <v>143.38000000000002</v>
      </c>
      <c r="N33" s="506">
        <f>L33-J33</f>
        <v>14.880000000000024</v>
      </c>
      <c r="P33" s="507">
        <f>(L33-J33)/J33</f>
        <v>0.11579766536964999</v>
      </c>
      <c r="Z33" s="506"/>
    </row>
    <row r="34" spans="2:26">
      <c r="B34" s="504">
        <v>2000</v>
      </c>
      <c r="D34" s="505">
        <f>$T$10</f>
        <v>6</v>
      </c>
      <c r="F34" s="505">
        <f>$V$10</f>
        <v>8.85</v>
      </c>
      <c r="H34" s="505">
        <f t="shared" si="0"/>
        <v>2.8499999999999996</v>
      </c>
      <c r="I34" s="505"/>
      <c r="J34" s="505">
        <f>ROUND((((600*T$11/100)+(($B34-600)*T$12/100)))+((B34*$V$16)/100),2)+V18</f>
        <v>165.66</v>
      </c>
      <c r="L34" s="505">
        <f>ROUND((((600*V$11/100)+(($B34-600)*V$12/100)))+((B34*$V$17)/100),2)+V19</f>
        <v>185.8</v>
      </c>
      <c r="N34" s="506">
        <f>L34-J34</f>
        <v>20.140000000000015</v>
      </c>
      <c r="P34" s="507">
        <f>(L34-J34)/J34</f>
        <v>0.12157430882530493</v>
      </c>
      <c r="Z34" s="506"/>
    </row>
    <row r="35" spans="2:26">
      <c r="B35" s="504">
        <v>3000</v>
      </c>
      <c r="D35" s="505">
        <f>$T$10</f>
        <v>6</v>
      </c>
      <c r="F35" s="505">
        <f>$V$10</f>
        <v>8.85</v>
      </c>
      <c r="H35" s="505">
        <f t="shared" si="0"/>
        <v>2.8499999999999996</v>
      </c>
      <c r="I35" s="505"/>
      <c r="J35" s="505">
        <f>ROUND((((600*T$11/100)+(($B35-600)*T$12/100)))+((B35*$V$16)/100),2)+V18</f>
        <v>258.55</v>
      </c>
      <c r="L35" s="505">
        <f>ROUND((((600*V$11/100)+(($B35-600)*V$12/100)))+((B35*$V$17)/100),2)+V19</f>
        <v>291.84999999999997</v>
      </c>
      <c r="N35" s="506">
        <f>L35-J35</f>
        <v>33.299999999999955</v>
      </c>
      <c r="P35" s="507">
        <f>(L35-J35)/J35</f>
        <v>0.12879520402243261</v>
      </c>
      <c r="Z35" s="506"/>
    </row>
    <row r="36" spans="2:26">
      <c r="B36" s="518"/>
      <c r="C36" s="519"/>
      <c r="D36" s="520"/>
      <c r="E36" s="519"/>
      <c r="F36" s="520"/>
      <c r="G36" s="519"/>
      <c r="H36" s="519"/>
      <c r="I36" s="519"/>
      <c r="J36" s="520"/>
      <c r="K36" s="519"/>
      <c r="L36" s="520"/>
      <c r="M36" s="519"/>
      <c r="N36" s="519"/>
      <c r="O36" s="519"/>
      <c r="P36" s="521"/>
      <c r="Q36" s="519"/>
      <c r="Z36" s="506"/>
    </row>
    <row r="37" spans="2:26">
      <c r="B37" s="522"/>
      <c r="Q37" s="512"/>
    </row>
    <row r="38" spans="2:26">
      <c r="B38" s="483" t="s">
        <v>393</v>
      </c>
    </row>
    <row r="39" spans="2:26">
      <c r="B39" s="483" t="s">
        <v>394</v>
      </c>
    </row>
    <row r="40" spans="2:26" ht="16.5">
      <c r="B40" s="523" t="s">
        <v>395</v>
      </c>
    </row>
    <row r="41" spans="2:26">
      <c r="B41" s="523" t="s">
        <v>0</v>
      </c>
    </row>
    <row r="49" spans="22:22">
      <c r="V49" s="524"/>
    </row>
  </sheetData>
  <mergeCells count="6">
    <mergeCell ref="B3:P3"/>
    <mergeCell ref="B4:P4"/>
    <mergeCell ref="B5:P5"/>
    <mergeCell ref="J8:P8"/>
    <mergeCell ref="D9:H9"/>
    <mergeCell ref="N9:P9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8"/>
  <sheetViews>
    <sheetView tabSelected="1" view="pageBreakPreview" zoomScale="75" zoomScaleNormal="85" workbookViewId="0">
      <selection activeCell="B1" sqref="B1"/>
    </sheetView>
  </sheetViews>
  <sheetFormatPr defaultColWidth="8.5" defaultRowHeight="15"/>
  <cols>
    <col min="1" max="1" width="1.5" style="483" customWidth="1"/>
    <col min="2" max="2" width="9.75" style="483" customWidth="1"/>
    <col min="3" max="3" width="2.875" style="483" customWidth="1"/>
    <col min="4" max="4" width="11.25" style="483" hidden="1" customWidth="1"/>
    <col min="5" max="5" width="7.625" style="483" bestFit="1" customWidth="1"/>
    <col min="6" max="6" width="3.375" style="483" customWidth="1"/>
    <col min="7" max="7" width="11" style="483" bestFit="1" customWidth="1"/>
    <col min="8" max="8" width="1.75" style="483" customWidth="1"/>
    <col min="9" max="9" width="11" style="483" bestFit="1" customWidth="1"/>
    <col min="10" max="10" width="6.125" style="483" bestFit="1" customWidth="1"/>
    <col min="11" max="11" width="11" style="483" bestFit="1" customWidth="1"/>
    <col min="12" max="12" width="2" style="483" customWidth="1"/>
    <col min="13" max="13" width="11" style="483" bestFit="1" customWidth="1"/>
    <col min="14" max="14" width="2.875" style="483" customWidth="1"/>
    <col min="15" max="15" width="10.25" style="483" hidden="1" customWidth="1"/>
    <col min="16" max="16" width="2" style="483" hidden="1" customWidth="1"/>
    <col min="17" max="17" width="10.25" style="483" hidden="1" customWidth="1"/>
    <col min="18" max="18" width="4.625" style="483" hidden="1" customWidth="1"/>
    <col min="19" max="19" width="11" style="483" bestFit="1" customWidth="1"/>
    <col min="20" max="20" width="2" style="483" customWidth="1"/>
    <col min="21" max="21" width="11" style="483" bestFit="1" customWidth="1"/>
    <col min="22" max="22" width="3.125" style="483" customWidth="1"/>
    <col min="23" max="23" width="12.5" style="483" customWidth="1"/>
    <col min="24" max="24" width="10.875" style="483" bestFit="1" customWidth="1"/>
    <col min="25" max="25" width="8.5" style="483"/>
    <col min="26" max="26" width="13.875" style="483" customWidth="1"/>
    <col min="27" max="27" width="12.75" style="483" bestFit="1" customWidth="1"/>
    <col min="28" max="28" width="8.5" style="483" customWidth="1"/>
    <col min="29" max="29" width="2.625" style="526" customWidth="1"/>
    <col min="30" max="16384" width="8.5" style="483"/>
  </cols>
  <sheetData>
    <row r="1" spans="1:30">
      <c r="A1" s="525"/>
      <c r="B1" s="525"/>
    </row>
    <row r="2" spans="1:30">
      <c r="A2" s="525"/>
      <c r="B2" s="525"/>
      <c r="C2" s="527"/>
      <c r="D2" s="527"/>
      <c r="E2" s="527"/>
      <c r="F2" s="527"/>
      <c r="G2" s="527"/>
      <c r="H2" s="527"/>
      <c r="I2" s="527"/>
      <c r="J2" s="527"/>
      <c r="K2" s="527"/>
      <c r="L2" s="527"/>
    </row>
    <row r="3" spans="1:30" ht="18.75">
      <c r="A3" s="525"/>
      <c r="B3" s="484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485"/>
      <c r="N3" s="485"/>
      <c r="O3" s="485"/>
      <c r="P3" s="485"/>
      <c r="Q3" s="529"/>
      <c r="S3" s="485"/>
      <c r="T3" s="486" t="s">
        <v>0</v>
      </c>
      <c r="U3" s="529"/>
    </row>
    <row r="4" spans="1:30" ht="20.25">
      <c r="B4" s="530" t="s">
        <v>314</v>
      </c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</row>
    <row r="5" spans="1:30" ht="20.25">
      <c r="B5" s="530" t="s">
        <v>376</v>
      </c>
      <c r="C5" s="530"/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0"/>
      <c r="S5" s="530"/>
      <c r="T5" s="530"/>
      <c r="U5" s="530"/>
    </row>
    <row r="6" spans="1:30" ht="20.25">
      <c r="B6" s="530" t="s">
        <v>396</v>
      </c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/>
      <c r="T6" s="530"/>
      <c r="U6" s="530"/>
    </row>
    <row r="7" spans="1:30" ht="20.25">
      <c r="B7" s="531" t="s">
        <v>0</v>
      </c>
      <c r="C7" s="531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</row>
    <row r="8" spans="1:30" ht="18.75">
      <c r="B8" s="532"/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4"/>
      <c r="S8" s="533"/>
      <c r="T8" s="533"/>
      <c r="U8" s="534"/>
    </row>
    <row r="9" spans="1:30">
      <c r="A9" s="527"/>
      <c r="B9" s="525"/>
    </row>
    <row r="10" spans="1:30" ht="15.75">
      <c r="A10" s="527"/>
      <c r="B10" s="535" t="s">
        <v>397</v>
      </c>
      <c r="C10" s="536"/>
      <c r="D10" s="536"/>
      <c r="E10" s="536"/>
      <c r="F10" s="536"/>
      <c r="G10" s="537" t="s">
        <v>398</v>
      </c>
      <c r="H10" s="537"/>
      <c r="I10" s="537"/>
      <c r="J10" s="537"/>
      <c r="K10" s="537"/>
      <c r="L10" s="537"/>
      <c r="M10" s="537"/>
      <c r="N10" s="536"/>
      <c r="O10" s="538" t="s">
        <v>399</v>
      </c>
      <c r="P10" s="538"/>
      <c r="Q10" s="538"/>
      <c r="R10" s="539"/>
      <c r="S10" s="538" t="s">
        <v>400</v>
      </c>
      <c r="T10" s="538"/>
      <c r="U10" s="538"/>
    </row>
    <row r="11" spans="1:30" ht="16.5" thickBot="1">
      <c r="A11" s="527"/>
      <c r="B11" s="540" t="s">
        <v>401</v>
      </c>
      <c r="C11" s="538"/>
      <c r="D11" s="535" t="s">
        <v>402</v>
      </c>
      <c r="E11" s="536"/>
      <c r="F11" s="536"/>
      <c r="G11" s="541" t="s">
        <v>403</v>
      </c>
      <c r="H11" s="541"/>
      <c r="I11" s="541"/>
      <c r="J11" s="542"/>
      <c r="K11" s="541" t="s">
        <v>404</v>
      </c>
      <c r="L11" s="541"/>
      <c r="M11" s="541"/>
      <c r="N11" s="536"/>
      <c r="O11" s="541" t="s">
        <v>105</v>
      </c>
      <c r="P11" s="541"/>
      <c r="Q11" s="541"/>
      <c r="R11" s="539"/>
      <c r="S11" s="541" t="s">
        <v>105</v>
      </c>
      <c r="T11" s="541"/>
      <c r="U11" s="541"/>
    </row>
    <row r="12" spans="1:30" ht="15.75">
      <c r="A12" s="527"/>
      <c r="B12" s="543" t="s">
        <v>405</v>
      </c>
      <c r="C12" s="544"/>
      <c r="D12" s="545" t="s">
        <v>406</v>
      </c>
      <c r="E12" s="543" t="s">
        <v>36</v>
      </c>
      <c r="F12" s="536"/>
      <c r="G12" s="546" t="s">
        <v>407</v>
      </c>
      <c r="H12" s="547"/>
      <c r="I12" s="546" t="s">
        <v>408</v>
      </c>
      <c r="J12" s="536"/>
      <c r="K12" s="546" t="s">
        <v>407</v>
      </c>
      <c r="L12" s="547"/>
      <c r="M12" s="546" t="s">
        <v>408</v>
      </c>
      <c r="N12" s="536"/>
      <c r="O12" s="546" t="s">
        <v>407</v>
      </c>
      <c r="P12" s="536"/>
      <c r="Q12" s="546" t="s">
        <v>408</v>
      </c>
      <c r="R12" s="539"/>
      <c r="S12" s="546" t="s">
        <v>407</v>
      </c>
      <c r="T12" s="536"/>
      <c r="U12" s="546" t="s">
        <v>408</v>
      </c>
      <c r="W12" s="548"/>
      <c r="X12" s="549" t="s">
        <v>379</v>
      </c>
      <c r="Y12" s="550"/>
      <c r="Z12" s="549"/>
      <c r="AA12" s="549" t="s">
        <v>380</v>
      </c>
      <c r="AB12" s="550"/>
    </row>
    <row r="13" spans="1:30" ht="15.75">
      <c r="A13" s="527"/>
      <c r="B13" s="536"/>
      <c r="C13" s="536"/>
      <c r="D13" s="536"/>
      <c r="E13" s="536"/>
      <c r="F13" s="536"/>
      <c r="G13" s="544"/>
      <c r="H13" s="544"/>
      <c r="I13" s="544"/>
      <c r="J13" s="544"/>
      <c r="K13" s="544"/>
      <c r="L13" s="544"/>
      <c r="M13" s="544"/>
      <c r="N13" s="539"/>
      <c r="O13" s="539"/>
      <c r="P13" s="539"/>
      <c r="Q13" s="539"/>
      <c r="R13" s="539"/>
      <c r="S13" s="539"/>
      <c r="T13" s="539"/>
      <c r="U13" s="539"/>
      <c r="W13" s="551" t="s">
        <v>409</v>
      </c>
      <c r="X13" s="512" t="s">
        <v>410</v>
      </c>
      <c r="Y13" s="552" t="s">
        <v>411</v>
      </c>
      <c r="Z13" s="512"/>
      <c r="AA13" s="512" t="s">
        <v>410</v>
      </c>
      <c r="AB13" s="552" t="s">
        <v>411</v>
      </c>
    </row>
    <row r="14" spans="1:30" ht="15.75">
      <c r="A14" s="527"/>
      <c r="B14" s="536">
        <v>15</v>
      </c>
      <c r="C14" s="536"/>
      <c r="D14" s="536">
        <v>100</v>
      </c>
      <c r="E14" s="553">
        <v>5000</v>
      </c>
      <c r="F14" s="554"/>
      <c r="G14" s="555">
        <f>ROUND($X$15+IF($E14&gt;1000,IF($E14&gt;9000,(1000*X$21/100)+(8000*X$22/100)+(($E14-(9000))*X$23/100),(1000*X$21/100)+(($E14-1000)*X$22/100)),($E14*$X$21)/100)+IF(B$14&gt;W$18,$X$18*($B$14-W$18),0)+IF(B$14&gt;W$20,$X$20*($B$14-W$20),0),2)+AA$29</f>
        <v>391.78000000000003</v>
      </c>
      <c r="H14" s="555"/>
      <c r="I14" s="555">
        <f>ROUND($Y$15+IF($E14&gt;1000,IF($E14&gt;9000,(1000*Y$21/100)+(8000*Y$22/100)+(($E14-(9000))*Y$23/100),(1000*Y$21/100)+(($E14-1000)*Y$22/100)),($E14*$Y$21)/100)+IF(B$14&gt;W$18,$Y$18*($B$14-W$18),0)+IF(B$14&gt;W$20,$Y$20*($B$14-W$20),0),2)+AA$29</f>
        <v>396.05</v>
      </c>
      <c r="J14" s="555"/>
      <c r="K14" s="555">
        <f>ROUND($AA$15+IF($E14&gt;1000,IF($E14&gt;9000,(1000*AA$21/100)+(8000*AA$22/100)+(($E14-9000)*AA$23/100),(1000*AA$21/100)+(($E14-1000)*AA$22/100)),($E14*$AA$21)/100)+IF(B$14&gt;Z$18,$AA$18*($B$14-Z$18),0)+IF(B$14&gt;Z$20,$AA$20*($B$14-Z$20),0),2)+AA30</f>
        <v>430.89</v>
      </c>
      <c r="L14" s="555"/>
      <c r="M14" s="555">
        <f>ROUND($AB$15+IF($E14&gt;1000,IF($E14&gt;9000,(1000*AB$21/100)+(8000*AB$22/100)+(($E14-9000)*AB$23/100),(1000*AB$21/100)+(($E14-1000)*AB$22/100)),($E14*$AB$21)/100)+IF(B$14&gt;Z$18,$AB$18*($B$14-Z$18),0)+IF(B$14&gt;Z$20,$AB$20*($B$14-Z$20),0),2)+AA30</f>
        <v>435.59999999999997</v>
      </c>
      <c r="N14" s="536"/>
      <c r="O14" s="555">
        <f>K14-G14</f>
        <v>39.109999999999957</v>
      </c>
      <c r="P14" s="555"/>
      <c r="Q14" s="555">
        <f>M14-I14</f>
        <v>39.549999999999955</v>
      </c>
      <c r="R14" s="539"/>
      <c r="S14" s="556">
        <f>ROUND(K14/G14-1,4)</f>
        <v>9.98E-2</v>
      </c>
      <c r="T14" s="536"/>
      <c r="U14" s="556">
        <f>ROUND(M14/I14-1,4)</f>
        <v>9.9900000000000003E-2</v>
      </c>
      <c r="W14" s="551" t="s">
        <v>412</v>
      </c>
      <c r="X14" s="557">
        <f>'Exhibit No._(JRS-11) p1-9'!G169</f>
        <v>8.7100000000000009</v>
      </c>
      <c r="Y14" s="498">
        <f>'Exhibit No._(JRS-11) p1-9'!G170</f>
        <v>12.98</v>
      </c>
      <c r="Z14" s="558"/>
      <c r="AA14" s="557">
        <f>'Exhibit No._(JRS-11) p1-9'!J208</f>
        <v>9.61</v>
      </c>
      <c r="AB14" s="498">
        <f>'Exhibit No._(JRS-11) p1-9'!J209</f>
        <v>14.32</v>
      </c>
      <c r="AC14" s="559"/>
      <c r="AD14" s="506"/>
    </row>
    <row r="15" spans="1:30" ht="15.75">
      <c r="A15" s="527"/>
      <c r="B15" s="536"/>
      <c r="C15" s="536"/>
      <c r="D15" s="536">
        <v>200</v>
      </c>
      <c r="E15" s="553">
        <v>7500</v>
      </c>
      <c r="F15" s="554"/>
      <c r="G15" s="555">
        <f>ROUND($X$15+IF($E15&gt;1000,IF($E15&gt;9000,(1000*X$21/100)+(8000*X$22/100)+(($E15-(9000))*X$23/100),(1000*X$21/100)+(($E15-1000)*X$22/100)),($E15*$X$21)/100)+IF(B$14&gt;W$18,$X$18*($B$14-W$18),0)+IF(B$14&gt;W$20,$X$20*($B$14-W$20),0),2)+AA$29</f>
        <v>567.51</v>
      </c>
      <c r="H15" s="555"/>
      <c r="I15" s="555">
        <f>ROUND($Y$15+IF($E15&gt;1000,IF($E15&gt;9000,(1000*Y$21/100)+(8000*Y$22/100)+(($E15-(9000))*Y$23/100),(1000*Y$21/100)+(($E15-1000)*Y$22/100)),($E15*$Y$21)/100)+IF(B$14&gt;W$18,$Y$18*($B$14-W$18),0)+IF(B$14&gt;W$20,$Y$20*($B$14-W$20),0),2)+AA$29</f>
        <v>571.78</v>
      </c>
      <c r="J15" s="555"/>
      <c r="K15" s="555">
        <f>ROUND($AA$15+IF($E15&gt;1000,IF($E15&gt;9000,(1000*AA$21/100)+(8000*AA$22/100)+(($E15-9000)*AA$23/100),(1000*AA$21/100)+(($E15-1000)*AA$22/100)),($E15*$AA$21)/100)+IF(B$14&gt;Z$18,$AA$18*($B$14-Z$18),0)+IF(B$14&gt;Z$20,$AA$20*($B$14-Z$20),0),2)+AA30</f>
        <v>624.02</v>
      </c>
      <c r="L15" s="555"/>
      <c r="M15" s="555">
        <f>ROUND($AB$15+IF($E15&gt;1000,IF($E15&gt;9000,(1000*AB$21/100)+(8000*AB$22/100)+(($E15-9000)*AB$23/100),(1000*AB$21/100)+(($E15-1000)*AB$22/100)),($E15*$AB$21)/100)+IF(B$14&gt;Z$18,$AB$18*($B$14-Z$18),0)+IF(B$14&gt;Z$20,$AB$20*($B$14-Z$20),0),2)+AA30</f>
        <v>628.73</v>
      </c>
      <c r="N15" s="536"/>
      <c r="O15" s="555">
        <f>K15-G15</f>
        <v>56.509999999999991</v>
      </c>
      <c r="P15" s="555"/>
      <c r="Q15" s="555">
        <f>M15-I15</f>
        <v>56.950000000000045</v>
      </c>
      <c r="R15" s="539"/>
      <c r="S15" s="556">
        <f>ROUND(K15/G15-1,4)</f>
        <v>9.9599999999999994E-2</v>
      </c>
      <c r="T15" s="536"/>
      <c r="U15" s="556">
        <f>ROUND(M15/I15-1,4)</f>
        <v>9.9599999999999994E-2</v>
      </c>
      <c r="W15" s="551" t="s">
        <v>413</v>
      </c>
      <c r="X15" s="557">
        <f>X14</f>
        <v>8.7100000000000009</v>
      </c>
      <c r="Y15" s="498">
        <f>Y14</f>
        <v>12.98</v>
      </c>
      <c r="Z15" s="558"/>
      <c r="AA15" s="557">
        <f>AA14</f>
        <v>9.61</v>
      </c>
      <c r="AB15" s="498">
        <f>AB14</f>
        <v>14.32</v>
      </c>
    </row>
    <row r="16" spans="1:30" ht="15.75">
      <c r="A16" s="527"/>
      <c r="B16" s="536"/>
      <c r="C16" s="536"/>
      <c r="D16" s="536">
        <v>300</v>
      </c>
      <c r="E16" s="553">
        <v>10000</v>
      </c>
      <c r="F16" s="554"/>
      <c r="G16" s="555">
        <f>ROUND($X$15+IF($E16&gt;1000,IF($E16&gt;9000,(1000*X$21/100)+(8000*X$22/100)+(($E16-(9000))*X$23/100),(1000*X$21/100)+(($E16-1000)*X$22/100)),($E16*$X$21)/100)+IF(B$14&gt;W$18,$X$18*($B$14-W$18),0)+IF(B$14&gt;W$20,$X$20*($B$14-W$20),0),2)+AA$29</f>
        <v>733.89</v>
      </c>
      <c r="H16" s="555"/>
      <c r="I16" s="555">
        <f>ROUND($Y$15+IF($E16&gt;1000,IF($E16&gt;9000,(1000*Y$21/100)+(8000*Y$22/100)+(($E16-(9000))*Y$23/100),(1000*Y$21/100)+(($E16-1000)*Y$22/100)),($E16*$Y$21)/100)+IF(B$14&gt;W$18,$Y$18*($B$14-W$18),0)+IF(B$14&gt;W$20,$Y$20*($B$14-W$20),0),2)+AA$29</f>
        <v>738.16</v>
      </c>
      <c r="J16" s="555"/>
      <c r="K16" s="555">
        <f>ROUND($AA$15+IF($E16&gt;1000,IF($E16&gt;9000,(1000*AA$21/100)+(8000*AA$22/100)+(($E16-9000)*AA$23/100),(1000*AA$21/100)+(($E16-1000)*AA$22/100)),($E16*$AA$21)/100)+IF(B$14&gt;Z$18,$AA$18*($B$14-Z$18),0)+IF(B$14&gt;Z$20,$AA$20*($B$14-Z$20),0),2)+AA30</f>
        <v>806.84</v>
      </c>
      <c r="L16" s="555"/>
      <c r="M16" s="555">
        <f>ROUND($AB$15+IF($E16&gt;1000,IF($E16&gt;9000,(1000*AB$21/100)+(8000*AB$22/100)+(($E16-9000)*AB$23/100),(1000*AB$21/100)+(($E16-1000)*AB$22/100)),($E16*$AB$21)/100)+IF(B$14&gt;Z$18,$AB$18*($B$14-Z$18),0)+IF(B$14&gt;Z$20,$AB$20*($B$14-Z$20),0),2)+AA30</f>
        <v>811.55000000000007</v>
      </c>
      <c r="N16" s="536"/>
      <c r="O16" s="555">
        <f>K16-G16</f>
        <v>72.950000000000045</v>
      </c>
      <c r="P16" s="555"/>
      <c r="Q16" s="555">
        <f>M16-I16</f>
        <v>73.3900000000001</v>
      </c>
      <c r="R16" s="539"/>
      <c r="S16" s="556">
        <f>ROUND(K16/G16-1,4)</f>
        <v>9.9400000000000002E-2</v>
      </c>
      <c r="T16" s="536"/>
      <c r="U16" s="556">
        <f>ROUND(M16/I16-1,4)</f>
        <v>9.9400000000000002E-2</v>
      </c>
      <c r="W16" s="551"/>
      <c r="X16" s="512"/>
      <c r="Y16" s="552"/>
      <c r="Z16" s="512"/>
      <c r="AA16" s="557"/>
      <c r="AB16" s="498"/>
    </row>
    <row r="17" spans="1:30" ht="15.75">
      <c r="A17" s="527"/>
      <c r="B17" s="539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W17" s="551" t="s">
        <v>409</v>
      </c>
      <c r="X17" s="557"/>
      <c r="Y17" s="498"/>
      <c r="Z17" s="560" t="s">
        <v>409</v>
      </c>
      <c r="AA17" s="557"/>
      <c r="AB17" s="498"/>
    </row>
    <row r="18" spans="1:30" ht="15.75">
      <c r="A18" s="527"/>
      <c r="B18" s="536">
        <v>25</v>
      </c>
      <c r="C18" s="536"/>
      <c r="D18" s="536">
        <v>150</v>
      </c>
      <c r="E18" s="553">
        <f>ROUND((B$18*D18),0)</f>
        <v>3750</v>
      </c>
      <c r="F18" s="554"/>
      <c r="G18" s="555">
        <f>ROUND($X$15+IF($E18&gt;1000,IF($E18&gt;9000,(1000*X$21/100)+(8000*X$22/100)+(($E18-9000)*X$23/100),(1000*X$21/100)+(($E18-1000)*X$22/100)),($E18*$X$21)/100)+IF(B$18&gt;W$18,$X$18*($B$18-W$18),0)+IF(B$18&gt;W$20,$X$20*($B$18-W$20),0),2)+AA29</f>
        <v>347.12</v>
      </c>
      <c r="H18" s="555"/>
      <c r="I18" s="555">
        <f>ROUND($Y$15+IF($E18&gt;1000,IF($E18&gt;9000,(1000*Y$21/100)+(8000*Y$22/100)+(($E18-9000)*Y$23/100),(1000*Y$21/100)+(($E18-1000)*Y$22/100)),($E18*$Y$21)/100)+IF(B$18&gt;W$18,$Y$18*($B$18-W$18),0)+IF(B$18&gt;W$20,$Y$20*($B$18-W$20),0),2)+AA29</f>
        <v>351.39000000000004</v>
      </c>
      <c r="J18" s="555"/>
      <c r="K18" s="555">
        <f>ROUND($AA$15+IF($E18&gt;1000,IF($E18&gt;9000,(1000*AA$21/100)+(8000*AA$22/100)+(($E18-9000)*AA$23/100),(1000*AA$21/100)+(($E18-1000)*AA$22/100)),($E18*$AA$21)/100)+IF(B$18&gt;Z$18,$AA$18*($B$18-Z$18),0)+IF(B$18&gt;Z$20,$AA$20*($B$18-Z$20),0),2)+AA30</f>
        <v>381.93</v>
      </c>
      <c r="L18" s="555"/>
      <c r="M18" s="555">
        <f>ROUND($AB$15+IF($E18&gt;1000,IF($E18&gt;9000,(1000*AB$21/100)+(8000*AB$22/100)+(($E18-9000)*AB$23/100),(1000*AB$21/100)+(($E18-1000)*AB$22/100)),($E18*$AB$21)/100)+IF(B$18&gt;Z$18,$AB$18*($B$18-Z$18),0)+IF(B$18&gt;Z$20,$AB$20*($B$18-Z$20),0),2)+AA30</f>
        <v>386.64</v>
      </c>
      <c r="N18" s="536"/>
      <c r="O18" s="555">
        <f>K18-G18</f>
        <v>34.81</v>
      </c>
      <c r="P18" s="555"/>
      <c r="Q18" s="555">
        <f>M18-I18</f>
        <v>35.249999999999943</v>
      </c>
      <c r="R18" s="539"/>
      <c r="S18" s="556">
        <f>ROUND(K18/G18-1,4)</f>
        <v>0.1003</v>
      </c>
      <c r="T18" s="536"/>
      <c r="U18" s="556">
        <f>ROUND(M18/I18-1,4)</f>
        <v>0.1003</v>
      </c>
      <c r="W18" s="561">
        <v>15</v>
      </c>
      <c r="X18" s="557">
        <f>'Exhibit No._(JRS-11) p1-9'!G171</f>
        <v>0.92</v>
      </c>
      <c r="Y18" s="498">
        <f>X18</f>
        <v>0.92</v>
      </c>
      <c r="Z18" s="562">
        <v>15</v>
      </c>
      <c r="AA18" s="557">
        <f>'Exhibit No._(JRS-11) p1-9'!J210</f>
        <v>1.01</v>
      </c>
      <c r="AB18" s="498">
        <f>AA18</f>
        <v>1.01</v>
      </c>
      <c r="AD18" s="506"/>
    </row>
    <row r="19" spans="1:30" ht="15.75">
      <c r="A19" s="527"/>
      <c r="B19" s="536"/>
      <c r="C19" s="536"/>
      <c r="D19" s="536">
        <v>200</v>
      </c>
      <c r="E19" s="553">
        <f>ROUND((B$18*D19),0)</f>
        <v>5000</v>
      </c>
      <c r="F19" s="554"/>
      <c r="G19" s="555">
        <f>ROUND($X$15+IF($E19&gt;1000,IF($E19&gt;9000,(1000*X$21/100)+(8000*X$22/100)+(($E19-9000)*X$23/100),(1000*X$21/100)+(($E19-1000)*X$22/100)),($E19*$X$21)/100)+IF(B$18&gt;W$18,$X$18*($B$18-W$18),0)+IF(B$18&gt;W$20,$X$20*($B$18-W$20),0),2)+AA29</f>
        <v>434.98</v>
      </c>
      <c r="H19" s="555"/>
      <c r="I19" s="555">
        <f>ROUND($Y$15+IF($E19&gt;1000,IF($E19&gt;9000,(1000*Y$21/100)+(8000*Y$22/100)+(($E19-9000)*Y$23/100),(1000*Y$21/100)+(($E19-1000)*Y$22/100)),($E19*$Y$21)/100)+IF(B$18&gt;W$18,$Y$18*($B$18-W$18),0)+IF(B$18&gt;W$20,$Y$20*($B$18-W$20),0),2)+AA29</f>
        <v>439.25</v>
      </c>
      <c r="J19" s="555"/>
      <c r="K19" s="555">
        <f>ROUND($AA$15+IF($E19&gt;1000,IF($E19&gt;9000,(1000*AA$21/100)+(8000*AA$22/100)+(($E19-9000)*AA$23/100),(1000*AA$21/100)+(($E19-1000)*AA$22/100)),($E19*$AA$21)/100)+IF(B$18&gt;Z$18,$AA$18*($B$18-Z$18),0)+IF(B$18&gt;Z$20,$AA$20*($B$18-Z$20),0),2)+AA30</f>
        <v>478.48999999999995</v>
      </c>
      <c r="L19" s="555"/>
      <c r="M19" s="555">
        <f>ROUND($AB$15+IF($E19&gt;1000,IF($E19&gt;9000,(1000*AB$21/100)+(8000*AB$22/100)+(($E19-9000)*AB$23/100),(1000*AB$21/100)+(($E19-1000)*AB$22/100)),($E19*$AB$21)/100)+IF(B$18&gt;Z$18,$AB$18*($B$18-Z$18),0)+IF(B$18&gt;Z$20,$AB$20*($B$18-Z$20),0),2)+AA30</f>
        <v>483.2</v>
      </c>
      <c r="N19" s="536"/>
      <c r="O19" s="555">
        <f>K19-G19</f>
        <v>43.509999999999934</v>
      </c>
      <c r="P19" s="555"/>
      <c r="Q19" s="555">
        <f>M19-I19</f>
        <v>43.949999999999989</v>
      </c>
      <c r="R19" s="539"/>
      <c r="S19" s="556">
        <f>ROUND(K19/G19-1,4)</f>
        <v>0.1</v>
      </c>
      <c r="T19" s="536"/>
      <c r="U19" s="556">
        <f>ROUND(M19/I19-1,4)</f>
        <v>0.10009999999999999</v>
      </c>
      <c r="W19" s="551" t="s">
        <v>405</v>
      </c>
      <c r="X19" s="512"/>
      <c r="Y19" s="563"/>
      <c r="Z19" s="512" t="s">
        <v>405</v>
      </c>
      <c r="AA19" s="557"/>
      <c r="AB19" s="498"/>
    </row>
    <row r="20" spans="1:30" ht="15.75">
      <c r="A20" s="527"/>
      <c r="B20" s="536"/>
      <c r="C20" s="536"/>
      <c r="D20" s="536">
        <v>400</v>
      </c>
      <c r="E20" s="553">
        <f>ROUND((B$18*D20),0)</f>
        <v>10000</v>
      </c>
      <c r="F20" s="554"/>
      <c r="G20" s="555">
        <f>ROUND($X$15+IF($E20&gt;1000,IF($E20&gt;9000,(1000*X$21/100)+(8000*X$22/100)+(($E20-9000)*X$23/100),(1000*X$21/100)+(($E20-1000)*X$22/100)),($E20*$X$21)/100)+IF(B$18&gt;W$18,$X$18*($B$18-W$18),0)+IF(B$18&gt;W$20,$X$20*($B$18-W$20),0),2)+AA29</f>
        <v>777.08999999999992</v>
      </c>
      <c r="H20" s="555"/>
      <c r="I20" s="555">
        <f>ROUND($Y$15+IF($E20&gt;1000,IF($E20&gt;9000,(1000*Y$21/100)+(8000*Y$22/100)+(($E20-9000)*Y$23/100),(1000*Y$21/100)+(($E20-1000)*Y$22/100)),($E20*$Y$21)/100)+IF(B$18&gt;W$18,$Y$18*($B$18-W$18),0)+IF(B$18&gt;W$20,$Y$20*($B$18-W$20),0),2)+AA29</f>
        <v>781.36</v>
      </c>
      <c r="J20" s="555"/>
      <c r="K20" s="555">
        <f>ROUND($AA$15+IF($E20&gt;1000,IF($E20&gt;9000,(1000*AA$21/100)+(8000*AA$22/100)+(($E20-9000)*AA$23/100),(1000*AA$21/100)+(($E20-1000)*AA$22/100)),($E20*$AA$21)/100)+IF(B$18&gt;Z$18,$AA$18*($B$18-Z$18),0)+IF(B$18&gt;Z$20,$AA$20*($B$18-Z$20),0),2)+AA30</f>
        <v>854.44</v>
      </c>
      <c r="L20" s="555"/>
      <c r="M20" s="555">
        <f>ROUND($AB$15+IF($E20&gt;1000,IF($E20&gt;9000,(1000*AB$21/100)+(8000*AB$22/100)+(($E20-9000)*AB$23/100),(1000*AB$21/100)+(($E20-1000)*AB$22/100)),($E20*$AB$21)/100)+IF(B$18&gt;Z$18,$AB$18*($B$18-Z$18),0)+IF(B$18&gt;Z$20,$AB$20*($B$18-Z$20),0),2)+AA30</f>
        <v>859.15000000000009</v>
      </c>
      <c r="N20" s="536"/>
      <c r="O20" s="555">
        <f>K20-G20</f>
        <v>77.350000000000136</v>
      </c>
      <c r="P20" s="555"/>
      <c r="Q20" s="555">
        <f>M20-I20</f>
        <v>77.790000000000077</v>
      </c>
      <c r="R20" s="539"/>
      <c r="S20" s="556">
        <f>ROUND(K20/G20-1,4)</f>
        <v>9.9500000000000005E-2</v>
      </c>
      <c r="T20" s="536"/>
      <c r="U20" s="556">
        <f>ROUND(M20/I20-1,4)</f>
        <v>9.9599999999999994E-2</v>
      </c>
      <c r="W20" s="561">
        <v>15</v>
      </c>
      <c r="X20" s="557">
        <f>'Exhibit No._(JRS-11) p1-9'!G174</f>
        <v>3.4</v>
      </c>
      <c r="Y20" s="498">
        <f>X20</f>
        <v>3.4</v>
      </c>
      <c r="Z20" s="564">
        <v>15</v>
      </c>
      <c r="AA20" s="557">
        <f>'Exhibit No._(JRS-11) p1-9'!J212</f>
        <v>3.75</v>
      </c>
      <c r="AB20" s="498">
        <f>AA20</f>
        <v>3.75</v>
      </c>
      <c r="AD20" s="506"/>
    </row>
    <row r="21" spans="1:30" ht="15.75">
      <c r="A21" s="527"/>
      <c r="B21" s="539"/>
      <c r="C21" s="539"/>
      <c r="D21" s="539"/>
      <c r="E21" s="539"/>
      <c r="F21" s="554"/>
      <c r="G21" s="565"/>
      <c r="H21" s="565"/>
      <c r="I21" s="565"/>
      <c r="J21" s="565"/>
      <c r="K21" s="565"/>
      <c r="L21" s="565"/>
      <c r="M21" s="565"/>
      <c r="N21" s="539"/>
      <c r="O21" s="555"/>
      <c r="P21" s="555"/>
      <c r="Q21" s="555"/>
      <c r="R21" s="539"/>
      <c r="S21" s="556"/>
      <c r="T21" s="539"/>
      <c r="U21" s="539"/>
      <c r="W21" s="551" t="s">
        <v>414</v>
      </c>
      <c r="X21" s="566">
        <f>'Exhibit No._(JRS-11) p1-9'!G175+AA25+AA32+AA33</f>
        <v>10.048999999999999</v>
      </c>
      <c r="Y21" s="500">
        <f>X21</f>
        <v>10.048999999999999</v>
      </c>
      <c r="Z21" s="512" t="s">
        <v>414</v>
      </c>
      <c r="AA21" s="566">
        <f>'Exhibit No._(JRS-11) p1-9'!J213+'Exhibit No._(JRS-11) p1-9'!J179+AA26+AA32+AA33</f>
        <v>11.057</v>
      </c>
      <c r="AB21" s="567">
        <f>AA21</f>
        <v>11.057</v>
      </c>
      <c r="AD21" s="502"/>
    </row>
    <row r="22" spans="1:30" ht="15.75">
      <c r="A22" s="527"/>
      <c r="B22" s="536">
        <v>50</v>
      </c>
      <c r="C22" s="536"/>
      <c r="D22" s="536">
        <f>D18</f>
        <v>150</v>
      </c>
      <c r="E22" s="553">
        <f>ROUND((B$22*D22),0)</f>
        <v>7500</v>
      </c>
      <c r="F22" s="554"/>
      <c r="G22" s="555">
        <f>ROUND($X$15+IF($E22&gt;1000,IF($E22&gt;9000,(1000*X$21/100)+(8000*X$22/100)+(($E22-9000)*X$23/100),(1000*X$21/100)+(($E22-1000)*X$22/100)),($E22*$X$21)/100)+IF(B$22&gt;W$18,$X$18*($B$22-W$18),0)+IF(B$22&gt;W$20,$X$20*($B$22-W$20),0),2)+AA29</f>
        <v>718.70999999999992</v>
      </c>
      <c r="H22" s="555"/>
      <c r="I22" s="555">
        <f>ROUND($Y$15+IF($E22&gt;1000,IF($E22&gt;9000,(1000*Y$21/100)+(8000*Y$22/100)+(($E22-9000)*Y$23/100),(1000*Y$21/100)+(($E22-1000)*Y$22/100)),($E22*$Y$21)/100)+IF(B$22&gt;W$18,$Y$18*($B$22-W$18),0)+IF(B$22&gt;W$20,$Y$20*($B$22-W$20),0),2)+AA29</f>
        <v>722.9799999999999</v>
      </c>
      <c r="J22" s="555"/>
      <c r="K22" s="555">
        <f>ROUND($AA$15+IF($E22&gt;1000,IF($E22&gt;9000,(1000*AA$21/100)+(8000*AA$22/100)+(($E22-9000)*AA$23/100),(1000*AA$21/100)+(($E22-1000)*AA$22/100)),($E22*$AA$21)/100)+IF(B$22&gt;Z$18,$AA$18*($B$22-Z$18),0)+IF(B$22&gt;Z$20,$AA$20*($B$22-Z$20),0),2)+AA30</f>
        <v>790.62</v>
      </c>
      <c r="L22" s="555"/>
      <c r="M22" s="555">
        <f>ROUND($AB$15+IF($E22&gt;1000,IF($E22&gt;9000,(1000*AB$21/100)+(8000*AB$22/100)+(($E22-9000)*AB$23/100),(1000*AB$21/100)+(($E22-1000)*AB$22/100)),($E22*$AB$21)/100)+IF(B$22&gt;Z$18,$AB$18*($B$22-Z$18),0)+IF(B$22&gt;Z$20,$AB$20*($B$22-Z$20),0),2)+AA30</f>
        <v>795.33</v>
      </c>
      <c r="N22" s="536"/>
      <c r="O22" s="555">
        <f>K22-G22</f>
        <v>71.910000000000082</v>
      </c>
      <c r="P22" s="555"/>
      <c r="Q22" s="555">
        <f>M22-I22</f>
        <v>72.350000000000136</v>
      </c>
      <c r="R22" s="539"/>
      <c r="S22" s="556">
        <f>ROUND(K22/G22-1,4)</f>
        <v>0.10009999999999999</v>
      </c>
      <c r="T22" s="536"/>
      <c r="U22" s="556">
        <f>ROUND(M22/I22-1,4)</f>
        <v>0.10009999999999999</v>
      </c>
      <c r="W22" s="551" t="s">
        <v>415</v>
      </c>
      <c r="X22" s="566">
        <f>'Exhibit No._(JRS-11) p1-9'!G176+AA25+AA32+AA33</f>
        <v>7.0290000000000008</v>
      </c>
      <c r="Y22" s="500">
        <f>X22</f>
        <v>7.0290000000000008</v>
      </c>
      <c r="Z22" s="551" t="s">
        <v>415</v>
      </c>
      <c r="AA22" s="566">
        <f>'Exhibit No._(JRS-11) p1-9'!J214+'Exhibit No._(JRS-11) p1-9'!J180+AA26+AA32+AA33</f>
        <v>7.7250000000000005</v>
      </c>
      <c r="AB22" s="567">
        <f>AA22</f>
        <v>7.7250000000000005</v>
      </c>
      <c r="AD22" s="502"/>
    </row>
    <row r="23" spans="1:30" ht="15.75">
      <c r="B23" s="536"/>
      <c r="C23" s="536"/>
      <c r="D23" s="536">
        <f>D19</f>
        <v>200</v>
      </c>
      <c r="E23" s="553">
        <f>ROUND((B$22*D23),0)</f>
        <v>10000</v>
      </c>
      <c r="F23" s="554"/>
      <c r="G23" s="555">
        <f>ROUND($X$15+IF($E23&gt;1000,IF($E23&gt;9000,(1000*X$21/100)+(8000*X$22/100)+(($E23-9000)*X$23/100),(1000*X$21/100)+(($E23-1000)*X$22/100)),($E23*$X$21)/100)+IF(B$22&gt;W$18,$X$18*($B$22-W$18),0)+IF(B$22&gt;W$20,$X$20*($B$22-W$20),0),2)+AA29</f>
        <v>885.08999999999992</v>
      </c>
      <c r="H23" s="555"/>
      <c r="I23" s="555">
        <f>ROUND($Y$15+IF($E23&gt;1000,IF($E23&gt;9000,(1000*Y$21/100)+(8000*Y$22/100)+(($E23-9000)*Y$23/100),(1000*Y$21/100)+(($E23-1000)*Y$22/100)),($E23*$Y$21)/100)+IF(B$22&gt;W$18,$Y$18*($B$22-W$18),0)+IF(B$22&gt;W$20,$Y$20*($B$22-W$20),0),2)+AA29</f>
        <v>889.36</v>
      </c>
      <c r="J23" s="555"/>
      <c r="K23" s="555">
        <f>ROUND($AA$15+IF($E23&gt;1000,IF($E23&gt;9000,(1000*AA$21/100)+(8000*AA$22/100)+(($E23-9000)*AA$23/100),(1000*AA$21/100)+(($E23-1000)*AA$22/100)),($E23*$AA$21)/100)+IF(B$22&gt;Z$18,$AA$18*($B$22-Z$18),0)+IF(B$22&gt;Z$20,$AA$20*($B$22-Z$20),0),2)+AA30</f>
        <v>973.44</v>
      </c>
      <c r="L23" s="555"/>
      <c r="M23" s="555">
        <f>ROUND($AB$15+IF($E23&gt;1000,IF($E23&gt;9000,(1000*AB$21/100)+(8000*AB$22/100)+(($E23-9000)*AB$23/100),(1000*AB$21/100)+(($E23-1000)*AB$22/100)),($E23*$AB$21)/100)+IF(B$22&gt;Z$18,$AB$18*($B$22-Z$18),0)+IF(B$22&gt;Z$20,$AB$20*($B$22-Z$20),0),2)+AA30</f>
        <v>978.15000000000009</v>
      </c>
      <c r="N23" s="536"/>
      <c r="O23" s="555">
        <f>K23-G23</f>
        <v>88.350000000000136</v>
      </c>
      <c r="P23" s="555"/>
      <c r="Q23" s="555">
        <f>M23-I23</f>
        <v>88.790000000000077</v>
      </c>
      <c r="R23" s="539"/>
      <c r="S23" s="556">
        <f>ROUND(K23/G23-1,4)</f>
        <v>9.98E-2</v>
      </c>
      <c r="T23" s="536"/>
      <c r="U23" s="556">
        <f>ROUND(M23/I23-1,4)</f>
        <v>9.98E-2</v>
      </c>
      <c r="W23" s="551" t="s">
        <v>416</v>
      </c>
      <c r="X23" s="566">
        <f>'Exhibit No._(JRS-11) p1-9'!G177+AA25+AA32+AA33</f>
        <v>6.0950000000000006</v>
      </c>
      <c r="Y23" s="500">
        <f>X23</f>
        <v>6.0950000000000006</v>
      </c>
      <c r="Z23" s="551" t="s">
        <v>416</v>
      </c>
      <c r="AA23" s="566">
        <f>'Exhibit No._(JRS-11) p1-9'!J215+'Exhibit No._(JRS-11) p1-9'!J181+AA26+AA32+AA33</f>
        <v>6.6950000000000003</v>
      </c>
      <c r="AB23" s="567">
        <f>AA23</f>
        <v>6.6950000000000003</v>
      </c>
      <c r="AC23" s="559"/>
      <c r="AD23" s="506"/>
    </row>
    <row r="24" spans="1:30" ht="16.5" thickBot="1">
      <c r="A24" s="527"/>
      <c r="B24" s="536"/>
      <c r="C24" s="536"/>
      <c r="D24" s="536">
        <f>D20</f>
        <v>400</v>
      </c>
      <c r="E24" s="553">
        <f>ROUND((B$22*D24),0)</f>
        <v>20000</v>
      </c>
      <c r="F24" s="554"/>
      <c r="G24" s="555">
        <f>ROUND($X$15+IF($E24&gt;1000,IF($E24&gt;9000,(1000*X$21/100)+(8000*X$22/100)+(($E24-9000)*X$23/100),(1000*X$21/100)+(($E24-1000)*X$22/100)),($E24*$X$21)/100)+IF(B$22&gt;W$18,$X$18*($B$22-W$18),0)+IF(B$22&gt;W$20,$X$20*($B$22-W$20),0),2)+AA29</f>
        <v>1494.5900000000001</v>
      </c>
      <c r="H24" s="555"/>
      <c r="I24" s="555">
        <f>ROUND($Y$15+IF($E24&gt;1000,IF($E24&gt;9000,(1000*Y$21/100)+(8000*Y$22/100)+(($E24-9000)*Y$23/100),(1000*Y$21/100)+(($E24-1000)*Y$22/100)),($E24*$Y$21)/100)+IF(B$22&gt;W$18,$Y$18*($B$22-W$18),0)+IF(B$22&gt;W$20,$Y$20*($B$22-W$20),0),2)+AA29</f>
        <v>1498.8600000000001</v>
      </c>
      <c r="J24" s="555"/>
      <c r="K24" s="555">
        <f>ROUND($AA$15+IF($E24&gt;1000,IF($E24&gt;9000,(1000*AA$21/100)+(8000*AA$22/100)+(($E24-9000)*AA$23/100),(1000*AA$21/100)+(($E24-1000)*AA$22/100)),($E24*$AA$21)/100)+IF(B$22&gt;Z$18,$AA$18*($B$22-Z$18),0)+IF(B$22&gt;Z$20,$AA$20*($B$22-Z$20),0),2)+AA30</f>
        <v>1642.94</v>
      </c>
      <c r="L24" s="555"/>
      <c r="M24" s="555">
        <f>ROUND($AB$15+IF($E24&gt;1000,IF($E24&gt;9000,(1000*AB$21/100)+(8000*AB$22/100)+(($E24-9000)*AB$23/100),(1000*AB$21/100)+(($E24-1000)*AB$22/100)),($E24*$AB$21)/100)+IF(B$22&gt;Z$18,$AB$18*($B$22-Z$18),0)+IF(B$22&gt;Z$20,$AB$20*($B$22-Z$20),0),2)+AA30</f>
        <v>1647.65</v>
      </c>
      <c r="N24" s="536"/>
      <c r="O24" s="555">
        <f>K24-G24</f>
        <v>148.34999999999991</v>
      </c>
      <c r="P24" s="555"/>
      <c r="Q24" s="555">
        <f>M24-I24</f>
        <v>148.78999999999996</v>
      </c>
      <c r="R24" s="539"/>
      <c r="S24" s="556">
        <f>ROUND(K24/G24-1,4)</f>
        <v>9.9299999999999999E-2</v>
      </c>
      <c r="T24" s="536"/>
      <c r="U24" s="556">
        <f>ROUND(M24/I24-1,4)</f>
        <v>9.9299999999999999E-2</v>
      </c>
      <c r="W24" s="508" t="s">
        <v>0</v>
      </c>
      <c r="X24" s="568" t="s">
        <v>0</v>
      </c>
      <c r="Y24" s="569" t="s">
        <v>0</v>
      </c>
      <c r="Z24" s="508" t="s">
        <v>0</v>
      </c>
      <c r="AA24" s="568" t="s">
        <v>0</v>
      </c>
      <c r="AB24" s="569" t="s">
        <v>0</v>
      </c>
    </row>
    <row r="25" spans="1:30" ht="15.75">
      <c r="A25" s="527"/>
      <c r="B25" s="539"/>
      <c r="C25" s="539"/>
      <c r="D25" s="539"/>
      <c r="E25" s="539"/>
      <c r="F25" s="554"/>
      <c r="G25" s="565"/>
      <c r="H25" s="565"/>
      <c r="I25" s="565"/>
      <c r="J25" s="565"/>
      <c r="K25" s="565"/>
      <c r="L25" s="565"/>
      <c r="M25" s="565"/>
      <c r="N25" s="539"/>
      <c r="O25" s="555"/>
      <c r="P25" s="555"/>
      <c r="Q25" s="555"/>
      <c r="R25" s="539"/>
      <c r="S25" s="556"/>
      <c r="T25" s="539"/>
      <c r="U25" s="539"/>
      <c r="Y25" s="510" t="s">
        <v>385</v>
      </c>
      <c r="Z25" s="510"/>
      <c r="AA25" s="511">
        <v>0.28299999999999997</v>
      </c>
      <c r="AB25" s="570" t="s">
        <v>0</v>
      </c>
    </row>
    <row r="26" spans="1:30" ht="15.75">
      <c r="A26" s="527"/>
      <c r="B26" s="536">
        <v>75</v>
      </c>
      <c r="C26" s="536"/>
      <c r="D26" s="536">
        <v>333.33300000000003</v>
      </c>
      <c r="E26" s="553">
        <f>ROUND((B$26*D26),0)</f>
        <v>25000</v>
      </c>
      <c r="F26" s="571"/>
      <c r="G26" s="555">
        <f>ROUND($X$15+IF($E26&gt;1000,IF($E26&gt;9000,(1000*X$21/100)+(8000*X$22/100)+(($E26-9000)*X$23/100),(1000*X$21/100)+(($E26-1000)*X$22/100)),($E26*$X$21)/100)+IF(B$26&gt;W$18,$X$18*($B$26-W$18),0)+IF(B$26&gt;W$20,$X$20*($B$26-W$20),0),2)+AA29</f>
        <v>1907.3400000000001</v>
      </c>
      <c r="H26" s="555"/>
      <c r="I26" s="555">
        <f>ROUND($Y$15+IF($E26&gt;1000,IF($E26&gt;9000,(1000*Y$21/100)+(8000*Y$22/100)+(($E26-9000)*Y$23/100),(1000*Y$21/100)+(($E26-1000)*Y$22/100)),($E26*$Y$21)/100)+IF(B$26&gt;W$18,$Y$18*($B$26-W$18),0)+IF(B$26&gt;W$20,$Y$20*($B$26-W$20),0),2)+AA29</f>
        <v>1911.6100000000001</v>
      </c>
      <c r="J26" s="572"/>
      <c r="K26" s="555">
        <f>ROUND($AA$15+IF($E26&gt;1000,IF($E26&gt;9000,(1000*AA$21/100)+(8000*AA$22/100)+(($E26-9000)*AA$23/100),(1000*AA$21/100)+(($E26-1000)*AA$22/100)),($E26*$AA$21)/100)+IF(B$26&gt;Z$18,$AA$18*($B$26-Z$18),0)+IF(B$26&gt;Z$20,$AA$20*($B$26-Z$20),0),2)+AA30</f>
        <v>2096.69</v>
      </c>
      <c r="L26" s="555"/>
      <c r="M26" s="555">
        <f>ROUND($AB$15+IF($E26&gt;1000,IF($E26&gt;9000,(1000*AB$21/100)+(8000*AB$22/100)+(($E26-9000)*AB$23/100),(1000*AB$21/100)+(($E26-1000)*AB$22/100)),($E26*$AB$21)/100)+IF(B$26&gt;Z$18,$AB$18*($B$26-Z$18),0)+IF(B$26&gt;Z$20,$AB$20*($B$26-Z$20),0),2)+AA30</f>
        <v>2101.4</v>
      </c>
      <c r="N26" s="536"/>
      <c r="O26" s="555">
        <f>K26-G26</f>
        <v>189.34999999999991</v>
      </c>
      <c r="P26" s="555"/>
      <c r="Q26" s="555">
        <f>M26-I26</f>
        <v>189.78999999999996</v>
      </c>
      <c r="R26" s="539"/>
      <c r="S26" s="556">
        <f>ROUND(K26/G26-1,4)</f>
        <v>9.9299999999999999E-2</v>
      </c>
      <c r="T26" s="536"/>
      <c r="U26" s="556">
        <f>ROUND(M26/I26-1,4)</f>
        <v>9.9299999999999999E-2</v>
      </c>
      <c r="Y26" s="510"/>
      <c r="Z26" s="510"/>
      <c r="AA26" s="511">
        <v>0.28299999999999997</v>
      </c>
      <c r="AB26" s="570" t="s">
        <v>0</v>
      </c>
    </row>
    <row r="27" spans="1:30" ht="15.75">
      <c r="B27" s="536"/>
      <c r="C27" s="536"/>
      <c r="D27" s="536">
        <v>500</v>
      </c>
      <c r="E27" s="553">
        <f>ROUND((B$26*D27),0)</f>
        <v>37500</v>
      </c>
      <c r="F27" s="571"/>
      <c r="G27" s="555">
        <f>ROUND($X$15+IF($E27&gt;1000,IF($E27&gt;9000,(1000*X$21/100)+(8000*X$22/100)+(($E27-9000)*X$23/100),(1000*X$21/100)+(($E27-1000)*X$22/100)),($E27*$X$21)/100)+IF(B$26&gt;W$18,$X$18*($B$26-W$18),0)+IF(B$26&gt;W$20,$X$20*($B$26-W$20),0),2)+AA29</f>
        <v>2669.2200000000003</v>
      </c>
      <c r="H27" s="555"/>
      <c r="I27" s="555">
        <f>ROUND($Y$15+IF($E27&gt;1000,IF($E27&gt;9000,(1000*Y$21/100)+(8000*Y$22/100)+(($E27-9000)*Y$23/100),(1000*Y$21/100)+(($E27-1000)*Y$22/100)),($E27*$Y$21)/100)+IF(B$26&gt;W$18,$Y$18*($B$26-W$18),0)+IF(B$26&gt;W$20,$Y$20*($B$26-W$20),0),2)+AA29</f>
        <v>2673.4900000000002</v>
      </c>
      <c r="J27" s="572"/>
      <c r="K27" s="555">
        <f>ROUND($AA$15+IF($E27&gt;1000,IF($E27&gt;9000,(1000*AA$21/100)+(8000*AA$22/100)+(($E27-9000)*AA$23/100),(1000*AA$21/100)+(($E27-1000)*AA$22/100)),($E27*$AA$21)/100)+IF(B$26&gt;Z$18,$AA$18*($B$26-Z$18),0)+IF(B$26&gt;Z$20,$AA$20*($B$26-Z$20),0),2)+AA30</f>
        <v>2933.57</v>
      </c>
      <c r="L27" s="555"/>
      <c r="M27" s="555">
        <f>ROUND($AB$15+IF($E27&gt;1000,IF($E27&gt;9000,(1000*AB$21/100)+(8000*AB$22/100)+(($E27-9000)*AB$23/100),(1000*AB$21/100)+(($E27-1000)*AB$22/100)),($E27*$AB$21)/100)+IF(B$26&gt;Z$18,$AB$18*($B$26-Z$18),0)+IF(B$26&gt;Z$20,$AB$20*($B$26-Z$20),0),2)+AA30</f>
        <v>2938.28</v>
      </c>
      <c r="N27" s="536"/>
      <c r="O27" s="555">
        <f>K27-G27</f>
        <v>264.34999999999991</v>
      </c>
      <c r="P27" s="555"/>
      <c r="Q27" s="555">
        <f>M27-I27</f>
        <v>264.78999999999996</v>
      </c>
      <c r="R27" s="539"/>
      <c r="S27" s="556">
        <f>ROUND(K27/G27-1,4)</f>
        <v>9.9000000000000005E-2</v>
      </c>
      <c r="T27" s="536"/>
      <c r="U27" s="556">
        <f>ROUND(M27/I27-1,4)</f>
        <v>9.9000000000000005E-2</v>
      </c>
      <c r="Y27" s="510"/>
      <c r="Z27" s="510"/>
      <c r="AA27" s="514"/>
    </row>
    <row r="28" spans="1:30" ht="15.75">
      <c r="A28" s="527"/>
      <c r="B28" s="536"/>
      <c r="C28" s="536"/>
      <c r="D28" s="536">
        <v>666.66600000000005</v>
      </c>
      <c r="E28" s="553">
        <f>ROUND((B$26*D28),0)</f>
        <v>50000</v>
      </c>
      <c r="F28" s="571"/>
      <c r="G28" s="555">
        <f>ROUND($X$15+IF($E28&gt;1000,IF($E28&gt;9000,(1000*X$21/100)+(8000*X$22/100)+(($E28-9000)*X$23/100),(1000*X$21/100)+(($E28-1000)*X$22/100)),($E28*$X$21)/100)+IF(B$26&gt;W$18,$X$18*($B$26-W$18),0)+IF(B$26&gt;W$20,$X$20*($B$26-W$20),0),2)+AA29</f>
        <v>3431.09</v>
      </c>
      <c r="H28" s="555"/>
      <c r="I28" s="555">
        <f>ROUND($Y$15+IF($E28&gt;1000,IF($E28&gt;9000,(1000*Y$21/100)+(8000*Y$22/100)+(($E28-9000)*Y$23/100),(1000*Y$21/100)+(($E28-1000)*Y$22/100)),($E28*$Y$21)/100)+IF(B$26&gt;W$18,$Y$18*($B$26-W$18),0)+IF(B$26&gt;W$20,$Y$20*($B$26-W$20),0),2)+AA29</f>
        <v>3435.36</v>
      </c>
      <c r="J28" s="572"/>
      <c r="K28" s="555">
        <f>ROUND($AA$15+IF($E28&gt;1000,IF($E28&gt;9000,(1000*AA$21/100)+(8000*AA$22/100)+(($E28-9000)*AA$23/100),(1000*AA$21/100)+(($E28-1000)*AA$22/100)),($E28*$AA$21)/100)+IF(B$26&gt;Z$18,$AA$18*($B$26-Z$18),0)+IF(B$26&gt;Z$20,$AA$20*($B$26-Z$20),0),2)+AA30</f>
        <v>3770.44</v>
      </c>
      <c r="L28" s="555"/>
      <c r="M28" s="555">
        <f>ROUND($AB$15+IF($E28&gt;1000,IF($E28&gt;9000,(1000*AB$21/100)+(8000*AB$22/100)+(($E28-9000)*AB$23/100),(1000*AB$21/100)+(($E28-1000)*AB$22/100)),($E28*$AB$21)/100)+IF(B$26&gt;Z$18,$AB$18*($B$26-Z$18),0)+IF(B$26&gt;Z$20,$AB$20*($B$26-Z$20),0),2)+AA30</f>
        <v>3775.15</v>
      </c>
      <c r="N28" s="536"/>
      <c r="O28" s="555">
        <f>K28-G28</f>
        <v>339.34999999999991</v>
      </c>
      <c r="P28" s="555"/>
      <c r="Q28" s="555">
        <f>M28-I28</f>
        <v>339.78999999999996</v>
      </c>
      <c r="R28" s="539"/>
      <c r="S28" s="556">
        <f>ROUND(K28/G28-1,4)</f>
        <v>9.8900000000000002E-2</v>
      </c>
      <c r="T28" s="536"/>
      <c r="U28" s="556">
        <f>ROUND(M28/I28-1,4)</f>
        <v>9.8900000000000002E-2</v>
      </c>
      <c r="Y28" s="483" t="s">
        <v>0</v>
      </c>
      <c r="AA28" s="483" t="s">
        <v>0</v>
      </c>
    </row>
    <row r="29" spans="1:30" ht="15.75">
      <c r="A29" s="527"/>
      <c r="B29" s="573"/>
      <c r="C29" s="573"/>
      <c r="D29" s="573"/>
      <c r="E29" s="573"/>
      <c r="F29" s="574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73"/>
      <c r="R29" s="573"/>
      <c r="S29" s="573"/>
      <c r="T29" s="573"/>
      <c r="U29" s="573"/>
      <c r="Y29" s="483" t="s">
        <v>387</v>
      </c>
      <c r="AA29" s="506">
        <f>'Exhibit No._(JRS-11) p10'!D16</f>
        <v>1.42</v>
      </c>
      <c r="AB29" s="483" t="s">
        <v>0</v>
      </c>
    </row>
    <row r="30" spans="1:30" ht="15.75">
      <c r="A30" s="527"/>
      <c r="B30" s="536">
        <v>100</v>
      </c>
      <c r="C30" s="536"/>
      <c r="D30" s="536">
        <v>333.33300000000003</v>
      </c>
      <c r="E30" s="553">
        <f>ROUND((B$26*D30),0)</f>
        <v>25000</v>
      </c>
      <c r="F30" s="571"/>
      <c r="G30" s="555">
        <f>ROUND($X$15+IF($E30&gt;1000,IF($E30&gt;9000,(1000*X$21/100)+(8000*X$22/100)+(($E30-9000)*X$23/100),(1000*X$21/100)+(($E30-1000)*X$22/100)),($E30*$X$21)/100)+IF(B$30&gt;W$18,$X$18*($B$30-W$18),0)+IF(B$30&gt;W$20,$X$20*($B$30-W$20),0),2)+AA29</f>
        <v>2015.3400000000001</v>
      </c>
      <c r="H30" s="555"/>
      <c r="I30" s="555">
        <f>ROUND($Y$15+IF($E30&gt;1000,IF($E30&gt;9000,(1000*Y$21/100)+(8000*Y$22/100)+(($E30-9000)*Y$23/100),(1000*Y$21/100)+(($E30-1000)*Y$22/100)),($E30*$Y$21)/100)+IF(B$30&gt;W$18,$Y$18*($B$30-W$18),0)+IF(B$30&gt;W$20,$Y$20*($B$30-W$20),0),2)+AA29</f>
        <v>2019.6100000000001</v>
      </c>
      <c r="J30" s="572"/>
      <c r="K30" s="555">
        <f>ROUND($AA$15+IF($E30&gt;1000,IF($E30&gt;9000,(1000*AA$21/100)+(8000*AA$22/100)+(($E30-9000)*AA$23/100),(1000*AA$21/100)+(($E30-1000)*AA$22/100)),($E30*$AA$21)/100)+IF(B$30&gt;Z$18,$AA$18*($B$30-Z$18),0)+IF(B$30&gt;Z$20,$AA$20*($B$30-Z$20),0),2)+AA30</f>
        <v>2215.69</v>
      </c>
      <c r="L30" s="555"/>
      <c r="M30" s="555">
        <f>ROUND($AB$15+IF($E30&gt;1000,IF($E30&gt;9000,(1000*AB$21/100)+(8000*AB$22/100)+(($E30-9000)*AB$23/100),(1000*AB$21/100)+(($E30-1000)*AB$22/100)),($E30*$AB$21)/100)+IF(B$30&gt;Z$18,$AB$18*($B$30-Z$18),0)+IF(B$30&gt;Z$20,$AB$20*($B$30-Z$20),0),2)+AA30</f>
        <v>2220.4</v>
      </c>
      <c r="N30" s="536"/>
      <c r="O30" s="555">
        <f>K30-G30</f>
        <v>200.34999999999991</v>
      </c>
      <c r="P30" s="555"/>
      <c r="Q30" s="555">
        <f>M30-I30</f>
        <v>200.78999999999996</v>
      </c>
      <c r="R30" s="539"/>
      <c r="S30" s="556">
        <f>ROUND(K30/G30-1,4)</f>
        <v>9.9400000000000002E-2</v>
      </c>
      <c r="T30" s="536"/>
      <c r="U30" s="556">
        <f>ROUND(M30/I30-1,4)</f>
        <v>9.9400000000000002E-2</v>
      </c>
      <c r="Y30" s="483" t="s">
        <v>417</v>
      </c>
      <c r="Z30" s="502"/>
      <c r="AA30" s="506">
        <f>'Exhibit No._(JRS-11) p10'!E16</f>
        <v>1.71</v>
      </c>
    </row>
    <row r="31" spans="1:30" ht="15.75">
      <c r="B31" s="536"/>
      <c r="C31" s="536"/>
      <c r="D31" s="536">
        <v>500</v>
      </c>
      <c r="E31" s="553">
        <f>ROUND((B$26*D31),0)</f>
        <v>37500</v>
      </c>
      <c r="F31" s="571"/>
      <c r="G31" s="555">
        <f>ROUND($X$15+IF($E31&gt;1000,IF($E31&gt;9000,(1000*X$21/100)+(8000*X$22/100)+(($E31-9000)*X$23/100),(1000*X$21/100)+(($E31-1000)*X$22/100)),($E31*$X$21)/100)+IF(B$30&gt;W$18,$X$18*($B$30-W$18),0)+IF(B$30&gt;W$20,$X$20*($B$30-W$20),0),2)+AA29</f>
        <v>2777.2200000000003</v>
      </c>
      <c r="H31" s="555"/>
      <c r="I31" s="555">
        <f>ROUND($Y$15+IF($E31&gt;1000,IF($E31&gt;9000,(1000*Y$21/100)+(8000*Y$22/100)+(($E31-9000)*Y$23/100),(1000*Y$21/100)+(($E31-1000)*Y$22/100)),($E31*$Y$21)/100)+IF(B$30&gt;W$18,$Y$18*($B$30-W$18),0)+IF(B$30&gt;W$20,$Y$20*($B$30-W$20),0),2)+AA29</f>
        <v>2781.4900000000002</v>
      </c>
      <c r="J31" s="572"/>
      <c r="K31" s="555">
        <f>ROUND($AA$15+IF($E31&gt;1000,IF($E31&gt;9000,(1000*AA$21/100)+(8000*AA$22/100)+(($E31-9000)*AA$23/100),(1000*AA$21/100)+(($E31-1000)*AA$22/100)),($E31*$AA$21)/100)+IF(B$30&gt;Z$18,$AA$18*($B$30-Z$18),0)+IF(B$30&gt;Z$20,$AA$20*($B$30-Z$20),0),2)+AA30</f>
        <v>3052.57</v>
      </c>
      <c r="L31" s="555"/>
      <c r="M31" s="555">
        <f>ROUND($AB$15+IF($E31&gt;1000,IF($E31&gt;9000,(1000*AB$21/100)+(8000*AB$22/100)+(($E31-9000)*AB$23/100),(1000*AB$21/100)+(($E31-1000)*AB$22/100)),($E31*$AB$21)/100)+IF(B$30&gt;Z$18,$AB$18*($B$30-Z$18),0)+IF(B$30&gt;Z$20,$AB$20*($B$30-Z$20),0),2)+AA30</f>
        <v>3057.28</v>
      </c>
      <c r="N31" s="536"/>
      <c r="O31" s="555">
        <f>K31-G31</f>
        <v>275.34999999999991</v>
      </c>
      <c r="P31" s="555"/>
      <c r="Q31" s="555">
        <f>M31-I31</f>
        <v>275.78999999999996</v>
      </c>
      <c r="R31" s="539"/>
      <c r="S31" s="556">
        <f>ROUND(K31/G31-1,4)</f>
        <v>9.9099999999999994E-2</v>
      </c>
      <c r="T31" s="536"/>
      <c r="U31" s="556">
        <f>ROUND(M31/I31-1,4)</f>
        <v>9.9199999999999997E-2</v>
      </c>
      <c r="Y31" s="506"/>
      <c r="Z31" s="506"/>
    </row>
    <row r="32" spans="1:30" ht="15.75">
      <c r="A32" s="527"/>
      <c r="B32" s="536"/>
      <c r="C32" s="536"/>
      <c r="D32" s="536">
        <v>666.66600000000005</v>
      </c>
      <c r="E32" s="553">
        <f>ROUND((B$26*D32),0)</f>
        <v>50000</v>
      </c>
      <c r="F32" s="571"/>
      <c r="G32" s="555">
        <f>ROUND($X$15+IF($E32&gt;1000,IF($E32&gt;9000,(1000*X$21/100)+(8000*X$22/100)+(($E32-9000)*X$23/100),(1000*X$21/100)+(($E32-1000)*X$22/100)),($E32*$X$21)/100)+IF(B$30&gt;W$18,$X$18*($B$30-W$18),0)+IF(B$30&gt;W$20,$X$20*($B$30-W$20),0),2)+AA29</f>
        <v>3539.09</v>
      </c>
      <c r="H32" s="555"/>
      <c r="I32" s="555">
        <f>ROUND($Y$15+IF($E32&gt;1000,IF($E32&gt;9000,(1000*Y$21/100)+(8000*Y$22/100)+(($E32-9000)*Y$23/100),(1000*Y$21/100)+(($E32-1000)*Y$22/100)),($E32*$Y$21)/100)+IF(B$30&gt;W$18,$Y$18*($B$30-W$18),0)+IF(B$30&gt;W$20,$Y$20*($B$30-W$20),0),2)+AA29</f>
        <v>3543.36</v>
      </c>
      <c r="J32" s="572"/>
      <c r="K32" s="555">
        <f>ROUND($AA$15+IF($E32&gt;1000,IF($E32&gt;9000,(1000*AA$21/100)+(8000*AA$22/100)+(($E32-9000)*AA$23/100),(1000*AA$21/100)+(($E32-1000)*AA$22/100)),($E32*$AA$21)/100)+IF(B$30&gt;Z$18,$AA$18*($B$30-Z$18),0)+IF(B$30&gt;Z$20,$AA$20*($B$30-Z$20),0),2)+AA30</f>
        <v>3889.44</v>
      </c>
      <c r="L32" s="555"/>
      <c r="M32" s="555">
        <f>ROUND($AB$15+IF($E32&gt;1000,IF($E32&gt;9000,(1000*AB$21/100)+(8000*AB$22/100)+(($E32-9000)*AB$23/100),(1000*AB$21/100)+(($E32-1000)*AB$22/100)),($E32*$AB$21)/100)+IF(B$30&gt;Z$18,$AB$18*($B$30-Z$18),0)+IF(B$30&gt;Z$20,$AB$20*($B$30-Z$20),0),2)+AA30</f>
        <v>3894.15</v>
      </c>
      <c r="N32" s="536"/>
      <c r="O32" s="555">
        <f>K32-G32</f>
        <v>350.34999999999991</v>
      </c>
      <c r="P32" s="555"/>
      <c r="Q32" s="555">
        <f>M32-I32</f>
        <v>350.78999999999996</v>
      </c>
      <c r="R32" s="539"/>
      <c r="S32" s="556">
        <f>ROUND(K32/G32-1,4)</f>
        <v>9.9000000000000005E-2</v>
      </c>
      <c r="T32" s="536"/>
      <c r="U32" s="556">
        <f>ROUND(M32/I32-1,4)</f>
        <v>9.9000000000000005E-2</v>
      </c>
      <c r="Y32" s="483" t="s">
        <v>389</v>
      </c>
      <c r="AA32" s="570">
        <v>0</v>
      </c>
    </row>
    <row r="33" spans="1:27" ht="15.75">
      <c r="A33" s="527"/>
      <c r="B33" s="539"/>
      <c r="C33" s="539"/>
      <c r="D33" s="539"/>
      <c r="E33" s="539"/>
      <c r="F33" s="554"/>
      <c r="G33" s="539"/>
      <c r="H33" s="539"/>
      <c r="I33" s="539"/>
      <c r="J33" s="539"/>
      <c r="K33" s="539"/>
      <c r="L33" s="539"/>
      <c r="M33" s="539"/>
      <c r="N33" s="539"/>
      <c r="O33" s="539"/>
      <c r="P33" s="539"/>
      <c r="Q33" s="539"/>
      <c r="R33" s="539"/>
      <c r="S33" s="539"/>
      <c r="T33" s="539"/>
      <c r="U33" s="539"/>
      <c r="Y33" s="483" t="s">
        <v>390</v>
      </c>
      <c r="AA33" s="483">
        <v>0</v>
      </c>
    </row>
    <row r="34" spans="1:27" ht="15.75">
      <c r="A34" s="527"/>
      <c r="B34" s="539" t="s">
        <v>393</v>
      </c>
      <c r="C34" s="539"/>
      <c r="D34" s="539"/>
      <c r="E34" s="539"/>
      <c r="F34" s="554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W34" s="515" t="s">
        <v>391</v>
      </c>
      <c r="X34" s="575">
        <f>'Exhibit No._(JRS-10)'!Z22</f>
        <v>0.10327522949378666</v>
      </c>
    </row>
    <row r="35" spans="1:27" ht="15.75">
      <c r="B35" s="576" t="s">
        <v>418</v>
      </c>
      <c r="C35" s="539"/>
      <c r="D35" s="539"/>
      <c r="E35" s="539"/>
      <c r="F35" s="539"/>
      <c r="G35" s="539"/>
      <c r="H35" s="539"/>
      <c r="I35" s="539"/>
      <c r="J35" s="539"/>
      <c r="K35" s="539"/>
      <c r="L35" s="539"/>
      <c r="M35" s="539"/>
      <c r="N35" s="539"/>
      <c r="O35" s="539"/>
      <c r="P35" s="539"/>
      <c r="Q35" s="539"/>
      <c r="R35" s="539"/>
      <c r="S35" s="539"/>
      <c r="T35" s="539"/>
      <c r="U35" s="539"/>
    </row>
    <row r="36" spans="1:27">
      <c r="A36" s="527"/>
    </row>
    <row r="37" spans="1:27">
      <c r="A37" s="527"/>
    </row>
    <row r="38" spans="1:27">
      <c r="A38" s="527"/>
    </row>
    <row r="40" spans="1:27">
      <c r="A40" s="527"/>
    </row>
    <row r="41" spans="1:27">
      <c r="A41" s="527"/>
    </row>
    <row r="42" spans="1:27">
      <c r="A42" s="527"/>
    </row>
    <row r="43" spans="1:27">
      <c r="A43" s="527"/>
    </row>
    <row r="44" spans="1:27">
      <c r="A44" s="527"/>
    </row>
    <row r="45" spans="1:27">
      <c r="A45" s="527"/>
    </row>
    <row r="46" spans="1:27">
      <c r="A46" s="527"/>
    </row>
    <row r="47" spans="1:27">
      <c r="A47" s="527"/>
    </row>
    <row r="48" spans="1:27">
      <c r="P48" s="524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7"/>
  <sheetViews>
    <sheetView tabSelected="1" view="pageBreakPreview" zoomScale="75" zoomScaleNormal="100" zoomScaleSheetLayoutView="100" workbookViewId="0">
      <selection activeCell="B1" sqref="B1"/>
    </sheetView>
  </sheetViews>
  <sheetFormatPr defaultColWidth="8.5" defaultRowHeight="15"/>
  <cols>
    <col min="1" max="1" width="1.625" style="483" customWidth="1"/>
    <col min="2" max="2" width="10.375" style="483" customWidth="1"/>
    <col min="3" max="3" width="2.375" style="483" customWidth="1"/>
    <col min="4" max="4" width="10.875" style="483" hidden="1" customWidth="1"/>
    <col min="5" max="5" width="9.375" style="483" customWidth="1"/>
    <col min="6" max="6" width="3.5" style="483" customWidth="1"/>
    <col min="7" max="7" width="11.75" style="483" bestFit="1" customWidth="1"/>
    <col min="8" max="8" width="3.625" style="483" customWidth="1"/>
    <col min="9" max="9" width="12.875" style="483" bestFit="1" customWidth="1"/>
    <col min="10" max="10" width="4.5" style="483" customWidth="1"/>
    <col min="11" max="11" width="12.375" style="483" customWidth="1"/>
    <col min="12" max="12" width="2.375" style="483" customWidth="1"/>
    <col min="13" max="13" width="3" style="483" customWidth="1"/>
    <col min="14" max="14" width="9.5" style="483" customWidth="1"/>
    <col min="15" max="15" width="8.5" style="483"/>
    <col min="16" max="16" width="15.25" style="483" customWidth="1"/>
    <col min="17" max="17" width="5.75" style="483" customWidth="1"/>
    <col min="18" max="18" width="8.5" style="483"/>
    <col min="19" max="19" width="7.75" style="483" customWidth="1"/>
    <col min="20" max="20" width="2.25" style="483" customWidth="1"/>
    <col min="21" max="16384" width="8.5" style="483"/>
  </cols>
  <sheetData>
    <row r="1" spans="1:19">
      <c r="A1" s="525"/>
      <c r="B1" s="525"/>
    </row>
    <row r="2" spans="1:19">
      <c r="A2" s="525"/>
      <c r="B2" s="525"/>
      <c r="C2" s="527"/>
      <c r="D2" s="527"/>
      <c r="E2" s="527"/>
      <c r="F2" s="527"/>
      <c r="G2" s="527"/>
      <c r="H2" s="527"/>
      <c r="I2" s="527"/>
    </row>
    <row r="3" spans="1:19" ht="18.75">
      <c r="A3" s="525"/>
      <c r="B3" s="484"/>
      <c r="C3" s="528"/>
      <c r="D3" s="528"/>
      <c r="E3" s="528"/>
      <c r="F3" s="528"/>
      <c r="G3" s="528"/>
      <c r="H3" s="528"/>
      <c r="I3" s="528"/>
      <c r="J3" s="486" t="s">
        <v>0</v>
      </c>
      <c r="K3" s="577"/>
    </row>
    <row r="4" spans="1:19" ht="20.25">
      <c r="B4" s="530" t="s">
        <v>314</v>
      </c>
      <c r="C4" s="530"/>
      <c r="D4" s="530"/>
      <c r="E4" s="530"/>
      <c r="F4" s="530"/>
      <c r="G4" s="530"/>
      <c r="H4" s="530"/>
      <c r="I4" s="530"/>
      <c r="J4" s="530"/>
      <c r="K4" s="530"/>
      <c r="L4" s="534"/>
      <c r="M4" s="534"/>
    </row>
    <row r="5" spans="1:19" ht="20.25">
      <c r="B5" s="530" t="s">
        <v>376</v>
      </c>
      <c r="C5" s="530"/>
      <c r="D5" s="530"/>
      <c r="E5" s="530"/>
      <c r="F5" s="530"/>
      <c r="G5" s="530"/>
      <c r="H5" s="530"/>
      <c r="I5" s="530"/>
      <c r="J5" s="530"/>
      <c r="K5" s="530"/>
      <c r="L5" s="534"/>
      <c r="M5" s="534"/>
    </row>
    <row r="6" spans="1:19" ht="20.25">
      <c r="B6" s="530" t="s">
        <v>419</v>
      </c>
      <c r="C6" s="530"/>
      <c r="D6" s="530"/>
      <c r="E6" s="530"/>
      <c r="F6" s="530"/>
      <c r="G6" s="530"/>
      <c r="H6" s="530"/>
      <c r="I6" s="530"/>
      <c r="J6" s="530"/>
      <c r="K6" s="530"/>
      <c r="L6" s="534"/>
      <c r="M6" s="534"/>
    </row>
    <row r="7" spans="1:19" ht="20.25">
      <c r="B7" s="530" t="s">
        <v>0</v>
      </c>
      <c r="C7" s="530"/>
      <c r="D7" s="530"/>
      <c r="E7" s="530"/>
      <c r="F7" s="530"/>
      <c r="G7" s="530"/>
      <c r="H7" s="530"/>
      <c r="I7" s="530"/>
      <c r="J7" s="530"/>
      <c r="K7" s="530"/>
      <c r="L7" s="534"/>
      <c r="M7" s="534"/>
    </row>
    <row r="8" spans="1:19" ht="18.75">
      <c r="A8" s="532"/>
      <c r="B8" s="533"/>
      <c r="C8" s="533"/>
      <c r="D8" s="533"/>
      <c r="E8" s="533"/>
      <c r="F8" s="533"/>
      <c r="G8" s="533"/>
      <c r="H8" s="533"/>
      <c r="I8" s="533"/>
      <c r="J8" s="533"/>
      <c r="K8" s="534"/>
      <c r="L8" s="533"/>
      <c r="M8" s="533"/>
    </row>
    <row r="9" spans="1:19">
      <c r="A9" s="527"/>
      <c r="B9" s="525"/>
    </row>
    <row r="10" spans="1:19" ht="15.75">
      <c r="A10" s="527"/>
      <c r="B10" s="535" t="s">
        <v>397</v>
      </c>
      <c r="C10" s="536"/>
      <c r="D10" s="536"/>
      <c r="E10" s="536"/>
      <c r="F10" s="536"/>
      <c r="G10" s="537" t="s">
        <v>398</v>
      </c>
      <c r="H10" s="537"/>
      <c r="I10" s="537"/>
      <c r="J10" s="536"/>
      <c r="K10" s="539"/>
      <c r="L10" s="527"/>
      <c r="M10" s="527"/>
    </row>
    <row r="11" spans="1:19" ht="16.5" thickBot="1">
      <c r="A11" s="527"/>
      <c r="B11" s="540" t="s">
        <v>401</v>
      </c>
      <c r="C11" s="538"/>
      <c r="D11" s="535" t="s">
        <v>402</v>
      </c>
      <c r="E11" s="536"/>
      <c r="F11" s="536"/>
      <c r="G11" s="578" t="s">
        <v>420</v>
      </c>
      <c r="H11" s="539"/>
      <c r="I11" s="578" t="s">
        <v>12</v>
      </c>
      <c r="J11" s="536"/>
      <c r="K11" s="538" t="s">
        <v>400</v>
      </c>
      <c r="L11" s="527"/>
      <c r="M11" s="527"/>
      <c r="O11" s="579"/>
    </row>
    <row r="12" spans="1:19" ht="15.75">
      <c r="A12" s="527"/>
      <c r="B12" s="543" t="s">
        <v>405</v>
      </c>
      <c r="C12" s="544"/>
      <c r="D12" s="545" t="s">
        <v>406</v>
      </c>
      <c r="E12" s="543" t="s">
        <v>36</v>
      </c>
      <c r="F12" s="536"/>
      <c r="G12" s="543" t="s">
        <v>421</v>
      </c>
      <c r="H12" s="580"/>
      <c r="I12" s="543" t="s">
        <v>422</v>
      </c>
      <c r="J12" s="536"/>
      <c r="K12" s="541" t="s">
        <v>105</v>
      </c>
      <c r="L12" s="527"/>
      <c r="M12" s="527"/>
      <c r="N12" s="581" t="s">
        <v>379</v>
      </c>
      <c r="P12" s="582"/>
      <c r="Q12" s="583"/>
      <c r="R12" s="582" t="s">
        <v>380</v>
      </c>
      <c r="S12" s="583"/>
    </row>
    <row r="13" spans="1:19" ht="15.75">
      <c r="A13" s="527"/>
      <c r="B13" s="536"/>
      <c r="C13" s="536"/>
      <c r="D13" s="536"/>
      <c r="E13" s="536"/>
      <c r="F13" s="536"/>
      <c r="G13" s="544"/>
      <c r="H13" s="544"/>
      <c r="I13" s="544"/>
      <c r="J13" s="539"/>
      <c r="K13" s="539"/>
      <c r="N13" s="551" t="s">
        <v>409</v>
      </c>
      <c r="O13" s="490" t="s">
        <v>16</v>
      </c>
      <c r="P13" s="490" t="s">
        <v>423</v>
      </c>
      <c r="Q13" s="552"/>
      <c r="R13" s="490" t="s">
        <v>16</v>
      </c>
      <c r="S13" s="584" t="s">
        <v>423</v>
      </c>
    </row>
    <row r="14" spans="1:19" ht="15.75">
      <c r="A14" s="527"/>
      <c r="B14" s="536">
        <v>100</v>
      </c>
      <c r="C14" s="536"/>
      <c r="D14" s="536">
        <v>300</v>
      </c>
      <c r="E14" s="553">
        <v>25000</v>
      </c>
      <c r="F14" s="536"/>
      <c r="G14" s="555">
        <f>ROUND(IF($E14&lt;40001,$E14*$O$19/100,40000*$O$19/100+($E14-40000)*$O$20/100)+MAX(100, $B$14)*$O$18+IF($B$14&lt;101,$O$14,IF($B$14&lt;301,$O$15+$B$14*$P$15,$O$16+$B$14*$P$16)),2)+R26</f>
        <v>2120.58</v>
      </c>
      <c r="H14" s="555"/>
      <c r="I14" s="555">
        <f>ROUND(IF($E14&lt;40001,$E14*$R$19/100,40000*$R$19/100+($E14-40000)*$R$20/100)+MAX(100, $B$14)*$R$18+IF($B$14&lt;101,$R$14,IF($B$14&lt;301,$R$15+$B$14*$S$15,$R$16+$B$14*$S$16)),2)+R27</f>
        <v>2379.6</v>
      </c>
      <c r="J14" s="536"/>
      <c r="K14" s="556">
        <f>ROUND(I14/G14-1,4)</f>
        <v>0.1221</v>
      </c>
      <c r="L14" s="527"/>
      <c r="M14" s="527"/>
      <c r="N14" s="551" t="s">
        <v>424</v>
      </c>
      <c r="O14" s="585">
        <f>'Exhibit No._(JRS-11) p1-9'!G598</f>
        <v>259</v>
      </c>
      <c r="P14" s="558"/>
      <c r="Q14" s="552"/>
      <c r="R14" s="585">
        <f>'Exhibit No._(JRS-11) p1-9'!J638</f>
        <v>292</v>
      </c>
      <c r="S14" s="563"/>
    </row>
    <row r="15" spans="1:19" ht="15.75">
      <c r="A15" s="527"/>
      <c r="B15" s="536"/>
      <c r="C15" s="536"/>
      <c r="D15" s="536">
        <v>500</v>
      </c>
      <c r="E15" s="553">
        <v>37500</v>
      </c>
      <c r="F15" s="536"/>
      <c r="G15" s="555">
        <f>ROUND(IF($E15&lt;40001,$E15*$O$19/100,40000*$O$19/100+($E15-40000)*$O$20/100)+MAX(100, $B$14)*$O$18+IF($B$14&lt;101,$O$14,IF($B$14&lt;301,$O$15+$B$14*$P$15,$O$16+$B$14*$P$16)),2)+R26</f>
        <v>2812.08</v>
      </c>
      <c r="H15" s="555"/>
      <c r="I15" s="555">
        <f>ROUND(IF($E15&lt;40001,$E15*$R$19/100,40000*$R$19/100+($E15-40000)*$R$20/100)+MAX(100, $B$14)*$R$18+IF($B$14&lt;101,$R$14,IF($B$14&lt;301,$R$15+$B$14*$S$15,$R$16+$B$14*$S$16)),2)+R27</f>
        <v>3144.98</v>
      </c>
      <c r="J15" s="536"/>
      <c r="K15" s="556">
        <f>ROUND(I15/G15-1,4)</f>
        <v>0.11840000000000001</v>
      </c>
      <c r="L15" s="527"/>
      <c r="M15" s="527"/>
      <c r="N15" s="551" t="s">
        <v>425</v>
      </c>
      <c r="O15" s="585">
        <f>'Exhibit No._(JRS-11) p1-9'!G599</f>
        <v>96</v>
      </c>
      <c r="P15" s="557">
        <f>'Exhibit No._(JRS-11) p1-9'!G602</f>
        <v>1.7</v>
      </c>
      <c r="Q15" s="584"/>
      <c r="R15" s="585">
        <f>'Exhibit No._(JRS-11) p1-9'!J639</f>
        <v>108</v>
      </c>
      <c r="S15" s="498">
        <f>'Exhibit No._(JRS-11) p1-9'!J642</f>
        <v>1.91</v>
      </c>
    </row>
    <row r="16" spans="1:19" ht="15.75">
      <c r="A16" s="527"/>
      <c r="B16" s="536"/>
      <c r="C16" s="536"/>
      <c r="D16" s="536">
        <v>700</v>
      </c>
      <c r="E16" s="553">
        <v>50000</v>
      </c>
      <c r="F16" s="536"/>
      <c r="G16" s="555">
        <f>ROUND(IF($E16&lt;40001,$E16*$O$19/100,40000*$O$19/100+($E16-40000)*$O$20/100)+MAX(100, $B$14)*$O$18+IF($B$14&lt;101,$O$14,IF($B$14&lt;301,$O$15+$B$14*$P$15,$O$16+$B$14*$P$16)),2)+R26</f>
        <v>3459.38</v>
      </c>
      <c r="H16" s="555"/>
      <c r="I16" s="555">
        <f>ROUND(IF($E16&lt;40001,$E16*$R$19/100,40000*$R$19/100+($E16-40000)*$R$20/100)+MAX(100, $B$14)*$R$18+IF($B$14&lt;101,$R$14,IF($B$14&lt;301,$R$15+$B$14*$S$15,$R$16+$B$14*$S$16)),2)+R27</f>
        <v>3861.15</v>
      </c>
      <c r="J16" s="536"/>
      <c r="K16" s="556">
        <f>ROUND(I16/G16-1,4)</f>
        <v>0.11609999999999999</v>
      </c>
      <c r="N16" s="551" t="s">
        <v>426</v>
      </c>
      <c r="O16" s="585">
        <f>'Exhibit No._(JRS-11) p1-9'!G600</f>
        <v>192</v>
      </c>
      <c r="P16" s="557">
        <f>'Exhibit No._(JRS-11) p1-9'!G603</f>
        <v>1.39</v>
      </c>
      <c r="Q16" s="552"/>
      <c r="R16" s="585">
        <f>'Exhibit No._(JRS-11) p1-9'!J640</f>
        <v>215</v>
      </c>
      <c r="S16" s="498">
        <f>'Exhibit No._(JRS-11) p1-9'!J643</f>
        <v>1.56</v>
      </c>
    </row>
    <row r="17" spans="1:21" ht="15.75">
      <c r="A17" s="527"/>
      <c r="B17" s="536"/>
      <c r="C17" s="536"/>
      <c r="D17" s="536"/>
      <c r="E17" s="536"/>
      <c r="F17" s="536"/>
      <c r="G17" s="555"/>
      <c r="H17" s="555"/>
      <c r="I17" s="555"/>
      <c r="J17" s="539"/>
      <c r="K17" s="556"/>
      <c r="L17" s="527"/>
      <c r="M17" s="527"/>
      <c r="N17" s="551"/>
      <c r="O17" s="558"/>
      <c r="P17" s="558"/>
      <c r="Q17" s="552"/>
      <c r="R17" s="558"/>
      <c r="S17" s="563"/>
    </row>
    <row r="18" spans="1:21" ht="15.75">
      <c r="A18" s="527"/>
      <c r="B18" s="536">
        <v>200</v>
      </c>
      <c r="C18" s="536"/>
      <c r="D18" s="536">
        <v>300</v>
      </c>
      <c r="E18" s="553">
        <f>ROUND((B$18*D18),0)</f>
        <v>60000</v>
      </c>
      <c r="F18" s="536"/>
      <c r="G18" s="555">
        <f>ROUND(IF($E18&lt;40001,$E18*$O$19/100,40000*$O$19/100+($E18-40000)*$O$20/100)+MAX(100, $B$18)*$O$18+IF($B$18&lt;101,$O$14,IF($B$18&lt;301,$O$15+$B$18*$P$15,$O$16+$B$18*$P$16)),2)+R26</f>
        <v>4589.38</v>
      </c>
      <c r="H18" s="555"/>
      <c r="I18" s="555">
        <f>ROUND(IF($E18&lt;40001,$E18*$R$19/100,40000*$R$19/100+($E18-40000)*$R$20/100)+MAX(100, $B$18)*$R$18+IF($B$18&lt;101,$R$14,IF($B$18&lt;301,$R$15+$B$18*$S$15,$R$16+$B$18*$S$16)),2)+R27</f>
        <v>5137.25</v>
      </c>
      <c r="J18" s="536"/>
      <c r="K18" s="556">
        <f>ROUND(I18/G18-1,4)</f>
        <v>0.11940000000000001</v>
      </c>
      <c r="L18" s="527"/>
      <c r="M18" s="527"/>
      <c r="N18" s="551" t="s">
        <v>405</v>
      </c>
      <c r="O18" s="557">
        <f>'Exhibit No._(JRS-11) p1-9'!G605</f>
        <v>4.4400000000000004</v>
      </c>
      <c r="P18" s="558"/>
      <c r="Q18" s="552"/>
      <c r="R18" s="557">
        <f>'Exhibit No._(JRS-11) p1-9'!J645</f>
        <v>5.15</v>
      </c>
      <c r="S18" s="563"/>
      <c r="U18" s="503">
        <f>(R18-O18)/O18</f>
        <v>0.15990990990990989</v>
      </c>
    </row>
    <row r="19" spans="1:21" ht="15.75">
      <c r="A19" s="527"/>
      <c r="B19" s="536"/>
      <c r="C19" s="536"/>
      <c r="D19" s="536">
        <v>500</v>
      </c>
      <c r="E19" s="553">
        <f>ROUND((B$18*D19),0)</f>
        <v>100000</v>
      </c>
      <c r="F19" s="536"/>
      <c r="G19" s="555">
        <f>ROUND(IF($E19&lt;40001,$E19*$O$19/100,40000*$O$19/100+($E19-40000)*$O$20/100)+MAX(100, $B$18)*$O$18+IF($B$18&lt;101,$O$14,IF($B$18&lt;301,$O$15+$B$18*$P$15,$O$16+$B$18*$P$16)),2)+R26</f>
        <v>6625.38</v>
      </c>
      <c r="H19" s="555"/>
      <c r="I19" s="555">
        <f>ROUND(IF($E19&lt;40001,$E19*$R$19/100,40000*$R$19/100+($E19-40000)*$R$20/100)+MAX(100, $B$18)*$R$18+IF($B$18&lt;101,$R$14,IF($B$18&lt;301,$R$15+$B$18*$S$15,$R$16+$B$18*$S$16)),2)+R27</f>
        <v>7389.6500000000005</v>
      </c>
      <c r="J19" s="536"/>
      <c r="K19" s="556">
        <f>ROUND(I19/G19-1,4)</f>
        <v>0.1154</v>
      </c>
      <c r="L19" s="527"/>
      <c r="M19" s="527"/>
      <c r="N19" s="551" t="s">
        <v>427</v>
      </c>
      <c r="O19" s="586">
        <f>'Exhibit No._(JRS-11) p1-9'!G608+R22+R29+R30</f>
        <v>5.532</v>
      </c>
      <c r="P19" s="586"/>
      <c r="Q19" s="587"/>
      <c r="R19" s="586">
        <f>'Exhibit No._(JRS-11) p1-9'!J648+'Exhibit No._(JRS-11) p1-9'!J611+R23+R29+R30</f>
        <v>6.1230000000000011</v>
      </c>
      <c r="S19" s="563"/>
      <c r="U19" s="503">
        <f t="shared" ref="U19:U20" si="0">(R19-O19)/O19</f>
        <v>0.10683297180043404</v>
      </c>
    </row>
    <row r="20" spans="1:21" ht="15.75">
      <c r="A20" s="527"/>
      <c r="B20" s="536"/>
      <c r="C20" s="536"/>
      <c r="D20" s="536">
        <v>700</v>
      </c>
      <c r="E20" s="553">
        <f>ROUND((B$18*D20),0)</f>
        <v>140000</v>
      </c>
      <c r="F20" s="536"/>
      <c r="G20" s="555">
        <f>ROUND(IF($E20&lt;40001,$E20*$O$19/100,40000*$O$19/100+($E20-40000)*$O$20/100)+MAX(100, $B$18)*$O$18+IF($B$18&lt;101,$O$14,IF($B$18&lt;301,$O$15+$B$18*$P$15,$O$16+$B$18*$P$16)),2)+R26</f>
        <v>8661.3799999999992</v>
      </c>
      <c r="H20" s="555"/>
      <c r="I20" s="555">
        <f>ROUND(IF($E20&lt;40001,$E20*$R$19/100,40000*$R$19/100+($E20-40000)*$R$20/100)+MAX(100, $B$18)*$R$18+IF($B$18&lt;101,$R$14,IF($B$18&lt;301,$R$15+$B$18*$S$15,$R$16+$B$18*$S$16)),2)+R27</f>
        <v>9642.0500000000011</v>
      </c>
      <c r="J20" s="536"/>
      <c r="K20" s="556">
        <f>ROUND(I20/G20-1,4)</f>
        <v>0.1132</v>
      </c>
      <c r="N20" s="551" t="s">
        <v>428</v>
      </c>
      <c r="O20" s="586">
        <f>'Exhibit No._(JRS-11) p1-9'!G609+R22+R29+R30</f>
        <v>5.09</v>
      </c>
      <c r="P20" s="586"/>
      <c r="Q20" s="587"/>
      <c r="R20" s="586">
        <f>'Exhibit No._(JRS-11) p1-9'!J649+'Exhibit No._(JRS-11) p1-9'!J612+R23+R29+R30</f>
        <v>5.6310000000000002</v>
      </c>
      <c r="S20" s="563"/>
      <c r="U20" s="503">
        <f t="shared" si="0"/>
        <v>0.10628683693516706</v>
      </c>
    </row>
    <row r="21" spans="1:21" ht="16.5" thickBot="1">
      <c r="A21" s="527"/>
      <c r="B21" s="536"/>
      <c r="C21" s="536"/>
      <c r="D21" s="536"/>
      <c r="E21" s="536"/>
      <c r="F21" s="536"/>
      <c r="G21" s="555"/>
      <c r="H21" s="555"/>
      <c r="I21" s="555"/>
      <c r="J21" s="539"/>
      <c r="K21" s="556"/>
      <c r="L21" s="527"/>
      <c r="M21" s="527"/>
      <c r="N21" s="588" t="s">
        <v>0</v>
      </c>
      <c r="O21" s="589" t="s">
        <v>0</v>
      </c>
      <c r="P21" s="568" t="s">
        <v>0</v>
      </c>
      <c r="Q21" s="569"/>
      <c r="R21" s="589" t="s">
        <v>0</v>
      </c>
      <c r="S21" s="590"/>
    </row>
    <row r="22" spans="1:21" ht="15.75">
      <c r="A22" s="527"/>
      <c r="B22" s="536">
        <v>300</v>
      </c>
      <c r="C22" s="536"/>
      <c r="D22" s="536">
        <v>300</v>
      </c>
      <c r="E22" s="553">
        <f>ROUND((B$22*D22),0)</f>
        <v>90000</v>
      </c>
      <c r="F22" s="536"/>
      <c r="G22" s="555">
        <f>ROUND(IF($E22&lt;40001,$E22*$O$19/100,40000*$O$19/100+($E22-40000)*$O$20/100)+MAX(100, $B$22)*$O$18+IF($B$22&lt;101,$O$14,IF($B$22&lt;301,$O$15+$B$22*$P$15,$O$16+$B$22*$P$16)),2)+R26</f>
        <v>6730.38</v>
      </c>
      <c r="H22" s="555"/>
      <c r="I22" s="555">
        <f>ROUND(IF($E22&lt;40001,$E22*$R$19/100,40000*$R$19/100+($E22-40000)*$R$20/100)+MAX(100, $B$22)*$R$18+IF($B$22&lt;101,$R$14,IF($B$22&lt;301,$R$15+$B$22*$S$15,$R$16+$B$22*$S$16)),2)+R27</f>
        <v>7532.55</v>
      </c>
      <c r="J22" s="536"/>
      <c r="K22" s="556">
        <f>ROUND(I22/G22-1,4)</f>
        <v>0.1192</v>
      </c>
      <c r="L22" s="527"/>
      <c r="M22" s="527"/>
      <c r="P22" s="510" t="s">
        <v>385</v>
      </c>
      <c r="Q22" s="510"/>
      <c r="R22" s="511">
        <v>0.24</v>
      </c>
      <c r="U22" s="483" t="s">
        <v>0</v>
      </c>
    </row>
    <row r="23" spans="1:21" ht="15.75">
      <c r="A23" s="527"/>
      <c r="B23" s="536"/>
      <c r="C23" s="536"/>
      <c r="D23" s="536">
        <v>500</v>
      </c>
      <c r="E23" s="553">
        <f>ROUND((B$22*D23),0)</f>
        <v>150000</v>
      </c>
      <c r="F23" s="536"/>
      <c r="G23" s="555">
        <f>ROUND(IF($E23&lt;40001,$E23*$O$19/100,40000*$O$19/100+($E23-40000)*$O$20/100)+MAX(100, $B$22)*$O$18+IF($B$22&lt;101,$O$14,IF($B$22&lt;301,$O$15+$B$22*$P$15,$O$16+$B$22*$P$16)),2)+R26</f>
        <v>9784.3799999999992</v>
      </c>
      <c r="H23" s="555"/>
      <c r="I23" s="555">
        <f>ROUND(IF($E23&lt;40001,$E23*$R$19/100,40000*$R$19/100+($E23-40000)*$R$20/100)+MAX(100, $B$22)*$R$18+IF($B$22&lt;101,$R$14,IF($B$22&lt;301,$R$15+$B$22*$S$15,$R$16+$B$22*$S$16)),2)+R27</f>
        <v>10911.15</v>
      </c>
      <c r="J23" s="536"/>
      <c r="K23" s="556">
        <f>ROUND(I23/G23-1,4)</f>
        <v>0.1152</v>
      </c>
      <c r="L23" s="527"/>
      <c r="M23" s="527"/>
      <c r="P23" s="510"/>
      <c r="Q23" s="510"/>
      <c r="R23" s="511">
        <v>0.24</v>
      </c>
    </row>
    <row r="24" spans="1:21" ht="15.75">
      <c r="A24" s="527"/>
      <c r="B24" s="536"/>
      <c r="C24" s="536"/>
      <c r="D24" s="536">
        <v>700</v>
      </c>
      <c r="E24" s="553">
        <f>ROUND((B$22*D24),0)</f>
        <v>210000</v>
      </c>
      <c r="F24" s="536"/>
      <c r="G24" s="555">
        <f>ROUND(IF($E24&lt;40001,$E24*$O$19/100,40000*$O$19/100+($E24-40000)*$O$20/100)+MAX(100, $B$22)*$O$18+IF($B$22&lt;101,$O$14,IF($B$22&lt;301,$O$15+$B$22*$P$15,$O$16+$B$22*$P$16)),2)+R26</f>
        <v>12838.38</v>
      </c>
      <c r="H24" s="555"/>
      <c r="I24" s="555">
        <f>ROUND(IF($E24&lt;40001,$E24*$R$19/100,40000*$R$19/100+($E24-40000)*$R$20/100)+MAX(100, $B$22)*$R$18+IF($B$22&lt;101,$R$14,IF($B$22&lt;301,$R$15+$B$22*$S$15,$R$16+$B$22*$S$16)),2)+R27</f>
        <v>14289.75</v>
      </c>
      <c r="J24" s="536"/>
      <c r="K24" s="556">
        <f>ROUND(I24/G24-1,4)</f>
        <v>0.113</v>
      </c>
      <c r="P24" s="510"/>
      <c r="Q24" s="510"/>
      <c r="R24" s="514"/>
    </row>
    <row r="25" spans="1:21" ht="15.75">
      <c r="A25" s="527"/>
      <c r="B25" s="536"/>
      <c r="C25" s="536"/>
      <c r="D25" s="536"/>
      <c r="E25" s="536"/>
      <c r="F25" s="536"/>
      <c r="G25" s="555"/>
      <c r="H25" s="555"/>
      <c r="I25" s="555"/>
      <c r="J25" s="539"/>
      <c r="K25" s="556"/>
      <c r="L25" s="527"/>
      <c r="M25" s="527"/>
      <c r="P25" s="483" t="s">
        <v>0</v>
      </c>
      <c r="Q25" s="483" t="s">
        <v>0</v>
      </c>
      <c r="R25" s="483" t="s">
        <v>0</v>
      </c>
    </row>
    <row r="26" spans="1:21" ht="15.75">
      <c r="A26" s="527"/>
      <c r="B26" s="536">
        <v>400</v>
      </c>
      <c r="C26" s="536"/>
      <c r="D26" s="536">
        <v>300</v>
      </c>
      <c r="E26" s="553">
        <f>ROUND((B$26*D26),0)</f>
        <v>120000</v>
      </c>
      <c r="F26" s="536"/>
      <c r="G26" s="555">
        <f>ROUND(IF($E26&lt;40001,$E26*$O$19/100,40000*$O$19/100+($E26-40000)*$O$20/100)+MAX(100, $B$26)*$O$18+IF($B$26&lt;101,$O$14,IF($B$26&lt;301,$O$15+$B$26*$P$15,$O$16+$B$26*$P$16)),2)+R26</f>
        <v>8843.3799999999992</v>
      </c>
      <c r="H26" s="555"/>
      <c r="I26" s="555">
        <f>ROUND(IF($E26&lt;40001,$E26*$R$19/100,40000*$R$19/100+($E26-40000)*$R$20/100)+MAX(100, $B$26)*$R$18+IF($B$26&lt;101,$R$14,IF($B$26&lt;301,$R$15+$B$26*$S$15,$R$16+$B$26*$S$16)),2)+R27</f>
        <v>9894.85</v>
      </c>
      <c r="J26" s="536"/>
      <c r="K26" s="556">
        <f>ROUND(I26/G26-1,4)</f>
        <v>0.11890000000000001</v>
      </c>
      <c r="L26" s="527"/>
      <c r="M26" s="527"/>
      <c r="P26" s="483" t="s">
        <v>429</v>
      </c>
      <c r="R26" s="559">
        <f>'Exhibit No._(JRS-11) p10'!D18</f>
        <v>34.58</v>
      </c>
      <c r="S26" s="483" t="s">
        <v>0</v>
      </c>
    </row>
    <row r="27" spans="1:21" ht="15.75">
      <c r="A27" s="527"/>
      <c r="B27" s="536"/>
      <c r="C27" s="536"/>
      <c r="D27" s="536">
        <v>500</v>
      </c>
      <c r="E27" s="553">
        <f>ROUND((B$26*D27),0)</f>
        <v>200000</v>
      </c>
      <c r="F27" s="536"/>
      <c r="G27" s="555">
        <f>ROUND(IF($E27&lt;40001,$E27*$O$19/100,40000*$O$19/100+($E27-40000)*$O$20/100)+MAX(100, $B$26)*$O$18+IF($B$26&lt;101,$O$14,IF($B$26&lt;301,$O$15+$B$26*$P$15,$O$16+$B$26*$P$16)),2)+R26</f>
        <v>12915.38</v>
      </c>
      <c r="H27" s="555"/>
      <c r="I27" s="555">
        <f>ROUND(IF($E27&lt;40001,$E27*$R$19/100,40000*$R$19/100+($E27-40000)*$R$20/100)+MAX(100, $B$26)*$R$18+IF($B$26&lt;101,$R$14,IF($B$26&lt;301,$R$15+$B$26*$S$15,$R$16+$B$26*$S$16)),2)+R27</f>
        <v>14399.65</v>
      </c>
      <c r="J27" s="536"/>
      <c r="K27" s="556">
        <f>ROUND(I27/G27-1,4)</f>
        <v>0.1149</v>
      </c>
      <c r="L27" s="527"/>
      <c r="M27" s="527"/>
      <c r="P27" s="483" t="s">
        <v>417</v>
      </c>
      <c r="R27" s="559">
        <f>'Exhibit No._(JRS-11) p10'!E18</f>
        <v>41.85</v>
      </c>
    </row>
    <row r="28" spans="1:21" ht="15.75">
      <c r="A28" s="527"/>
      <c r="B28" s="536"/>
      <c r="C28" s="536"/>
      <c r="D28" s="536">
        <v>700</v>
      </c>
      <c r="E28" s="553">
        <f>ROUND((B$26*D28),0)</f>
        <v>280000</v>
      </c>
      <c r="F28" s="536"/>
      <c r="G28" s="555">
        <f>ROUND(IF($E28&lt;40001,$E28*$O$19/100,40000*$O$19/100+($E28-40000)*$O$20/100)+MAX(100, $B$26)*$O$18+IF($B$26&lt;101,$O$14,IF($B$26&lt;301,$O$15+$B$26*$P$15,$O$16+$B$26*$P$16)),2)+R26</f>
        <v>16987.38</v>
      </c>
      <c r="H28" s="555"/>
      <c r="I28" s="555">
        <f>ROUND(IF($E28&lt;40001,$E28*$R$19/100,40000*$R$19/100+($E28-40000)*$R$20/100)+MAX(100, $B$26)*$R$18+IF($B$26&lt;101,$R$14,IF($B$26&lt;301,$R$15+$B$26*$S$15,$R$16+$B$26*$S$16)),2)+R27</f>
        <v>18904.449999999997</v>
      </c>
      <c r="J28" s="536"/>
      <c r="K28" s="556">
        <f>ROUND(I28/G28-1,4)</f>
        <v>0.1129</v>
      </c>
    </row>
    <row r="29" spans="1:21" ht="15.75">
      <c r="A29" s="527"/>
      <c r="B29" s="536"/>
      <c r="C29" s="536"/>
      <c r="D29" s="536"/>
      <c r="E29" s="536"/>
      <c r="F29" s="536"/>
      <c r="G29" s="555"/>
      <c r="H29" s="555"/>
      <c r="I29" s="555"/>
      <c r="J29" s="539"/>
      <c r="K29" s="556"/>
      <c r="L29" s="527"/>
      <c r="M29" s="527"/>
      <c r="P29" s="483" t="s">
        <v>389</v>
      </c>
      <c r="R29" s="483">
        <v>0</v>
      </c>
    </row>
    <row r="30" spans="1:21" ht="15.75">
      <c r="A30" s="527"/>
      <c r="B30" s="536">
        <v>600</v>
      </c>
      <c r="C30" s="536"/>
      <c r="D30" s="536">
        <v>300</v>
      </c>
      <c r="E30" s="553">
        <f>ROUND((B$30*D30),0)</f>
        <v>180000</v>
      </c>
      <c r="F30" s="536"/>
      <c r="G30" s="555">
        <f>ROUND(IF($E30&lt;40001,$E30*$O$19/100,40000*$O$19/100+($E30-40000)*$O$20/100)+MAX(100, $B$30)*$O$18+IF($B$30&lt;101,$O$14,IF($B$30&lt;301,$O$15+$B$30*$P$15,$O$16+$B$30*$P$16)),2)+R26</f>
        <v>13063.38</v>
      </c>
      <c r="H30" s="555"/>
      <c r="I30" s="555">
        <f>ROUND(IF($E30&lt;40001,$E30*$R$19/100,40000*$R$19/100+($E30-40000)*$R$20/100)+MAX(100, $B$30)*$R$18+IF($B$30&lt;101,$R$14,IF($B$30&lt;301,$R$15+$B$30*$S$15,$R$16+$B$30*$S$16)),2)+R27</f>
        <v>14615.45</v>
      </c>
      <c r="J30" s="536"/>
      <c r="K30" s="556">
        <f>ROUND(I30/G30-1,4)</f>
        <v>0.1188</v>
      </c>
      <c r="L30" s="527"/>
      <c r="M30" s="527"/>
      <c r="P30" s="483" t="s">
        <v>390</v>
      </c>
      <c r="R30" s="483">
        <v>0</v>
      </c>
    </row>
    <row r="31" spans="1:21" ht="15.75">
      <c r="A31" s="527"/>
      <c r="B31" s="536"/>
      <c r="C31" s="536"/>
      <c r="D31" s="536">
        <v>500</v>
      </c>
      <c r="E31" s="553">
        <f>ROUND((B$30*D31),0)</f>
        <v>300000</v>
      </c>
      <c r="F31" s="536"/>
      <c r="G31" s="555">
        <f>ROUND(IF($E31&lt;40001,$E31*$O$19/100,40000*$O$19/100+($E31-40000)*$O$20/100)+MAX(100, $B$30)*$O$18+IF($B$30&lt;101,$O$14,IF($B$30&lt;301,$O$15+$B$30*$P$15,$O$16+$B$30*$P$16)),2)+R26</f>
        <v>19171.38</v>
      </c>
      <c r="H31" s="555"/>
      <c r="I31" s="555">
        <f>ROUND(IF($E31&lt;40001,$E31*$R$19/100,40000*$R$19/100+($E31-40000)*$R$20/100)+MAX(100, $B$30)*$R$18+IF($B$30&lt;101,$R$14,IF($B$30&lt;301,$R$15+$B$30*$S$15,$R$16+$B$30*$S$16)),2)+R27</f>
        <v>21372.649999999998</v>
      </c>
      <c r="J31" s="536"/>
      <c r="K31" s="556">
        <f>ROUND(I31/G31-1,4)</f>
        <v>0.1148</v>
      </c>
      <c r="L31" s="527"/>
      <c r="M31" s="527"/>
    </row>
    <row r="32" spans="1:21" ht="15.75">
      <c r="A32" s="527"/>
      <c r="B32" s="536"/>
      <c r="C32" s="536"/>
      <c r="D32" s="536">
        <v>700</v>
      </c>
      <c r="E32" s="553">
        <f>ROUND((B$30*D32),0)</f>
        <v>420000</v>
      </c>
      <c r="F32" s="536"/>
      <c r="G32" s="555">
        <f>ROUND(IF($E32&lt;40001,$E32*$O$19/100,40000*$O$19/100+($E32-40000)*$O$20/100)+MAX(100, $B$30)*$O$18+IF($B$30&lt;101,$O$14,IF($B$30&lt;301,$O$15+$B$30*$P$15,$O$16+$B$30*$P$16)),2)+R26</f>
        <v>25279.38</v>
      </c>
      <c r="H32" s="555"/>
      <c r="I32" s="555">
        <f>ROUND(IF($E32&lt;40001,$E32*$R$19/100,40000*$R$19/100+($E32-40000)*$R$20/100)+MAX(100, $B$30)*$R$18+IF($B$30&lt;101,$R$14,IF($B$30&lt;301,$R$15+$B$30*$S$15,$R$16+$B$30*$S$16)),2)+R27</f>
        <v>28129.85</v>
      </c>
      <c r="J32" s="536"/>
      <c r="K32" s="556">
        <f>ROUND(I32/G32-1,4)</f>
        <v>0.1128</v>
      </c>
      <c r="N32" s="515" t="s">
        <v>391</v>
      </c>
      <c r="O32" s="575">
        <f>'Exhibit No._(JRS-10)'!Z24</f>
        <v>0.12150089112782193</v>
      </c>
    </row>
    <row r="33" spans="1:18" ht="15.75">
      <c r="A33" s="527"/>
      <c r="B33" s="536"/>
      <c r="C33" s="536"/>
      <c r="D33" s="536"/>
      <c r="E33" s="536"/>
      <c r="F33" s="536"/>
      <c r="G33" s="555"/>
      <c r="H33" s="555"/>
      <c r="I33" s="555"/>
      <c r="J33" s="539"/>
      <c r="K33" s="556"/>
      <c r="L33" s="527"/>
      <c r="M33" s="527"/>
      <c r="R33" s="483" t="s">
        <v>0</v>
      </c>
    </row>
    <row r="34" spans="1:18" ht="15.75">
      <c r="A34" s="527"/>
      <c r="B34" s="536">
        <v>800</v>
      </c>
      <c r="C34" s="536"/>
      <c r="D34" s="536">
        <v>300</v>
      </c>
      <c r="E34" s="553">
        <f>ROUND((B$34*D34),0)</f>
        <v>240000</v>
      </c>
      <c r="F34" s="536"/>
      <c r="G34" s="555">
        <f>ROUND(IF($E34&lt;40001,$E34*$O$19/100,40000*$O$19/100+($E34-40000)*$O$20/100)+MAX(100, $B$34)*$O$18+IF($B$34&lt;101,$O$14,IF($B$34&lt;301,$O$15+$B$34*$P$15,$O$16+$B$34*$P$16)),2)+R26</f>
        <v>17283.38</v>
      </c>
      <c r="H34" s="555"/>
      <c r="I34" s="555">
        <f>ROUND(IF($E34&lt;40001,$E34*$R$19/100,40000*$R$19/100+($E34-40000)*$R$20/100)+MAX(100, $B$34)*$R$18+IF($B$34&lt;101,$R$14,IF($B$34&lt;301,$R$15+$B$34*$S$15,$R$16+$B$34*$S$16)),2)+R27</f>
        <v>19336.05</v>
      </c>
      <c r="J34" s="536"/>
      <c r="K34" s="556">
        <f>ROUND(I34/G34-1,4)</f>
        <v>0.1188</v>
      </c>
      <c r="L34" s="527"/>
      <c r="M34" s="527"/>
    </row>
    <row r="35" spans="1:18" ht="15.75">
      <c r="A35" s="527"/>
      <c r="B35" s="536"/>
      <c r="C35" s="536"/>
      <c r="D35" s="536">
        <v>500</v>
      </c>
      <c r="E35" s="553">
        <f>ROUND((B$34*D35),0)</f>
        <v>400000</v>
      </c>
      <c r="F35" s="536"/>
      <c r="G35" s="555">
        <f>ROUND(IF($E35&lt;40001,$E35*$O$19/100,40000*$O$19/100+($E35-40000)*$O$20/100)+MAX(100, $B$34)*$O$18+IF($B$34&lt;101,$O$14,IF($B$34&lt;301,$O$15+$B$34*$P$15,$O$16+$B$34*$P$16)),2)+R26</f>
        <v>25427.38</v>
      </c>
      <c r="H35" s="555"/>
      <c r="I35" s="555">
        <f>ROUND(IF($E35&lt;40001,$E35*$R$19/100,40000*$R$19/100+($E35-40000)*$R$20/100)+MAX(100, $B$34)*$R$18+IF($B$34&lt;101,$R$14,IF($B$34&lt;301,$R$15+$B$34*$S$15,$R$16+$B$34*$S$16)),2)+R27</f>
        <v>28345.649999999998</v>
      </c>
      <c r="J35" s="536"/>
      <c r="K35" s="556">
        <f>ROUND(I35/G35-1,4)</f>
        <v>0.1148</v>
      </c>
      <c r="L35" s="527"/>
      <c r="M35" s="527"/>
    </row>
    <row r="36" spans="1:18" ht="15.75">
      <c r="A36" s="527"/>
      <c r="B36" s="536"/>
      <c r="C36" s="536"/>
      <c r="D36" s="536">
        <v>700</v>
      </c>
      <c r="E36" s="553">
        <f>ROUND((B$34*D36),0)</f>
        <v>560000</v>
      </c>
      <c r="F36" s="536"/>
      <c r="G36" s="555">
        <f>ROUND(IF($E36&lt;40001,$E36*$O$19/100,40000*$O$19/100+($E36-40000)*$O$20/100)+MAX(100, $B$34)*$O$18+IF($B$34&lt;101,$O$14,IF($B$34&lt;301,$O$15+$B$34*$P$15,$O$16+$B$34*$P$16)),2)+R26</f>
        <v>33571.380000000005</v>
      </c>
      <c r="H36" s="555"/>
      <c r="I36" s="555">
        <f>ROUND(IF($E36&lt;40001,$E36*$R$19/100,40000*$R$19/100+($E36-40000)*$R$20/100)+MAX(100, $B$34)*$R$18+IF($B$34&lt;101,$R$14,IF($B$34&lt;301,$R$15+$B$34*$S$15,$R$16+$B$34*$S$16)),2)+R27</f>
        <v>37355.25</v>
      </c>
      <c r="J36" s="536"/>
      <c r="K36" s="556">
        <f>ROUND(I36/G36-1,4)</f>
        <v>0.11269999999999999</v>
      </c>
    </row>
    <row r="37" spans="1:18" ht="15.75">
      <c r="A37" s="527"/>
      <c r="B37" s="536"/>
      <c r="C37" s="536"/>
      <c r="D37" s="536"/>
      <c r="E37" s="536"/>
      <c r="F37" s="536"/>
      <c r="G37" s="555"/>
      <c r="H37" s="555"/>
      <c r="I37" s="555"/>
      <c r="J37" s="539"/>
      <c r="K37" s="556"/>
      <c r="L37" s="527"/>
      <c r="M37" s="527"/>
    </row>
    <row r="38" spans="1:18" ht="15.75">
      <c r="A38" s="527"/>
      <c r="B38" s="536">
        <v>1000</v>
      </c>
      <c r="C38" s="536"/>
      <c r="D38" s="536">
        <v>300</v>
      </c>
      <c r="E38" s="553">
        <f>ROUND((B$38*D38),0)</f>
        <v>300000</v>
      </c>
      <c r="F38" s="536"/>
      <c r="G38" s="555">
        <f>ROUND(IF($E38&lt;40001,$E38*$O$19/100,40000*$O$19/100+($E38-40000)*$O$20/100)+MAX(100, $B$38)*$O$18+IF($B$38&lt;101,$O$14,IF($B$38&lt;301,$O$15+$B$38*$P$15,$O$16+$B$38*$P$16)),2)+R26</f>
        <v>21503.38</v>
      </c>
      <c r="H38" s="555"/>
      <c r="I38" s="555">
        <f>ROUND(IF($E38&lt;40001,$E38*$R$19/100,40000*$R$19/100+($E38-40000)*$R$20/100)+MAX(100, $B$38)*$R$18+IF($B$38&lt;101,$R$14,IF($B$38&lt;301,$R$15+$B$38*$S$15,$R$16+$B$38*$S$16)),2)+R27</f>
        <v>24056.649999999998</v>
      </c>
      <c r="J38" s="536"/>
      <c r="K38" s="556">
        <f>ROUND(I38/G38-1,4)</f>
        <v>0.1187</v>
      </c>
      <c r="L38" s="527"/>
      <c r="M38" s="527"/>
    </row>
    <row r="39" spans="1:18" ht="15.75">
      <c r="A39" s="527"/>
      <c r="B39" s="536"/>
      <c r="C39" s="536"/>
      <c r="D39" s="536">
        <v>500</v>
      </c>
      <c r="E39" s="553">
        <f>ROUND((B$38*D39),0)</f>
        <v>500000</v>
      </c>
      <c r="F39" s="536"/>
      <c r="G39" s="555">
        <f>ROUND(IF($E39&lt;40001,$E39*$O$19/100,40000*$O$19/100+($E39-40000)*$O$20/100)+MAX(100, $B$38)*$O$18+IF($B$38&lt;101,$O$14,IF($B$38&lt;301,$O$15+$B$38*$P$15,$O$16+$B$38*$P$16)),2)+R26</f>
        <v>31683.38</v>
      </c>
      <c r="H39" s="555"/>
      <c r="I39" s="555">
        <f>ROUND(IF($E39&lt;40001,$E39*$R$19/100,40000*$R$19/100+($E39-40000)*$R$20/100)+MAX(100, $B$38)*$R$18+IF($B$38&lt;101,$R$14,IF($B$38&lt;301,$R$15+$B$38*$S$15,$R$16+$B$38*$S$16)),2)+R27</f>
        <v>35318.65</v>
      </c>
      <c r="J39" s="536"/>
      <c r="K39" s="556">
        <f>ROUND(I39/G39-1,4)</f>
        <v>0.1147</v>
      </c>
      <c r="L39" s="527"/>
      <c r="M39" s="527"/>
    </row>
    <row r="40" spans="1:18" ht="15.75">
      <c r="A40" s="527"/>
      <c r="B40" s="536"/>
      <c r="C40" s="536"/>
      <c r="D40" s="536">
        <v>700</v>
      </c>
      <c r="E40" s="553">
        <f>ROUND((B$38*D40),0)</f>
        <v>700000</v>
      </c>
      <c r="F40" s="536"/>
      <c r="G40" s="555">
        <f>ROUND(IF($E40&lt;40001,$E40*$O$19/100,40000*$O$19/100+($E40-40000)*$O$20/100)+MAX(100, $B$38)*$O$18+IF($B$38&lt;101,$O$14,IF($B$38&lt;301,$O$15+$B$38*$P$15,$O$16+$B$38*$P$16)),2)+R26</f>
        <v>41863.380000000005</v>
      </c>
      <c r="H40" s="555"/>
      <c r="I40" s="555">
        <f>ROUND(IF($E40&lt;40001,$E40*$R$19/100,40000*$R$19/100+($E40-40000)*$R$20/100)+MAX(100, $B$38)*$R$18+IF($B$38&lt;101,$R$14,IF($B$38&lt;301,$R$15+$B$38*$S$15,$R$16+$B$38*$S$16)),2)+R27</f>
        <v>46580.65</v>
      </c>
      <c r="J40" s="536"/>
      <c r="K40" s="556">
        <f>ROUND(I40/G40-1,4)</f>
        <v>0.11269999999999999</v>
      </c>
    </row>
    <row r="41" spans="1:18" ht="15.75">
      <c r="A41" s="527"/>
      <c r="B41" s="591"/>
      <c r="C41" s="591"/>
      <c r="D41" s="591"/>
      <c r="E41" s="591"/>
      <c r="F41" s="591"/>
      <c r="G41" s="591"/>
      <c r="H41" s="591"/>
      <c r="I41" s="591"/>
      <c r="J41" s="592"/>
      <c r="K41" s="592"/>
      <c r="L41" s="527"/>
      <c r="M41" s="527"/>
    </row>
    <row r="42" spans="1:18" ht="15.75">
      <c r="A42" s="527"/>
      <c r="B42" s="539"/>
      <c r="C42" s="539"/>
      <c r="D42" s="539"/>
      <c r="E42" s="539"/>
      <c r="F42" s="539"/>
      <c r="G42" s="539"/>
      <c r="H42" s="539"/>
      <c r="I42" s="539"/>
      <c r="J42" s="539"/>
      <c r="K42" s="539"/>
      <c r="L42" s="527"/>
      <c r="M42" s="527"/>
    </row>
    <row r="43" spans="1:18" ht="15.75">
      <c r="A43" s="527"/>
      <c r="B43" s="539" t="s">
        <v>393</v>
      </c>
      <c r="C43" s="539"/>
      <c r="D43" s="539"/>
      <c r="E43" s="539"/>
      <c r="F43" s="539"/>
      <c r="G43" s="539"/>
      <c r="H43" s="539"/>
      <c r="I43" s="539"/>
      <c r="J43" s="539"/>
      <c r="K43" s="539"/>
      <c r="L43" s="527"/>
      <c r="M43" s="527"/>
    </row>
    <row r="44" spans="1:18" ht="15.75">
      <c r="A44" s="527"/>
      <c r="B44" s="576" t="s">
        <v>430</v>
      </c>
      <c r="C44" s="539"/>
      <c r="D44" s="539"/>
      <c r="E44" s="539"/>
      <c r="F44" s="539"/>
      <c r="G44" s="539"/>
      <c r="H44" s="539"/>
      <c r="I44" s="539"/>
      <c r="J44" s="539"/>
      <c r="K44" s="539"/>
    </row>
    <row r="45" spans="1:18" ht="15.75">
      <c r="A45" s="527"/>
      <c r="B45" s="536"/>
      <c r="L45" s="527"/>
      <c r="M45" s="527"/>
    </row>
    <row r="46" spans="1:18" ht="15.75">
      <c r="A46" s="527"/>
      <c r="B46" s="536"/>
    </row>
    <row r="47" spans="1:18" ht="15.75">
      <c r="B47" s="536"/>
    </row>
    <row r="48" spans="1:18" ht="15.75">
      <c r="B48" s="536"/>
      <c r="P48" s="524"/>
    </row>
    <row r="49" spans="1:2" ht="15.75">
      <c r="A49" s="527"/>
      <c r="B49" s="536"/>
    </row>
    <row r="50" spans="1:2" ht="15.75">
      <c r="A50" s="527"/>
      <c r="B50" s="536"/>
    </row>
    <row r="51" spans="1:2">
      <c r="A51" s="527"/>
    </row>
    <row r="52" spans="1:2">
      <c r="A52" s="527"/>
    </row>
    <row r="53" spans="1:2">
      <c r="A53" s="527"/>
    </row>
    <row r="54" spans="1:2">
      <c r="A54" s="527"/>
    </row>
    <row r="55" spans="1:2">
      <c r="A55" s="527"/>
    </row>
    <row r="56" spans="1:2">
      <c r="A56" s="527"/>
    </row>
    <row r="57" spans="1:2">
      <c r="A57" s="527"/>
    </row>
  </sheetData>
  <printOptions horizontalCentered="1"/>
  <pageMargins left="0.5" right="0.5" top="0.5" bottom="0.5" header="0.5" footer="0.5"/>
  <pageSetup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W51"/>
  <sheetViews>
    <sheetView tabSelected="1" view="pageBreakPreview" zoomScale="75" zoomScaleNormal="100" workbookViewId="0">
      <selection activeCell="B1" sqref="B1"/>
    </sheetView>
  </sheetViews>
  <sheetFormatPr defaultColWidth="8.5" defaultRowHeight="15"/>
  <cols>
    <col min="1" max="1" width="1.875" style="483" customWidth="1"/>
    <col min="2" max="2" width="10.875" style="483" customWidth="1"/>
    <col min="3" max="3" width="1.75" style="483" customWidth="1"/>
    <col min="4" max="4" width="11.25" style="483" hidden="1" customWidth="1"/>
    <col min="5" max="5" width="8.25" style="483" bestFit="1" customWidth="1"/>
    <col min="6" max="6" width="3.25" style="483" customWidth="1"/>
    <col min="7" max="7" width="13.75" style="483" bestFit="1" customWidth="1"/>
    <col min="8" max="8" width="2.125" style="483" customWidth="1"/>
    <col min="9" max="9" width="8.5" style="483" bestFit="1" customWidth="1"/>
    <col min="10" max="10" width="2.125" style="483" customWidth="1"/>
    <col min="11" max="11" width="12.625" style="483" bestFit="1" customWidth="1"/>
    <col min="12" max="12" width="1.75" style="483" customWidth="1"/>
    <col min="13" max="13" width="8.5" style="483" bestFit="1" customWidth="1"/>
    <col min="14" max="14" width="2" style="483" customWidth="1"/>
    <col min="15" max="15" width="10.5" style="483" bestFit="1" customWidth="1"/>
    <col min="16" max="16" width="1.875" style="483" customWidth="1"/>
    <col min="17" max="17" width="8.5" style="483" bestFit="1" customWidth="1"/>
    <col min="18" max="18" width="3" style="483" customWidth="1"/>
    <col min="19" max="19" width="16.125" style="483" customWidth="1"/>
    <col min="20" max="20" width="13.25" style="483" customWidth="1"/>
    <col min="21" max="21" width="9.25" style="483" customWidth="1"/>
    <col min="22" max="22" width="8.375" style="483" customWidth="1"/>
    <col min="23" max="23" width="2.25" style="483" customWidth="1"/>
    <col min="24" max="16384" width="8.5" style="483"/>
  </cols>
  <sheetData>
    <row r="2" spans="2:22" ht="18.75">
      <c r="B2" s="489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593"/>
      <c r="P2" s="486" t="s">
        <v>0</v>
      </c>
      <c r="Q2" s="593"/>
    </row>
    <row r="3" spans="2:22" ht="18.75">
      <c r="B3" s="487" t="s">
        <v>314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</row>
    <row r="4" spans="2:22" ht="18.75">
      <c r="B4" s="487" t="s">
        <v>431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</row>
    <row r="5" spans="2:22" ht="18.75">
      <c r="B5" s="487" t="s">
        <v>432</v>
      </c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</row>
    <row r="6" spans="2:22" ht="18.75">
      <c r="B6" s="487" t="s">
        <v>0</v>
      </c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87"/>
    </row>
    <row r="7" spans="2:22">
      <c r="B7" s="488"/>
      <c r="C7" s="488"/>
      <c r="D7" s="488"/>
      <c r="E7" s="488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8"/>
    </row>
    <row r="8" spans="2:22">
      <c r="B8" s="489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</row>
    <row r="9" spans="2:22">
      <c r="G9" s="489"/>
      <c r="H9" s="489"/>
      <c r="I9" s="489"/>
      <c r="J9" s="489"/>
      <c r="K9" s="489"/>
      <c r="L9" s="489"/>
      <c r="M9" s="489"/>
    </row>
    <row r="10" spans="2:22">
      <c r="B10" s="489"/>
      <c r="C10" s="489"/>
      <c r="D10" s="489"/>
      <c r="E10" s="489"/>
      <c r="G10" s="489"/>
      <c r="H10" s="489"/>
      <c r="I10" s="489"/>
      <c r="J10" s="489"/>
      <c r="K10" s="489"/>
      <c r="L10" s="489"/>
      <c r="M10" s="489"/>
    </row>
    <row r="11" spans="2:22">
      <c r="B11" s="489"/>
      <c r="C11" s="489"/>
      <c r="D11" s="489"/>
      <c r="E11" s="489"/>
      <c r="G11" s="491"/>
      <c r="H11" s="491"/>
      <c r="I11" s="491"/>
      <c r="J11" s="491"/>
      <c r="K11" s="491"/>
      <c r="L11" s="491"/>
      <c r="M11" s="491"/>
      <c r="O11" s="488"/>
      <c r="P11" s="488"/>
      <c r="Q11" s="488"/>
    </row>
    <row r="12" spans="2:22" ht="15.75" thickBot="1">
      <c r="G12" s="632" t="s">
        <v>433</v>
      </c>
      <c r="H12" s="632"/>
      <c r="I12" s="632"/>
      <c r="K12" s="632" t="s">
        <v>434</v>
      </c>
      <c r="L12" s="632"/>
      <c r="M12" s="632"/>
      <c r="O12" s="632" t="s">
        <v>435</v>
      </c>
      <c r="P12" s="632"/>
      <c r="Q12" s="632"/>
    </row>
    <row r="13" spans="2:22">
      <c r="B13" s="594" t="s">
        <v>397</v>
      </c>
      <c r="G13" s="595" t="s">
        <v>420</v>
      </c>
      <c r="H13" s="490"/>
      <c r="I13" s="490" t="s">
        <v>332</v>
      </c>
      <c r="J13" s="499"/>
      <c r="K13" s="595" t="s">
        <v>12</v>
      </c>
      <c r="L13" s="490"/>
      <c r="M13" s="490" t="s">
        <v>332</v>
      </c>
      <c r="O13" s="490"/>
      <c r="P13" s="490"/>
      <c r="Q13" s="490" t="s">
        <v>332</v>
      </c>
      <c r="S13" s="596" t="s">
        <v>379</v>
      </c>
      <c r="T13" s="550"/>
      <c r="U13" s="549" t="s">
        <v>380</v>
      </c>
      <c r="V13" s="550"/>
    </row>
    <row r="14" spans="2:22">
      <c r="B14" s="597" t="s">
        <v>401</v>
      </c>
      <c r="C14" s="595"/>
      <c r="D14" s="595" t="s">
        <v>402</v>
      </c>
      <c r="G14" s="598" t="s">
        <v>436</v>
      </c>
      <c r="H14" s="490" t="s">
        <v>0</v>
      </c>
      <c r="I14" s="490" t="s">
        <v>409</v>
      </c>
      <c r="J14" s="499"/>
      <c r="K14" s="598" t="s">
        <v>437</v>
      </c>
      <c r="L14" s="490" t="s">
        <v>0</v>
      </c>
      <c r="M14" s="490" t="s">
        <v>409</v>
      </c>
      <c r="O14" s="490" t="s">
        <v>438</v>
      </c>
      <c r="P14" s="490" t="s">
        <v>0</v>
      </c>
      <c r="Q14" s="490" t="s">
        <v>409</v>
      </c>
      <c r="S14" s="551" t="s">
        <v>439</v>
      </c>
      <c r="T14" s="500">
        <f>'Exhibit No._(JRS-11) p1-9'!G734+V22+V30+V31</f>
        <v>6.7080000000000002</v>
      </c>
      <c r="U14" s="558"/>
      <c r="V14" s="500">
        <f>'Exhibit No._(JRS-11) p1-9'!J734+'Exhibit No._(JRS-11) p1-9'!J736+V23+V30+V31</f>
        <v>7.3889999999999993</v>
      </c>
    </row>
    <row r="15" spans="2:22">
      <c r="B15" s="598" t="s">
        <v>405</v>
      </c>
      <c r="C15" s="595"/>
      <c r="D15" s="599" t="s">
        <v>406</v>
      </c>
      <c r="E15" s="494" t="s">
        <v>36</v>
      </c>
      <c r="G15" s="494" t="s">
        <v>440</v>
      </c>
      <c r="H15" s="490"/>
      <c r="I15" s="494" t="s">
        <v>441</v>
      </c>
      <c r="J15" s="499"/>
      <c r="K15" s="494" t="s">
        <v>440</v>
      </c>
      <c r="L15" s="490"/>
      <c r="M15" s="494" t="s">
        <v>441</v>
      </c>
      <c r="O15" s="494" t="s">
        <v>442</v>
      </c>
      <c r="P15" s="490"/>
      <c r="Q15" s="494" t="s">
        <v>441</v>
      </c>
      <c r="S15" s="551" t="s">
        <v>0</v>
      </c>
      <c r="T15" s="600" t="s">
        <v>0</v>
      </c>
      <c r="U15" s="601" t="s">
        <v>0</v>
      </c>
      <c r="V15" s="600" t="s">
        <v>0</v>
      </c>
    </row>
    <row r="16" spans="2:22">
      <c r="B16" s="490"/>
      <c r="C16" s="595"/>
      <c r="D16" s="599"/>
      <c r="E16" s="490"/>
      <c r="G16" s="490"/>
      <c r="H16" s="490"/>
      <c r="I16" s="490"/>
      <c r="J16" s="499"/>
      <c r="K16" s="490"/>
      <c r="L16" s="490"/>
      <c r="M16" s="490"/>
      <c r="O16" s="490"/>
      <c r="P16" s="490"/>
      <c r="Q16" s="490"/>
      <c r="S16" s="602" t="s">
        <v>409</v>
      </c>
      <c r="T16" s="603"/>
      <c r="U16" s="603"/>
      <c r="V16" s="604"/>
    </row>
    <row r="17" spans="2:23">
      <c r="B17" s="605" t="s">
        <v>407</v>
      </c>
      <c r="C17" s="499"/>
      <c r="G17" s="499"/>
      <c r="H17" s="499"/>
      <c r="I17" s="499"/>
      <c r="J17" s="499"/>
      <c r="S17" s="606" t="s">
        <v>443</v>
      </c>
      <c r="T17" s="557">
        <f>'Exhibit No._(JRS-11) p1-9'!G725</f>
        <v>23.79</v>
      </c>
      <c r="U17" s="558"/>
      <c r="V17" s="607">
        <f>'Exhibit No._(JRS-11) p1-9'!J725</f>
        <v>26.3</v>
      </c>
    </row>
    <row r="18" spans="2:23">
      <c r="B18" s="483">
        <v>10</v>
      </c>
      <c r="D18" s="504">
        <v>200</v>
      </c>
      <c r="E18" s="504">
        <f>ROUND((B$18*D18),0)</f>
        <v>2000</v>
      </c>
      <c r="G18" s="608">
        <f>ROUND(((E18*$T$14/100))+(E18*$V$25/100),2)</f>
        <v>125.96</v>
      </c>
      <c r="H18" s="608"/>
      <c r="I18" s="608">
        <f>$B$18*$T$17+V27</f>
        <v>252.17999999999998</v>
      </c>
      <c r="J18" s="524"/>
      <c r="K18" s="608">
        <f>ROUND((($E18*$V$14/100))+(($E18*$V$26)/100),2)</f>
        <v>139.58000000000001</v>
      </c>
      <c r="L18" s="608"/>
      <c r="M18" s="608">
        <f>$B$18*$V$17+V28</f>
        <v>280.25</v>
      </c>
      <c r="O18" s="507">
        <f>ROUND((K18-G18)/G18,4)</f>
        <v>0.1081</v>
      </c>
      <c r="P18" s="507"/>
      <c r="Q18" s="507">
        <f>ROUND((M18-I18)/I18,4)</f>
        <v>0.1113</v>
      </c>
      <c r="S18" s="606" t="s">
        <v>444</v>
      </c>
      <c r="T18" s="557">
        <f>'Exhibit No._(JRS-11) p1-9'!G726</f>
        <v>16.559999999999999</v>
      </c>
      <c r="U18" s="558"/>
      <c r="V18" s="607">
        <f>'Exhibit No._(JRS-11) p1-9'!J726</f>
        <v>18.309999999999999</v>
      </c>
    </row>
    <row r="19" spans="2:23">
      <c r="D19" s="504">
        <v>300</v>
      </c>
      <c r="E19" s="504">
        <f>ROUND((B$18*D19),0)</f>
        <v>3000</v>
      </c>
      <c r="G19" s="608">
        <f>ROUND(((E19*$T$14/100))+(E19*$V$25/100),2)</f>
        <v>188.94</v>
      </c>
      <c r="H19" s="608"/>
      <c r="I19" s="608">
        <f>$B$18*$T$17+V27</f>
        <v>252.17999999999998</v>
      </c>
      <c r="J19" s="524"/>
      <c r="K19" s="608">
        <f>ROUND((($E19*$V$14/100))+(($E19*$V$26)/100),2)</f>
        <v>209.37</v>
      </c>
      <c r="L19" s="608"/>
      <c r="M19" s="608">
        <f>$B$18*$V$17+V28</f>
        <v>280.25</v>
      </c>
      <c r="O19" s="507">
        <f>ROUND((K19-G19)/G19,4)</f>
        <v>0.1081</v>
      </c>
      <c r="P19" s="507"/>
      <c r="Q19" s="507">
        <f>ROUND((M19-I19)/I19,4)</f>
        <v>0.1113</v>
      </c>
      <c r="S19" s="606" t="s">
        <v>445</v>
      </c>
      <c r="T19" s="557">
        <f>'Exhibit No._(JRS-11) p1-9'!G727</f>
        <v>12.96</v>
      </c>
      <c r="U19" s="558"/>
      <c r="V19" s="607">
        <f>'Exhibit No._(JRS-11) p1-9'!J727</f>
        <v>14.33</v>
      </c>
    </row>
    <row r="20" spans="2:23">
      <c r="D20" s="504">
        <v>500</v>
      </c>
      <c r="E20" s="504">
        <f>ROUND((B$18*D20),0)</f>
        <v>5000</v>
      </c>
      <c r="G20" s="608">
        <f>ROUND(((E20*$T$14/100))+(E20*$V$25/100),2)</f>
        <v>314.89999999999998</v>
      </c>
      <c r="H20" s="608"/>
      <c r="I20" s="608">
        <f>$B$18*$T$17+V27</f>
        <v>252.17999999999998</v>
      </c>
      <c r="J20" s="524"/>
      <c r="K20" s="608">
        <f>ROUND((($E20*$V$14/100))+(($E20*$V$26)/100),2)</f>
        <v>348.95</v>
      </c>
      <c r="L20" s="608"/>
      <c r="M20" s="608">
        <f>$B$18*$V$17+V28</f>
        <v>280.25</v>
      </c>
      <c r="O20" s="507">
        <f>ROUND((K20-G20)/G20,4)</f>
        <v>0.1081</v>
      </c>
      <c r="P20" s="507"/>
      <c r="Q20" s="507">
        <f>ROUND((M20-I20)/I20,4)</f>
        <v>0.1113</v>
      </c>
      <c r="S20" s="606" t="s">
        <v>444</v>
      </c>
      <c r="T20" s="585">
        <f>'Exhibit No._(JRS-11) p1-9'!G717</f>
        <v>357</v>
      </c>
      <c r="U20" s="558"/>
      <c r="V20" s="609">
        <f>'Exhibit No._(JRS-11) p1-9'!J717</f>
        <v>395</v>
      </c>
    </row>
    <row r="21" spans="2:23">
      <c r="G21" s="608"/>
      <c r="H21" s="608"/>
      <c r="I21" s="608"/>
      <c r="J21" s="524"/>
      <c r="K21" s="608"/>
      <c r="L21" s="608"/>
      <c r="M21" s="608"/>
      <c r="S21" s="610" t="s">
        <v>445</v>
      </c>
      <c r="T21" s="611">
        <f>'Exhibit No._(JRS-11) p1-9'!G718</f>
        <v>1457</v>
      </c>
      <c r="U21" s="612"/>
      <c r="V21" s="613">
        <f>'Exhibit No._(JRS-11) p1-9'!J718</f>
        <v>1611</v>
      </c>
    </row>
    <row r="22" spans="2:23">
      <c r="B22" s="605" t="s">
        <v>408</v>
      </c>
      <c r="C22" s="499"/>
      <c r="G22" s="608"/>
      <c r="H22" s="608"/>
      <c r="I22" s="608"/>
      <c r="J22" s="524"/>
      <c r="K22" s="608"/>
      <c r="L22" s="608"/>
      <c r="M22" s="608"/>
      <c r="T22" s="510" t="s">
        <v>385</v>
      </c>
      <c r="U22" s="510"/>
      <c r="V22" s="511">
        <v>0.26900000000000002</v>
      </c>
    </row>
    <row r="23" spans="2:23">
      <c r="B23" s="483">
        <v>20</v>
      </c>
      <c r="D23" s="504">
        <v>200</v>
      </c>
      <c r="E23" s="504">
        <f>ROUND((B$23*D23),0)</f>
        <v>4000</v>
      </c>
      <c r="G23" s="608">
        <f>ROUND(((E23*$T$14/100))+(E23*$V$25/100),2)</f>
        <v>251.92</v>
      </c>
      <c r="H23" s="608"/>
      <c r="I23" s="608">
        <f>IF($B$23&lt;51,$B$23*$T$17,IF($B$23&lt;301,$B$23*$T$18+$T$20,$T$21+$T$19*$B$23))+V27</f>
        <v>490.07999999999993</v>
      </c>
      <c r="J23" s="524"/>
      <c r="K23" s="608">
        <f>ROUND((($E23*$V$14/100))+(($E23*$V$26)/100),2)</f>
        <v>279.16000000000003</v>
      </c>
      <c r="L23" s="608"/>
      <c r="M23" s="608">
        <f>IF($B$23&lt;51,$B$23*$V$17,IF($B$23&lt;301,$B$23*$V$18+$V$20,$V$21+$V$19*$B$23))+V28</f>
        <v>543.25</v>
      </c>
      <c r="O23" s="507">
        <f>ROUND((K23-G23)/G23,4)</f>
        <v>0.1081</v>
      </c>
      <c r="P23" s="507"/>
      <c r="Q23" s="507">
        <f>ROUND((M23-I23)/I23,4)</f>
        <v>0.1085</v>
      </c>
      <c r="T23" s="510"/>
      <c r="U23" s="510"/>
      <c r="V23" s="511">
        <v>0.26900000000000002</v>
      </c>
    </row>
    <row r="24" spans="2:23">
      <c r="D24" s="504">
        <v>300</v>
      </c>
      <c r="E24" s="504">
        <f>ROUND((B$23*D24),0)</f>
        <v>6000</v>
      </c>
      <c r="G24" s="608">
        <f>ROUND(((E24*$T$14/100))+(E24*$V$25/100),2)</f>
        <v>377.88</v>
      </c>
      <c r="H24" s="608"/>
      <c r="I24" s="608">
        <f>IF($B$23&lt;51,$B$23*$T$17,IF($B$23&lt;301,$B$23*$T$18+$T$20,$T$21+$T$19*$B$23))+V27</f>
        <v>490.07999999999993</v>
      </c>
      <c r="J24" s="524"/>
      <c r="K24" s="608">
        <f>ROUND((($E24*$V$14/100))+(($E24*$V$26)/100),2)</f>
        <v>418.74</v>
      </c>
      <c r="L24" s="608"/>
      <c r="M24" s="608">
        <f>IF($B$23&lt;51,$B$23*$V$17,IF($B$23&lt;301,$B$23*$V$18+$V$20,$V$21+$V$19*$B$23))+V28</f>
        <v>543.25</v>
      </c>
      <c r="O24" s="507">
        <f>ROUND((K24-G24)/G24,4)</f>
        <v>0.1081</v>
      </c>
      <c r="P24" s="507"/>
      <c r="Q24" s="507">
        <f>ROUND((M24-I24)/I24,4)</f>
        <v>0.1085</v>
      </c>
      <c r="T24" s="510"/>
      <c r="U24" s="510"/>
      <c r="V24" s="514"/>
    </row>
    <row r="25" spans="2:23">
      <c r="D25" s="504">
        <v>500</v>
      </c>
      <c r="E25" s="504">
        <f>ROUND((B$23*D25),0)</f>
        <v>10000</v>
      </c>
      <c r="G25" s="608">
        <f>ROUND(((E25*$T$14/100))+(E25*$V$25/100),2)</f>
        <v>629.79999999999995</v>
      </c>
      <c r="H25" s="608"/>
      <c r="I25" s="608">
        <f>IF($B$23&lt;51,$B$23*$T$17,IF($B$23&lt;301,$B$23*$T$18+$T$20,$T$21+$T$19*$B$23))+V27</f>
        <v>490.07999999999993</v>
      </c>
      <c r="J25" s="524"/>
      <c r="K25" s="608">
        <f>ROUND((($E25*$V$14/100))+(($E25*$V$26)/100),2)</f>
        <v>697.9</v>
      </c>
      <c r="L25" s="608"/>
      <c r="M25" s="608">
        <f>IF($B$23&lt;51,$B$23*$V$17,IF($B$23&lt;301,$B$23*$V$18+$V$20,$V$21+$V$19*$B$23))+V28</f>
        <v>543.25</v>
      </c>
      <c r="O25" s="507">
        <f>ROUND((K25-G25)/G25,4)</f>
        <v>0.1081</v>
      </c>
      <c r="P25" s="507"/>
      <c r="Q25" s="507">
        <f>ROUND((M25-I25)/I25,4)</f>
        <v>0.1085</v>
      </c>
      <c r="T25" s="510" t="s">
        <v>386</v>
      </c>
      <c r="U25" s="510"/>
      <c r="V25" s="511">
        <v>-0.41</v>
      </c>
    </row>
    <row r="26" spans="2:23">
      <c r="G26" s="608"/>
      <c r="H26" s="608"/>
      <c r="I26" s="608"/>
      <c r="J26" s="524"/>
      <c r="K26" s="608"/>
      <c r="L26" s="608"/>
      <c r="M26" s="608"/>
      <c r="T26" s="483" t="s">
        <v>0</v>
      </c>
      <c r="U26" s="483" t="s">
        <v>0</v>
      </c>
      <c r="V26" s="570">
        <v>-0.41</v>
      </c>
    </row>
    <row r="27" spans="2:23">
      <c r="B27" s="483">
        <v>100</v>
      </c>
      <c r="D27" s="504">
        <v>200</v>
      </c>
      <c r="E27" s="504">
        <f>ROUND((B$27*D27),0)</f>
        <v>20000</v>
      </c>
      <c r="G27" s="608">
        <f>ROUND(((E27*$T$14/100))+(E27*$V$25/100),2)</f>
        <v>1259.5999999999999</v>
      </c>
      <c r="H27" s="608"/>
      <c r="I27" s="608">
        <f>IF($B$27&lt;51,$B$27*$T$17,IF($B$27&lt;301,$B$27*$T$18+$T$20,$T$21+$T$19*$B$27))+V27</f>
        <v>2027.2799999999997</v>
      </c>
      <c r="J27" s="524"/>
      <c r="K27" s="608">
        <f>ROUND((($E27*$V$14/100))+(($E27*$V$26)/100),2)</f>
        <v>1395.8</v>
      </c>
      <c r="L27" s="608"/>
      <c r="M27" s="608">
        <f>IF($B$27&lt;51,$B$27*$V$17,IF($B$27&lt;301,$B$27*$V$18+$V$20,$V$21+$V$19*$B$27))+V28</f>
        <v>2243.25</v>
      </c>
      <c r="O27" s="507">
        <f>ROUND((K27-G27)/G27,4)</f>
        <v>0.1081</v>
      </c>
      <c r="P27" s="507"/>
      <c r="Q27" s="507">
        <f>ROUND((M27-I27)/I27,4)</f>
        <v>0.1065</v>
      </c>
      <c r="T27" s="483" t="s">
        <v>429</v>
      </c>
      <c r="V27" s="559">
        <f>'Exhibit No._(JRS-11) p10'!D19</f>
        <v>14.28</v>
      </c>
      <c r="W27" s="483" t="s">
        <v>0</v>
      </c>
    </row>
    <row r="28" spans="2:23">
      <c r="D28" s="504">
        <v>300</v>
      </c>
      <c r="E28" s="504">
        <f>ROUND((B$27*D28),0)</f>
        <v>30000</v>
      </c>
      <c r="G28" s="608">
        <f>ROUND(((E28*$T$14/100))+(E28*$V$25/100),2)</f>
        <v>1889.4</v>
      </c>
      <c r="H28" s="608"/>
      <c r="I28" s="608">
        <f>IF($B$27&lt;51,$B$27*$T$17,IF($B$27&lt;301,$B$27*$T$18+$T$20,$T$21+$T$19*$B$27))+V27</f>
        <v>2027.2799999999997</v>
      </c>
      <c r="J28" s="524"/>
      <c r="K28" s="608">
        <f>ROUND((($E28*$V$14/100))+(($E28*$V$26)/100),2)</f>
        <v>2093.6999999999998</v>
      </c>
      <c r="L28" s="608"/>
      <c r="M28" s="608">
        <f>IF($B$27&lt;51,$B$27*$V$17,IF($B$27&lt;301,$B$27*$V$18+$V$20,$V$21+$V$19*$B$27))+V28</f>
        <v>2243.25</v>
      </c>
      <c r="O28" s="507">
        <f>ROUND((K28-G28)/G28,4)</f>
        <v>0.1081</v>
      </c>
      <c r="P28" s="507"/>
      <c r="Q28" s="507">
        <f>ROUND((M28-I28)/I28,4)</f>
        <v>0.1065</v>
      </c>
      <c r="T28" s="483" t="s">
        <v>417</v>
      </c>
      <c r="V28" s="559">
        <f>'Exhibit No._(JRS-11) p10'!E19</f>
        <v>17.25</v>
      </c>
    </row>
    <row r="29" spans="2:23">
      <c r="D29" s="504">
        <v>500</v>
      </c>
      <c r="E29" s="504">
        <f>ROUND((B$27*D29),0)</f>
        <v>50000</v>
      </c>
      <c r="G29" s="608">
        <f>ROUND(((E29*$T$14/100))+(E29*$V$25/100),2)</f>
        <v>3149</v>
      </c>
      <c r="H29" s="608"/>
      <c r="I29" s="608">
        <f>IF($B$27&lt;51,$B$27*$T$17,IF($B$27&lt;301,$B$27*$T$18+$T$20,$T$21+$T$19*$B$27))+V27</f>
        <v>2027.2799999999997</v>
      </c>
      <c r="J29" s="524"/>
      <c r="K29" s="608">
        <f>ROUND((($E29*$V$14/100))+(($E29*$V$26)/100),2)</f>
        <v>3489.5</v>
      </c>
      <c r="L29" s="608"/>
      <c r="M29" s="608">
        <f>IF($B$27&lt;51,$B$27*$V$17,IF($B$27&lt;301,$B$27*$V$18+$V$20,$V$21+$V$19*$B$27))+V28</f>
        <v>2243.25</v>
      </c>
      <c r="O29" s="507">
        <f>ROUND((K29-G29)/G29,4)</f>
        <v>0.1081</v>
      </c>
      <c r="P29" s="507"/>
      <c r="Q29" s="507">
        <f>ROUND((M29-I29)/I29,4)</f>
        <v>0.1065</v>
      </c>
    </row>
    <row r="30" spans="2:23">
      <c r="G30" s="608"/>
      <c r="H30" s="608"/>
      <c r="I30" s="608"/>
      <c r="J30" s="524"/>
      <c r="K30" s="608"/>
      <c r="L30" s="608"/>
      <c r="M30" s="608"/>
      <c r="T30" s="483" t="s">
        <v>389</v>
      </c>
      <c r="V30" s="483">
        <v>0</v>
      </c>
    </row>
    <row r="31" spans="2:23">
      <c r="B31" s="483">
        <v>300</v>
      </c>
      <c r="D31" s="504">
        <v>200</v>
      </c>
      <c r="E31" s="504">
        <f>ROUND((B$31*D31),0)</f>
        <v>60000</v>
      </c>
      <c r="G31" s="608">
        <f>ROUND(((E31*$T$14/100))+(E31*$V$25/100),2)</f>
        <v>3778.8</v>
      </c>
      <c r="H31" s="608"/>
      <c r="I31" s="608">
        <f>IF($B$31&lt;51,$B$31*$T$17,IF($B$31&lt;301,$B$31*$T$18+$T$20,$T$21+$T$19*$B$31))+V27</f>
        <v>5339.28</v>
      </c>
      <c r="J31" s="524"/>
      <c r="K31" s="608">
        <f>ROUND((($E31*$V$14/100))+(($E31*$V$26)/100),2)</f>
        <v>4187.3999999999996</v>
      </c>
      <c r="L31" s="608"/>
      <c r="M31" s="608">
        <f>IF($B$31&lt;51,$B$31*$V$17,IF($B$31&lt;301,$B$31*$V$18+$V$20,$V$21+$V$19*$B$31))+V28</f>
        <v>5905.25</v>
      </c>
      <c r="O31" s="507">
        <f>ROUND((K31-G31)/G31,4)</f>
        <v>0.1081</v>
      </c>
      <c r="P31" s="507"/>
      <c r="Q31" s="507">
        <f>ROUND((M31-I31)/I31,4)</f>
        <v>0.106</v>
      </c>
      <c r="T31" s="483" t="s">
        <v>390</v>
      </c>
      <c r="V31" s="483">
        <v>0</v>
      </c>
    </row>
    <row r="32" spans="2:23">
      <c r="D32" s="504">
        <v>300</v>
      </c>
      <c r="E32" s="504">
        <f>ROUND((B$31*D32),0)</f>
        <v>90000</v>
      </c>
      <c r="G32" s="608">
        <f>ROUND(((E32*$T$14/100))+(E32*$V$25/100),2)</f>
        <v>5668.2</v>
      </c>
      <c r="H32" s="608"/>
      <c r="I32" s="608">
        <f>IF($B$31&lt;51,$B$31*$T$17,IF($B$31&lt;301,$B$31*$T$18+$T$20,$T$21+$T$19*$B$31))+V27</f>
        <v>5339.28</v>
      </c>
      <c r="J32" s="524"/>
      <c r="K32" s="608">
        <f>ROUND((($E32*$V$14/100))+(($E32*$V$26)/100),2)</f>
        <v>6281.1</v>
      </c>
      <c r="L32" s="608"/>
      <c r="M32" s="608">
        <f>IF($B$31&lt;51,$B$31*$V$17,IF($B$31&lt;301,$B$31*$V$18+$V$20,$V$21+$V$19*$B$31))+V28</f>
        <v>5905.25</v>
      </c>
      <c r="O32" s="507">
        <f>ROUND((K32-G32)/G32,4)</f>
        <v>0.1081</v>
      </c>
      <c r="P32" s="507"/>
      <c r="Q32" s="507">
        <f>ROUND((M32-I32)/I32,4)</f>
        <v>0.106</v>
      </c>
    </row>
    <row r="33" spans="2:20">
      <c r="D33" s="504">
        <v>500</v>
      </c>
      <c r="E33" s="504">
        <f>ROUND((B$31*D33),0)</f>
        <v>150000</v>
      </c>
      <c r="G33" s="608">
        <f>ROUND(((E33*$T$14/100))+(E33*$V$25/100),2)</f>
        <v>9447</v>
      </c>
      <c r="H33" s="608"/>
      <c r="I33" s="608">
        <f>IF($B$31&lt;51,$B$31*$T$17,IF($B$31&lt;301,$B$31*$T$18+$T$20,$T$21+$T$19*$B$31))+V27</f>
        <v>5339.28</v>
      </c>
      <c r="J33" s="524"/>
      <c r="K33" s="608">
        <f>ROUND((($E33*$V$14/100))+(($E33*$V$26)/100),2)</f>
        <v>10468.5</v>
      </c>
      <c r="L33" s="608"/>
      <c r="M33" s="608">
        <f>IF($B$31&lt;51,$B$31*$V$17,IF($B$31&lt;301,$B$31*$V$18+$V$20,$V$21+$V$19*$B$31))+V28</f>
        <v>5905.25</v>
      </c>
      <c r="O33" s="507">
        <f>ROUND((K33-G33)/G33,4)</f>
        <v>0.1081</v>
      </c>
      <c r="P33" s="507"/>
      <c r="Q33" s="507">
        <f>ROUND((M33-I33)/I33,4)</f>
        <v>0.106</v>
      </c>
      <c r="S33" s="515" t="s">
        <v>391</v>
      </c>
      <c r="T33" s="575">
        <f>'Exhibit No._(JRS-10)'!Z25</f>
        <v>0.10326189648426894</v>
      </c>
    </row>
    <row r="34" spans="2:20">
      <c r="B34" s="519"/>
      <c r="C34" s="519"/>
      <c r="D34" s="519"/>
      <c r="E34" s="519"/>
      <c r="F34" s="519"/>
      <c r="G34" s="519"/>
      <c r="H34" s="519"/>
      <c r="I34" s="519"/>
      <c r="J34" s="519"/>
      <c r="K34" s="519"/>
      <c r="L34" s="519"/>
      <c r="M34" s="519"/>
      <c r="N34" s="519"/>
      <c r="O34" s="519"/>
      <c r="P34" s="519"/>
      <c r="Q34" s="519"/>
    </row>
    <row r="36" spans="2:20">
      <c r="C36" s="522"/>
    </row>
    <row r="37" spans="2:20">
      <c r="B37" s="483" t="s">
        <v>393</v>
      </c>
      <c r="C37" s="522"/>
    </row>
    <row r="38" spans="2:20">
      <c r="B38" s="614" t="s">
        <v>446</v>
      </c>
      <c r="C38" s="522"/>
    </row>
    <row r="39" spans="2:20">
      <c r="B39" s="522" t="s">
        <v>447</v>
      </c>
      <c r="C39" s="522"/>
    </row>
    <row r="40" spans="2:20">
      <c r="B40" s="522"/>
      <c r="C40" s="522"/>
    </row>
    <row r="41" spans="2:20">
      <c r="B41" s="522"/>
      <c r="C41" s="522"/>
    </row>
    <row r="42" spans="2:20">
      <c r="B42" s="522"/>
      <c r="C42" s="522"/>
    </row>
    <row r="43" spans="2:20">
      <c r="B43" s="522"/>
      <c r="C43" s="522"/>
    </row>
    <row r="44" spans="2:20">
      <c r="B44" s="522"/>
      <c r="C44" s="522"/>
    </row>
    <row r="45" spans="2:20">
      <c r="B45" s="522"/>
      <c r="C45" s="522"/>
    </row>
    <row r="46" spans="2:20">
      <c r="B46" s="522"/>
      <c r="C46" s="522"/>
    </row>
    <row r="47" spans="2:20">
      <c r="B47" s="522"/>
      <c r="C47" s="522"/>
    </row>
    <row r="48" spans="2:20">
      <c r="B48" s="522"/>
      <c r="C48" s="522"/>
      <c r="P48" s="524"/>
    </row>
    <row r="49" spans="2:3">
      <c r="B49" s="522"/>
      <c r="C49" s="522"/>
    </row>
    <row r="50" spans="2:3">
      <c r="B50" s="522"/>
      <c r="C50" s="522"/>
    </row>
    <row r="51" spans="2:3">
      <c r="B51" s="522"/>
      <c r="C51" s="522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48"/>
  <sheetViews>
    <sheetView tabSelected="1" view="pageBreakPreview" zoomScale="60" zoomScaleNormal="100" workbookViewId="0">
      <selection activeCell="B1" sqref="B1"/>
    </sheetView>
  </sheetViews>
  <sheetFormatPr defaultColWidth="8.5" defaultRowHeight="15"/>
  <cols>
    <col min="1" max="1" width="2" style="483" customWidth="1"/>
    <col min="2" max="2" width="8.5" style="483"/>
    <col min="3" max="3" width="8.5" style="483" hidden="1" customWidth="1"/>
    <col min="4" max="4" width="3.25" style="483" customWidth="1"/>
    <col min="5" max="5" width="9.75" style="483" customWidth="1"/>
    <col min="6" max="6" width="3.75" style="483" customWidth="1"/>
    <col min="7" max="7" width="19.875" style="483" customWidth="1"/>
    <col min="8" max="8" width="3.5" style="483" customWidth="1"/>
    <col min="9" max="9" width="19.5" style="483" customWidth="1"/>
    <col min="10" max="10" width="2.875" style="483" customWidth="1"/>
    <col min="11" max="11" width="12.125" style="483" customWidth="1"/>
    <col min="12" max="12" width="3.5" style="575" customWidth="1"/>
    <col min="13" max="13" width="8.5" style="483"/>
    <col min="14" max="14" width="10.125" style="483" customWidth="1"/>
    <col min="15" max="15" width="17.25" style="483" customWidth="1"/>
    <col min="16" max="16" width="5.25" style="483" customWidth="1"/>
    <col min="17" max="17" width="10.25" style="483" customWidth="1"/>
    <col min="18" max="18" width="7.375" style="483" customWidth="1"/>
    <col min="19" max="19" width="3.125" style="483" customWidth="1"/>
    <col min="20" max="16384" width="8.5" style="483"/>
  </cols>
  <sheetData>
    <row r="2" spans="1:18" ht="18.75">
      <c r="B2" s="489"/>
      <c r="C2" s="488"/>
      <c r="D2" s="488"/>
      <c r="E2" s="488"/>
      <c r="F2" s="488"/>
      <c r="G2" s="488"/>
      <c r="H2" s="488"/>
      <c r="I2" s="488"/>
      <c r="J2" s="486" t="s">
        <v>0</v>
      </c>
      <c r="K2" s="593"/>
    </row>
    <row r="3" spans="1:18" ht="18.75">
      <c r="B3" s="487" t="s">
        <v>314</v>
      </c>
      <c r="C3" s="487"/>
      <c r="D3" s="487"/>
      <c r="E3" s="487"/>
      <c r="F3" s="487"/>
      <c r="G3" s="487"/>
      <c r="H3" s="487"/>
      <c r="I3" s="487"/>
      <c r="J3" s="487"/>
      <c r="K3" s="487"/>
    </row>
    <row r="4" spans="1:18" ht="18.75">
      <c r="B4" s="487" t="s">
        <v>376</v>
      </c>
      <c r="C4" s="487"/>
      <c r="D4" s="487"/>
      <c r="E4" s="487"/>
      <c r="F4" s="487"/>
      <c r="G4" s="487"/>
      <c r="H4" s="487"/>
      <c r="I4" s="487"/>
      <c r="J4" s="487"/>
      <c r="K4" s="487"/>
    </row>
    <row r="5" spans="1:18" ht="18.75">
      <c r="B5" s="487" t="s">
        <v>448</v>
      </c>
      <c r="C5" s="487"/>
      <c r="D5" s="487"/>
      <c r="E5" s="487"/>
      <c r="F5" s="487"/>
      <c r="G5" s="487"/>
      <c r="H5" s="487"/>
      <c r="I5" s="487"/>
      <c r="J5" s="487"/>
      <c r="K5" s="487"/>
    </row>
    <row r="6" spans="1:18" ht="18.75">
      <c r="B6" s="487" t="s">
        <v>449</v>
      </c>
      <c r="C6" s="487"/>
      <c r="D6" s="487"/>
      <c r="E6" s="487"/>
      <c r="F6" s="487"/>
      <c r="G6" s="487"/>
      <c r="H6" s="487"/>
      <c r="I6" s="487"/>
      <c r="J6" s="487"/>
      <c r="K6" s="487"/>
    </row>
    <row r="7" spans="1:18" ht="18.75">
      <c r="B7" s="487" t="s">
        <v>0</v>
      </c>
      <c r="C7" s="487"/>
      <c r="D7" s="487"/>
      <c r="E7" s="487"/>
      <c r="F7" s="487"/>
      <c r="G7" s="487"/>
      <c r="H7" s="487"/>
      <c r="I7" s="487"/>
      <c r="J7" s="487"/>
      <c r="K7" s="487"/>
    </row>
    <row r="8" spans="1:18" ht="18.75">
      <c r="A8" s="615"/>
      <c r="B8" s="488"/>
      <c r="C8" s="488"/>
      <c r="D8" s="488"/>
      <c r="E8" s="488"/>
      <c r="F8" s="488"/>
      <c r="G8" s="488"/>
      <c r="H8" s="488"/>
      <c r="I8" s="488"/>
      <c r="J8" s="488"/>
    </row>
    <row r="9" spans="1:18" ht="18.75">
      <c r="A9" s="615"/>
      <c r="B9" s="488"/>
      <c r="C9" s="488"/>
      <c r="D9" s="488"/>
      <c r="E9" s="488"/>
      <c r="F9" s="488"/>
      <c r="G9" s="488"/>
      <c r="H9" s="488"/>
      <c r="I9" s="488"/>
      <c r="J9" s="488"/>
    </row>
    <row r="11" spans="1:18">
      <c r="B11" s="594" t="s">
        <v>397</v>
      </c>
      <c r="G11" s="495" t="s">
        <v>398</v>
      </c>
      <c r="H11" s="495"/>
      <c r="I11" s="495"/>
    </row>
    <row r="12" spans="1:18" ht="15.75" thickBot="1">
      <c r="B12" s="597" t="s">
        <v>401</v>
      </c>
      <c r="C12" s="595" t="s">
        <v>402</v>
      </c>
      <c r="G12" s="488" t="s">
        <v>9</v>
      </c>
      <c r="I12" s="488" t="s">
        <v>13</v>
      </c>
      <c r="K12" s="488" t="s">
        <v>400</v>
      </c>
    </row>
    <row r="13" spans="1:18">
      <c r="B13" s="598" t="s">
        <v>405</v>
      </c>
      <c r="C13" s="599" t="s">
        <v>406</v>
      </c>
      <c r="D13" s="499"/>
      <c r="E13" s="494" t="s">
        <v>36</v>
      </c>
      <c r="F13" s="499"/>
      <c r="G13" s="495" t="s">
        <v>450</v>
      </c>
      <c r="I13" s="495" t="s">
        <v>451</v>
      </c>
      <c r="K13" s="616" t="s">
        <v>105</v>
      </c>
      <c r="M13" s="617" t="s">
        <v>379</v>
      </c>
      <c r="N13" s="582"/>
      <c r="O13" s="583"/>
      <c r="P13" s="549"/>
      <c r="Q13" s="582" t="s">
        <v>380</v>
      </c>
      <c r="R13" s="583"/>
    </row>
    <row r="14" spans="1:18">
      <c r="G14" s="599"/>
      <c r="H14" s="499"/>
      <c r="I14" s="599"/>
      <c r="M14" s="551" t="s">
        <v>409</v>
      </c>
      <c r="N14" s="512"/>
      <c r="O14" s="552"/>
      <c r="P14" s="512"/>
      <c r="Q14" s="512"/>
      <c r="R14" s="552"/>
    </row>
    <row r="15" spans="1:18">
      <c r="B15" s="504">
        <v>1000</v>
      </c>
      <c r="C15" s="483">
        <v>300</v>
      </c>
      <c r="E15" s="504">
        <f>ROUND((B$15*C15),0)</f>
        <v>300000</v>
      </c>
      <c r="F15" s="504"/>
      <c r="G15" s="608">
        <f>ROUND($E15*N$18/100+$B$15*N$17+IF($B$15&lt;3001,$B$15*O$15+N$15,$B$15*O$16+N$16),2)+Q24</f>
        <v>23120.85</v>
      </c>
      <c r="H15" s="608"/>
      <c r="I15" s="608">
        <f>ROUND($E15*Q$18/100+$B$15*Q$17+IF($B$15&lt;3001,$B$15*R$15+Q$15,$B$15*R$16+Q$16),2)+Q25</f>
        <v>25988.5</v>
      </c>
      <c r="K15" s="507">
        <f>(I15-G15)/G15</f>
        <v>0.12402874461795313</v>
      </c>
      <c r="M15" s="551" t="s">
        <v>452</v>
      </c>
      <c r="N15" s="557">
        <f>'Exhibit No._(JRS-11) p1-9'!G953</f>
        <v>1386</v>
      </c>
      <c r="O15" s="498">
        <f>'Exhibit No._(JRS-11) p1-9'!G956</f>
        <v>1.06</v>
      </c>
      <c r="P15" s="558"/>
      <c r="Q15" s="557">
        <f>'Exhibit No._(JRS-11) p1-9'!J953</f>
        <v>1548</v>
      </c>
      <c r="R15" s="498">
        <f>'Exhibit No._(JRS-11) p1-9'!J956</f>
        <v>1.19</v>
      </c>
    </row>
    <row r="16" spans="1:18">
      <c r="C16" s="483">
        <v>500</v>
      </c>
      <c r="E16" s="504">
        <f>ROUND((B$15*C16),0)</f>
        <v>500000</v>
      </c>
      <c r="F16" s="504"/>
      <c r="G16" s="608">
        <f>ROUND($E16*N$18/100+$B$15*N$17+IF($B$15&lt;3001,$B$15*O$15+N$15,$B$15*O$16+N$16),2)+Q24</f>
        <v>32000.85</v>
      </c>
      <c r="H16" s="608"/>
      <c r="I16" s="608">
        <f>ROUND($E16*Q$18/100+$B$15*Q$17+IF($B$15&lt;3001,$B$15*R$15+Q$15,$B$15*R$16+Q$16),2)+Q25</f>
        <v>35766.5</v>
      </c>
      <c r="K16" s="507">
        <f>(I16-G16)/G16</f>
        <v>0.11767343679933506</v>
      </c>
      <c r="M16" s="551" t="s">
        <v>453</v>
      </c>
      <c r="N16" s="557">
        <f>'Exhibit No._(JRS-11) p1-9'!G954</f>
        <v>1675</v>
      </c>
      <c r="O16" s="498">
        <f>'Exhibit No._(JRS-11) p1-9'!G957</f>
        <v>0.96</v>
      </c>
      <c r="P16" s="558"/>
      <c r="Q16" s="557">
        <f>'Exhibit No._(JRS-11) p1-9'!J954</f>
        <v>1882</v>
      </c>
      <c r="R16" s="498">
        <f>'Exhibit No._(JRS-11) p1-9'!J957</f>
        <v>1.08</v>
      </c>
    </row>
    <row r="17" spans="2:20">
      <c r="C17" s="483">
        <v>700</v>
      </c>
      <c r="E17" s="504">
        <f>ROUND((B$15*C17),0)</f>
        <v>700000</v>
      </c>
      <c r="F17" s="504"/>
      <c r="G17" s="608">
        <f>ROUND($E17*N$18/100+$B$15*N$17+IF($B$15&lt;3001,$B$15*O$15+N$15,$B$15*O$16+N$16),2)+Q24</f>
        <v>40880.85</v>
      </c>
      <c r="H17" s="608"/>
      <c r="I17" s="608">
        <f>ROUND($E17*Q$18/100+$B$15*Q$17+IF($B$15&lt;3001,$B$15*R$15+Q$15,$B$15*R$16+Q$16),2)+Q25</f>
        <v>45544.5</v>
      </c>
      <c r="K17" s="507">
        <f>(I17-G17)/G17</f>
        <v>0.11407908592898636</v>
      </c>
      <c r="M17" s="551" t="s">
        <v>405</v>
      </c>
      <c r="N17" s="557">
        <f>'Exhibit No._(JRS-11) p1-9'!G958</f>
        <v>7.12</v>
      </c>
      <c r="O17" s="563"/>
      <c r="P17" s="558"/>
      <c r="Q17" s="557">
        <f>'Exhibit No._(JRS-11) p1-9'!J958</f>
        <v>8.3000000000000007</v>
      </c>
      <c r="R17" s="563"/>
      <c r="T17" s="503">
        <f>(Q17-N17)/N17</f>
        <v>0.16573033707865176</v>
      </c>
    </row>
    <row r="18" spans="2:20">
      <c r="G18" s="608"/>
      <c r="H18" s="608"/>
      <c r="I18" s="608"/>
      <c r="K18" s="507"/>
      <c r="M18" s="551" t="s">
        <v>384</v>
      </c>
      <c r="N18" s="566">
        <f>'Exhibit No._(JRS-11) p1-9'!G960+Q20+Q27+Q28</f>
        <v>4.4400000000000004</v>
      </c>
      <c r="O18" s="563"/>
      <c r="P18" s="558"/>
      <c r="Q18" s="566">
        <f>'Exhibit No._(JRS-11) p1-9'!J960+'Exhibit No._(JRS-11) p1-9'!J942+Q21+Q27+Q28</f>
        <v>4.8890000000000002</v>
      </c>
      <c r="R18" s="563"/>
      <c r="T18" s="503">
        <f>(Q18-N18)/N18</f>
        <v>0.10112612612612608</v>
      </c>
    </row>
    <row r="19" spans="2:20" ht="15.75" thickBot="1">
      <c r="B19" s="504">
        <v>2000</v>
      </c>
      <c r="C19" s="483">
        <v>300</v>
      </c>
      <c r="E19" s="504">
        <f>ROUND((B$19*C19),0)</f>
        <v>600000</v>
      </c>
      <c r="F19" s="504"/>
      <c r="G19" s="608">
        <f>ROUND($E19*N$18/100+$B$19*N$17+IF($B$19&lt;3001,$B$19*O$15+N$15,$B$19*O$16+N$16),2)+Q24</f>
        <v>44620.85</v>
      </c>
      <c r="H19" s="608"/>
      <c r="I19" s="608">
        <f>ROUND($E19*Q$18/100+$B$19*Q$17+IF($B$19&lt;3001,$B$19*R$15+Q$15,$B$19*R$16+Q$16),2)+Q25</f>
        <v>50145.5</v>
      </c>
      <c r="K19" s="507">
        <f>(I19-G19)/G19</f>
        <v>0.12381319495258386</v>
      </c>
      <c r="M19" s="588" t="s">
        <v>0</v>
      </c>
      <c r="N19" s="589" t="s">
        <v>0</v>
      </c>
      <c r="O19" s="569"/>
      <c r="P19" s="568"/>
      <c r="Q19" s="589" t="s">
        <v>0</v>
      </c>
      <c r="R19" s="590"/>
    </row>
    <row r="20" spans="2:20">
      <c r="C20" s="483">
        <v>500</v>
      </c>
      <c r="E20" s="504">
        <f>ROUND((B$19*C20),0)</f>
        <v>1000000</v>
      </c>
      <c r="F20" s="504"/>
      <c r="G20" s="608">
        <f>ROUND($E20*N$18/100+$B$19*N$17+IF($B$19&lt;3001,$B$19*O$15+N$15,$B$19*O$16+N$16),2)+Q24</f>
        <v>62380.85</v>
      </c>
      <c r="H20" s="608"/>
      <c r="I20" s="608">
        <f>ROUND($E20*Q$18/100+$B$19*Q$17+IF($B$19&lt;3001,$B$19*R$15+Q$15,$B$19*R$16+Q$16),2)+Q25</f>
        <v>69701.5</v>
      </c>
      <c r="K20" s="507">
        <f>(I20-G20)/G20</f>
        <v>0.11735412390180643</v>
      </c>
      <c r="O20" s="510" t="s">
        <v>385</v>
      </c>
      <c r="P20" s="510"/>
      <c r="Q20" s="511">
        <v>0.19400000000000001</v>
      </c>
    </row>
    <row r="21" spans="2:20">
      <c r="C21" s="483">
        <v>700</v>
      </c>
      <c r="E21" s="504">
        <f>ROUND((B$19*C21),0)</f>
        <v>1400000</v>
      </c>
      <c r="F21" s="504"/>
      <c r="G21" s="608">
        <f>ROUND($E21*N$18/100+$B$19*N$17+IF($B$19&lt;3001,$B$19*O$15+N$15,$B$19*O$16+N$16),2)+Q24</f>
        <v>80140.850000000006</v>
      </c>
      <c r="H21" s="608"/>
      <c r="I21" s="608">
        <f>ROUND($E21*Q$18/100+$B$19*Q$17+IF($B$19&lt;3001,$B$19*R$15+Q$15,$B$19*R$16+Q$16),2)+Q25</f>
        <v>89257.5</v>
      </c>
      <c r="K21" s="507">
        <f>(I21-G21)/G21</f>
        <v>0.11375784010276899</v>
      </c>
      <c r="O21" s="510"/>
      <c r="P21" s="510"/>
      <c r="Q21" s="511">
        <v>0.19400000000000001</v>
      </c>
    </row>
    <row r="22" spans="2:20">
      <c r="G22" s="608"/>
      <c r="H22" s="608"/>
      <c r="I22" s="608"/>
      <c r="K22" s="507"/>
      <c r="O22" s="510"/>
      <c r="P22" s="510"/>
      <c r="Q22" s="514"/>
    </row>
    <row r="23" spans="2:20">
      <c r="B23" s="504">
        <v>4000</v>
      </c>
      <c r="C23" s="483">
        <v>300</v>
      </c>
      <c r="E23" s="504">
        <f>ROUND((B$23*C23),0)</f>
        <v>1200000</v>
      </c>
      <c r="F23" s="504"/>
      <c r="G23" s="608">
        <f>ROUND($E23*N$18/100+$B$23*N$17+IF($B$23&lt;3001,$B$23*O$15+N$15,$B$23*O$16+N$16),2)+Q24</f>
        <v>87509.85</v>
      </c>
      <c r="H23" s="608"/>
      <c r="I23" s="608">
        <f>ROUND($E23*Q$18/100+$B$23*Q$17+IF($B$23&lt;3001,$B$23*R$15+Q$15,$B$23*R$16+Q$16),2)+Q25</f>
        <v>98353.5</v>
      </c>
      <c r="K23" s="507">
        <f>(I23-G23)/G23</f>
        <v>0.1239134794540271</v>
      </c>
      <c r="O23" s="483" t="s">
        <v>0</v>
      </c>
      <c r="P23" s="483" t="s">
        <v>0</v>
      </c>
      <c r="Q23" s="483" t="s">
        <v>0</v>
      </c>
      <c r="T23" s="483" t="s">
        <v>0</v>
      </c>
    </row>
    <row r="24" spans="2:20">
      <c r="C24" s="483">
        <v>500</v>
      </c>
      <c r="E24" s="504">
        <f>ROUND((B$23*C24),0)</f>
        <v>2000000</v>
      </c>
      <c r="F24" s="504"/>
      <c r="G24" s="608">
        <f>ROUND($E24*N$18/100+$B$23*N$17+IF($B$23&lt;3001,$B$23*O$15+N$15,$B$23*O$16+N$16),2)+Q24</f>
        <v>123029.85</v>
      </c>
      <c r="H24" s="608"/>
      <c r="I24" s="608">
        <f>ROUND($E24*Q$18/100+$B$23*Q$17+IF($B$23&lt;3001,$B$23*R$15+Q$15,$B$23*R$16+Q$16),2)+Q25</f>
        <v>137465.5</v>
      </c>
      <c r="K24" s="507">
        <f>(I24-G24)/G24</f>
        <v>0.11733453304218443</v>
      </c>
      <c r="O24" s="483" t="s">
        <v>429</v>
      </c>
      <c r="Q24" s="559">
        <f>'Exhibit No._(JRS-11) p10'!D21</f>
        <v>234.85</v>
      </c>
      <c r="R24" s="483" t="s">
        <v>0</v>
      </c>
    </row>
    <row r="25" spans="2:20">
      <c r="C25" s="483">
        <v>700</v>
      </c>
      <c r="E25" s="504">
        <f>ROUND((B$23*C25),0)</f>
        <v>2800000</v>
      </c>
      <c r="F25" s="504"/>
      <c r="G25" s="608">
        <f>ROUND($E25*N$18/100+$B$23*N$17+IF($B$23&lt;3001,$B$23*O$15+N$15,$B$23*O$16+N$16),2)+Q24</f>
        <v>158549.85</v>
      </c>
      <c r="H25" s="608"/>
      <c r="I25" s="608">
        <f>ROUND($E25*Q$18/100+$B$23*Q$17+IF($B$23&lt;3001,$B$23*R$15+Q$15,$B$23*R$16+Q$16),2)+Q25</f>
        <v>176577.5</v>
      </c>
      <c r="K25" s="507">
        <f>(I25-G25)/G25</f>
        <v>0.113703355758457</v>
      </c>
      <c r="O25" s="483" t="s">
        <v>417</v>
      </c>
      <c r="Q25" s="559">
        <f>'Exhibit No._(JRS-11) p10'!E21</f>
        <v>283.5</v>
      </c>
    </row>
    <row r="26" spans="2:20">
      <c r="G26" s="608"/>
      <c r="H26" s="608"/>
      <c r="I26" s="608"/>
      <c r="K26" s="507"/>
    </row>
    <row r="27" spans="2:20">
      <c r="B27" s="504">
        <v>6000</v>
      </c>
      <c r="C27" s="483">
        <v>300</v>
      </c>
      <c r="E27" s="504">
        <f>ROUND((B$27*C27),0)</f>
        <v>1800000</v>
      </c>
      <c r="F27" s="504"/>
      <c r="G27" s="608">
        <f>ROUND($E27*N$18/100+$B$27*N$17+IF($B$27&lt;3001,$B$27*O$15+N$15,$B$27*O$16+N$16),2)+Q24</f>
        <v>130309.85</v>
      </c>
      <c r="H27" s="608"/>
      <c r="I27" s="608">
        <f>ROUND($E27*Q$18/100+$B$27*Q$17+IF($B$27&lt;3001,$B$27*R$15+Q$15,$B$27*R$16+Q$16),2)+Q25</f>
        <v>146447.5</v>
      </c>
      <c r="K27" s="507">
        <f>(I27-G27)/G27</f>
        <v>0.12384059992395044</v>
      </c>
      <c r="O27" s="483" t="s">
        <v>389</v>
      </c>
      <c r="Q27" s="483">
        <v>0</v>
      </c>
    </row>
    <row r="28" spans="2:20">
      <c r="C28" s="483">
        <v>500</v>
      </c>
      <c r="E28" s="504">
        <f>ROUND((B$27*C28),0)</f>
        <v>3000000</v>
      </c>
      <c r="F28" s="504"/>
      <c r="G28" s="608">
        <f>ROUND($E28*N$18/100+$B$27*N$17+IF($B$27&lt;3001,$B$27*O$15+N$15,$B$27*O$16+N$16),2)+Q24</f>
        <v>183589.85</v>
      </c>
      <c r="H28" s="608"/>
      <c r="I28" s="608">
        <f>ROUND($E28*Q$18/100+$B$27*Q$17+IF($B$27&lt;3001,$B$27*R$15+Q$15,$B$27*R$16+Q$16),2)+Q25</f>
        <v>205115.5</v>
      </c>
      <c r="K28" s="507">
        <f>(I28-G28)/G28</f>
        <v>0.11724858427630935</v>
      </c>
      <c r="O28" s="483" t="s">
        <v>390</v>
      </c>
      <c r="Q28" s="483">
        <v>0</v>
      </c>
    </row>
    <row r="29" spans="2:20">
      <c r="C29" s="483">
        <v>700</v>
      </c>
      <c r="E29" s="504">
        <f>ROUND((B$27*C29),0)</f>
        <v>4200000</v>
      </c>
      <c r="F29" s="504"/>
      <c r="G29" s="608">
        <f>ROUND($E29*N$18/100+$B$27*N$17+IF($B$27&lt;3001,$B$27*O$15+N$15,$B$27*O$16+N$16),2)+Q24</f>
        <v>236869.85</v>
      </c>
      <c r="H29" s="608"/>
      <c r="I29" s="608">
        <f>ROUND($E29*Q$18/100+$B$27*Q$17+IF($B$27&lt;3001,$B$27*R$15+Q$15,$B$27*R$16+Q$16),2)+Q25</f>
        <v>263783.5</v>
      </c>
      <c r="K29" s="507">
        <f>(I29-G29)/G29</f>
        <v>0.11362210091322299</v>
      </c>
    </row>
    <row r="30" spans="2:20">
      <c r="B30" s="519"/>
      <c r="C30" s="519"/>
      <c r="D30" s="519"/>
      <c r="E30" s="519"/>
      <c r="F30" s="519"/>
      <c r="G30" s="519"/>
      <c r="H30" s="519"/>
      <c r="I30" s="519"/>
      <c r="J30" s="519"/>
      <c r="K30" s="519"/>
      <c r="M30" s="515" t="s">
        <v>391</v>
      </c>
      <c r="N30" s="575">
        <f>'Exhibit No._(JRS-11) p1-9'!Q930</f>
        <v>0.12148409494854605</v>
      </c>
    </row>
    <row r="33" spans="2:16">
      <c r="B33" s="483" t="s">
        <v>393</v>
      </c>
    </row>
    <row r="34" spans="2:16">
      <c r="B34" s="576" t="s">
        <v>454</v>
      </c>
    </row>
    <row r="35" spans="2:16">
      <c r="B35" s="522"/>
    </row>
    <row r="36" spans="2:16">
      <c r="B36" s="522"/>
    </row>
    <row r="37" spans="2:16">
      <c r="B37" s="522"/>
    </row>
    <row r="38" spans="2:16">
      <c r="B38" s="522"/>
    </row>
    <row r="39" spans="2:16">
      <c r="B39" s="522"/>
    </row>
    <row r="40" spans="2:16">
      <c r="B40" s="522"/>
    </row>
    <row r="41" spans="2:16">
      <c r="B41" s="522"/>
    </row>
    <row r="42" spans="2:16">
      <c r="B42" s="522"/>
    </row>
    <row r="43" spans="2:16">
      <c r="B43" s="522"/>
    </row>
    <row r="44" spans="2:16">
      <c r="B44" s="522"/>
    </row>
    <row r="45" spans="2:16">
      <c r="B45" s="522"/>
    </row>
    <row r="46" spans="2:16">
      <c r="B46" s="522"/>
    </row>
    <row r="48" spans="2:16">
      <c r="P48" s="524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2013-08-02T07:00:00+00:00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5B836D-F8AA-44EA-98EB-3E180796AC30}"/>
</file>

<file path=customXml/itemProps2.xml><?xml version="1.0" encoding="utf-8"?>
<ds:datastoreItem xmlns:ds="http://schemas.openxmlformats.org/officeDocument/2006/customXml" ds:itemID="{2F482A76-5302-46B9-A904-E1F6504DF993}"/>
</file>

<file path=customXml/itemProps3.xml><?xml version="1.0" encoding="utf-8"?>
<ds:datastoreItem xmlns:ds="http://schemas.openxmlformats.org/officeDocument/2006/customXml" ds:itemID="{A33447EF-71E9-401C-B057-9391D3A80775}"/>
</file>

<file path=customXml/itemProps4.xml><?xml version="1.0" encoding="utf-8"?>
<ds:datastoreItem xmlns:ds="http://schemas.openxmlformats.org/officeDocument/2006/customXml" ds:itemID="{4906C084-875F-4A68-A367-0503ED9843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Exhibit No._(JRS-10)</vt:lpstr>
      <vt:lpstr>Exhibit No._(JRS-11) p1-9</vt:lpstr>
      <vt:lpstr>Exhibit No._(JRS-11) p10</vt:lpstr>
      <vt:lpstr>Exhibit No._(JRS-11) p11</vt:lpstr>
      <vt:lpstr>Exhibit No._(JRS-12) p1</vt:lpstr>
      <vt:lpstr>Exhibit No._(JRS-12) p2</vt:lpstr>
      <vt:lpstr>Exhibit No._(JRS-12) p3</vt:lpstr>
      <vt:lpstr>Exhibit No._(JRS-12) p4</vt:lpstr>
      <vt:lpstr>Exhibit No._(JRS-12) p5</vt:lpstr>
      <vt:lpstr>Exhibit No._(JRS-12) p6</vt:lpstr>
      <vt:lpstr>Exhibit No._(JRS-12) p7</vt:lpstr>
      <vt:lpstr>'Exhibit No._(JRS-10)'!Print_Area</vt:lpstr>
      <vt:lpstr>'Exhibit No._(JRS-11) p10'!Print_Area</vt:lpstr>
      <vt:lpstr>'Exhibit No._(JRS-11) p11'!Print_Area</vt:lpstr>
      <vt:lpstr>'Exhibit No._(JRS-11) p1-9'!Print_Area</vt:lpstr>
      <vt:lpstr>'Exhibit No._(JRS-12) p1'!Print_Area</vt:lpstr>
      <vt:lpstr>'Exhibit No._(JRS-12) p2'!Print_Area</vt:lpstr>
      <vt:lpstr>'Exhibit No._(JRS-12) p3'!Print_Area</vt:lpstr>
      <vt:lpstr>'Exhibit No._(JRS-12) p4'!Print_Area</vt:lpstr>
      <vt:lpstr>'Exhibit No._(JRS-12) p5'!Print_Area</vt:lpstr>
      <vt:lpstr>'Exhibit No._(JRS-12) p6'!Print_Area</vt:lpstr>
      <vt:lpstr>'Exhibit No._(JRS-12) p7'!Print_Area</vt:lpstr>
      <vt:lpstr>'Exhibit No._(JRS-11) p1-9'!Print_Titles</vt:lpstr>
      <vt:lpstr>'Exhibit No._(JRS-10)'!TABLEA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p21850</cp:lastModifiedBy>
  <cp:lastPrinted>2013-07-30T16:35:37Z</cp:lastPrinted>
  <dcterms:created xsi:type="dcterms:W3CDTF">2013-07-29T22:35:53Z</dcterms:created>
  <dcterms:modified xsi:type="dcterms:W3CDTF">2013-07-30T16:36:03Z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