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activeX/activeX1.xml" ContentType="application/vnd.ms-office.activeX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xl/activeX/activeX1.bin" ContentType="application/vnd.ms-office.activeX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90"/>
  </bookViews>
  <sheets>
    <sheet name="Sheet1" sheetId="1" r:id="rId1"/>
    <sheet name="Postage &amp; Telephone Allocation" sheetId="3" r:id="rId2"/>
  </sheets>
  <externalReferences>
    <externalReference r:id="rId3"/>
  </externalReferences>
  <definedNames>
    <definedName name="_xlnm.Print_Titles" localSheetId="0">Sheet1!$A:$F,Sheet1!$1:$1</definedName>
    <definedName name="QB_COLUMN_10210" localSheetId="0" hidden="1">Sheet1!$W$1</definedName>
    <definedName name="QB_COLUMN_16210" localSheetId="0" hidden="1">Sheet1!$U$1</definedName>
    <definedName name="QB_COLUMN_19210" localSheetId="0" hidden="1">Sheet1!$Y$1</definedName>
    <definedName name="QB_COLUMN_20210" localSheetId="0" hidden="1">Sheet1!$S$1</definedName>
    <definedName name="QB_COLUMN_21210" localSheetId="0" hidden="1">Sheet1!$G$1</definedName>
    <definedName name="QB_COLUMN_26210" localSheetId="0" hidden="1">Sheet1!$M$1</definedName>
    <definedName name="QB_COLUMN_28210" localSheetId="0" hidden="1">Sheet1!$K$1</definedName>
    <definedName name="QB_COLUMN_32210" localSheetId="0" hidden="1">Sheet1!$O$1</definedName>
    <definedName name="QB_COLUMN_37210" localSheetId="0" hidden="1">Sheet1!$Q$1</definedName>
    <definedName name="QB_COLUMN_42301" localSheetId="0" hidden="1">Sheet1!$AA$1</definedName>
    <definedName name="QB_COLUMN_8210" localSheetId="0" hidden="1">Sheet1!$I$1</definedName>
    <definedName name="QB_DATA_0" localSheetId="0" hidden="1">Sheet1!$5:$5,Sheet1!#REF!,Sheet1!#REF!,Sheet1!#REF!,Sheet1!#REF!,Sheet1!#REF!,Sheet1!$8:$8,Sheet1!#REF!,Sheet1!#REF!,Sheet1!#REF!,Sheet1!#REF!,Sheet1!#REF!,Sheet1!#REF!,Sheet1!#REF!,Sheet1!#REF!,Sheet1!#REF!</definedName>
    <definedName name="QB_DATA_1" localSheetId="0" hidden="1">Sheet1!#REF!,Sheet1!#REF!,Sheet1!$11:$11,Sheet1!$15:$15,Sheet1!$16:$16,Sheet1!$20:$20,Sheet1!$21:$21,Sheet1!$22:$22,Sheet1!$30:$30,Sheet1!$35:$35,Sheet1!$40:$40,Sheet1!$41:$41,Sheet1!$42:$42,Sheet1!$46:$46,Sheet1!$47:$47,Sheet1!$48:$48</definedName>
    <definedName name="QB_DATA_2" localSheetId="0" hidden="1">Sheet1!$49:$49,Sheet1!$50:$50,Sheet1!$51:$51,Sheet1!$52:$52,Sheet1!$55:$55</definedName>
    <definedName name="QB_FORMULA_0" localSheetId="0" hidden="1">Sheet1!$AA$5,Sheet1!#REF!,Sheet1!#REF!,Sheet1!#REF!,Sheet1!#REF!,Sheet1!#REF!,Sheet1!$G$6,Sheet1!$I$6,Sheet1!$K$6,Sheet1!$M$6,Sheet1!$O$6,Sheet1!$Q$6,Sheet1!$S$6,Sheet1!$U$6,Sheet1!$W$6,Sheet1!$Y$6</definedName>
    <definedName name="QB_FORMULA_1" localSheetId="0" hidden="1">Sheet1!$AA$6,Sheet1!$AA$8,Sheet1!$G$9,Sheet1!$I$9,Sheet1!$K$9,Sheet1!$M$9,Sheet1!$O$9,Sheet1!$Q$9,Sheet1!$S$9,Sheet1!$U$9,Sheet1!$W$9,Sheet1!$Y$9,Sheet1!$AA$9,Sheet1!#REF!,Sheet1!#REF!,Sheet1!#REF!</definedName>
    <definedName name="QB_FORMULA_10" localSheetId="0" hidden="1">Sheet1!$K$38,Sheet1!$M$38,Sheet1!$O$38,Sheet1!$Q$38,Sheet1!$S$38,Sheet1!$U$38,Sheet1!$W$38,Sheet1!$Y$38,Sheet1!$AA$38,Sheet1!$AA$40,Sheet1!$AA$41,Sheet1!$AA$42,Sheet1!$G$43,Sheet1!$I$43,Sheet1!$K$43,Sheet1!$M$43</definedName>
    <definedName name="QB_FORMULA_11" localSheetId="0" hidden="1">Sheet1!$O$43,Sheet1!$Q$43,Sheet1!$S$43,Sheet1!$U$43,Sheet1!$W$43,Sheet1!$Y$43,Sheet1!$AA$43,Sheet1!$G$44,Sheet1!$I$44,Sheet1!$K$44,Sheet1!$M$44,Sheet1!$O$44,Sheet1!$Q$44,Sheet1!$S$44,Sheet1!$U$44,Sheet1!$W$44</definedName>
    <definedName name="QB_FORMULA_12" localSheetId="0" hidden="1">Sheet1!$Y$44,Sheet1!$AA$44,Sheet1!$AA$46,Sheet1!$AA$47,Sheet1!$AA$48,Sheet1!$AA$49,Sheet1!$AA$50,Sheet1!$AA$51,Sheet1!$AA$52,Sheet1!$G$53,Sheet1!$I$53,Sheet1!$K$53,Sheet1!$M$53,Sheet1!$O$53,Sheet1!$Q$53,Sheet1!$S$53</definedName>
    <definedName name="QB_FORMULA_13" localSheetId="0" hidden="1">Sheet1!$U$53,Sheet1!$W$53,Sheet1!$Y$53,Sheet1!$AA$53,Sheet1!$G$54,Sheet1!$I$54,Sheet1!$K$54,Sheet1!$M$54,Sheet1!$O$54,Sheet1!$Q$54,Sheet1!$S$54,Sheet1!$U$54,Sheet1!$W$54,Sheet1!$Y$54,Sheet1!$AA$54,Sheet1!$AA$55</definedName>
    <definedName name="QB_FORMULA_2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0" hidden="1">Sheet1!#REF!,Sheet1!#REF!,Sheet1!#REF!,Sheet1!$AA$11,Sheet1!$G$12,Sheet1!$I$12,Sheet1!$K$12,Sheet1!$M$12,Sheet1!$O$12,Sheet1!$Q$12,Sheet1!$S$12,Sheet1!$U$12,Sheet1!$W$12,Sheet1!$Y$12,Sheet1!$AA$12,Sheet1!$G$13</definedName>
    <definedName name="QB_FORMULA_4" localSheetId="0" hidden="1">Sheet1!$I$13,Sheet1!$K$13,Sheet1!$M$13,Sheet1!$O$13,Sheet1!$Q$13,Sheet1!$S$13,Sheet1!$U$13,Sheet1!$W$13,Sheet1!$Y$13,Sheet1!$AA$13,Sheet1!$AA$15,Sheet1!$AA$16,Sheet1!$G$17,Sheet1!$I$17,Sheet1!$K$17,Sheet1!$M$17</definedName>
    <definedName name="QB_FORMULA_5" localSheetId="0" hidden="1">Sheet1!$O$17,Sheet1!$Q$17,Sheet1!$S$17,Sheet1!$U$17,Sheet1!$W$17,Sheet1!$Y$17,Sheet1!$AA$17,Sheet1!$AA$20,Sheet1!$AA$21,Sheet1!$AA$22,Sheet1!$G$23,Sheet1!$I$23,Sheet1!$K$23,Sheet1!$M$23,Sheet1!$O$23,Sheet1!$Q$23</definedName>
    <definedName name="QB_FORMULA_6" localSheetId="0" hidden="1">Sheet1!$S$23,Sheet1!$U$23,Sheet1!$W$23,Sheet1!$Y$23,Sheet1!$AA$23,Sheet1!$G$24,Sheet1!$I$24,Sheet1!$K$24,Sheet1!$M$24,Sheet1!$O$24,Sheet1!$Q$24,Sheet1!$S$24,Sheet1!$U$24,Sheet1!$W$24,Sheet1!$Y$24,Sheet1!$AA$24</definedName>
    <definedName name="QB_FORMULA_7" localSheetId="0" hidden="1">Sheet1!$G$25,Sheet1!$I$25,Sheet1!$K$25,Sheet1!$M$25,Sheet1!$O$25,Sheet1!$Q$25,Sheet1!$S$25,Sheet1!$U$25,Sheet1!$W$25,Sheet1!$Y$25,Sheet1!$AA$25,Sheet1!$AA$30,Sheet1!$G$31,Sheet1!$I$31,Sheet1!$K$31,Sheet1!$M$31</definedName>
    <definedName name="QB_FORMULA_8" localSheetId="0" hidden="1">Sheet1!$O$31,Sheet1!$Q$31,Sheet1!$S$31,Sheet1!$U$31,Sheet1!$W$31,Sheet1!$Y$31,Sheet1!$AA$31,Sheet1!$AA$35,Sheet1!$G$36,Sheet1!$I$36,Sheet1!$K$36,Sheet1!$M$36,Sheet1!$O$36,Sheet1!$Q$36,Sheet1!$S$36,Sheet1!$U$36</definedName>
    <definedName name="QB_FORMULA_9" localSheetId="0" hidden="1">Sheet1!$W$36,Sheet1!$Y$36,Sheet1!$AA$36,Sheet1!$G$37,Sheet1!$I$37,Sheet1!$K$37,Sheet1!$M$37,Sheet1!$O$37,Sheet1!$Q$37,Sheet1!$S$37,Sheet1!$U$37,Sheet1!$W$37,Sheet1!$Y$37,Sheet1!$AA$37,Sheet1!$G$38,Sheet1!$I$38</definedName>
    <definedName name="QB_ROW_1" localSheetId="0" hidden="1">Sheet1!$A$2</definedName>
    <definedName name="QB_ROW_100020" localSheetId="0" hidden="1">Sheet1!$C$19</definedName>
    <definedName name="QB_ROW_100230" localSheetId="0" hidden="1">Sheet1!$D$22</definedName>
    <definedName name="QB_ROW_10031" localSheetId="0" hidden="1">Sheet1!$D$29</definedName>
    <definedName name="QB_ROW_100320" localSheetId="0" hidden="1">Sheet1!$C$23</definedName>
    <definedName name="QB_ROW_1011" localSheetId="0" hidden="1">Sheet1!$B$3</definedName>
    <definedName name="QB_ROW_10331" localSheetId="0" hidden="1">Sheet1!$D$31</definedName>
    <definedName name="QB_ROW_113230" localSheetId="0" hidden="1">Sheet1!$D$20</definedName>
    <definedName name="QB_ROW_12031" localSheetId="0" hidden="1">Sheet1!$D$32</definedName>
    <definedName name="QB_ROW_123230" localSheetId="0" hidden="1">Sheet1!$D$21</definedName>
    <definedName name="QB_ROW_12331" localSheetId="0" hidden="1">Sheet1!$D$37</definedName>
    <definedName name="QB_ROW_13021" localSheetId="0" hidden="1">Sheet1!$C$39</definedName>
    <definedName name="QB_ROW_1311" localSheetId="0" hidden="1">Sheet1!$B$13</definedName>
    <definedName name="QB_ROW_13321" localSheetId="0" hidden="1">Sheet1!$C$43</definedName>
    <definedName name="QB_ROW_133230" localSheetId="0" hidden="1">Sheet1!$D$11</definedName>
    <definedName name="QB_ROW_137220" localSheetId="0" hidden="1">Sheet1!$C$49</definedName>
    <definedName name="QB_ROW_138220" localSheetId="0" hidden="1">Sheet1!$C$48</definedName>
    <definedName name="QB_ROW_139220" localSheetId="0" hidden="1">Sheet1!$C$47</definedName>
    <definedName name="QB_ROW_14011" localSheetId="0" hidden="1">Sheet1!$B$45</definedName>
    <definedName name="QB_ROW_140220" localSheetId="0" hidden="1">Sheet1!$C$46</definedName>
    <definedName name="QB_ROW_141230" localSheetId="0" hidden="1">Sheet1!$D$41</definedName>
    <definedName name="QB_ROW_142230" localSheetId="0" hidden="1">Sheet1!$D$42</definedName>
    <definedName name="QB_ROW_143030" localSheetId="0" hidden="1">Sheet1!#REF!</definedName>
    <definedName name="QB_ROW_14311" localSheetId="0" hidden="1">Sheet1!$B$53</definedName>
    <definedName name="QB_ROW_143240" localSheetId="0" hidden="1">Sheet1!#REF!</definedName>
    <definedName name="QB_ROW_143330" localSheetId="0" hidden="1">Sheet1!#REF!</definedName>
    <definedName name="QB_ROW_144240" localSheetId="0" hidden="1">Sheet1!#REF!</definedName>
    <definedName name="QB_ROW_145240" localSheetId="0" hidden="1">Sheet1!#REF!</definedName>
    <definedName name="QB_ROW_146240" localSheetId="0" hidden="1">Sheet1!#REF!</definedName>
    <definedName name="QB_ROW_147240" localSheetId="0" hidden="1">Sheet1!#REF!</definedName>
    <definedName name="QB_ROW_149240" localSheetId="0" hidden="1">Sheet1!#REF!</definedName>
    <definedName name="QB_ROW_153240" localSheetId="0" hidden="1">Sheet1!#REF!</definedName>
    <definedName name="QB_ROW_155240" localSheetId="0" hidden="1">Sheet1!#REF!</definedName>
    <definedName name="QB_ROW_159240" localSheetId="0" hidden="1">Sheet1!#REF!</definedName>
    <definedName name="QB_ROW_164240" localSheetId="0" hidden="1">Sheet1!#REF!</definedName>
    <definedName name="QB_ROW_165240" localSheetId="0" hidden="1">Sheet1!#REF!</definedName>
    <definedName name="QB_ROW_169230" localSheetId="0" hidden="1">Sheet1!$D$40</definedName>
    <definedName name="QB_ROW_17221" localSheetId="0" hidden="1">Sheet1!$C$52</definedName>
    <definedName name="QB_ROW_2021" localSheetId="0" hidden="1">Sheet1!$C$4</definedName>
    <definedName name="QB_ROW_2321" localSheetId="0" hidden="1">Sheet1!$C$6</definedName>
    <definedName name="QB_ROW_301" localSheetId="0" hidden="1">Sheet1!$A$25</definedName>
    <definedName name="QB_ROW_3021" localSheetId="0" hidden="1">Sheet1!$C$7</definedName>
    <definedName name="QB_ROW_3220" localSheetId="0" hidden="1">Sheet1!$C$50</definedName>
    <definedName name="QB_ROW_3321" localSheetId="0" hidden="1">Sheet1!$C$9</definedName>
    <definedName name="QB_ROW_34220" localSheetId="0" hidden="1">Sheet1!$C$51</definedName>
    <definedName name="QB_ROW_37040" localSheetId="0" hidden="1">Sheet1!$E$34</definedName>
    <definedName name="QB_ROW_37340" localSheetId="0" hidden="1">Sheet1!$E$36</definedName>
    <definedName name="QB_ROW_4021" localSheetId="0" hidden="1">Sheet1!$C$10</definedName>
    <definedName name="QB_ROW_4321" localSheetId="0" hidden="1">Sheet1!$C$12</definedName>
    <definedName name="QB_ROW_43230" localSheetId="0" hidden="1">Sheet1!$D$5</definedName>
    <definedName name="QB_ROW_5011" localSheetId="0" hidden="1">Sheet1!$B$14</definedName>
    <definedName name="QB_ROW_5311" localSheetId="0" hidden="1">Sheet1!$B$17</definedName>
    <definedName name="QB_ROW_6011" localSheetId="0" hidden="1">Sheet1!$B$18</definedName>
    <definedName name="QB_ROW_6311" localSheetId="0" hidden="1">Sheet1!$B$24</definedName>
    <definedName name="QB_ROW_63201" localSheetId="0" hidden="1">Sheet1!$A$55</definedName>
    <definedName name="QB_ROW_7001" localSheetId="0" hidden="1">Sheet1!$A$26</definedName>
    <definedName name="QB_ROW_7301" localSheetId="0" hidden="1">Sheet1!$A$54</definedName>
    <definedName name="QB_ROW_76220" localSheetId="0" hidden="1">Sheet1!$C$15</definedName>
    <definedName name="QB_ROW_77220" localSheetId="0" hidden="1">Sheet1!$C$16</definedName>
    <definedName name="QB_ROW_79250" localSheetId="0" hidden="1">Sheet1!$F$35</definedName>
    <definedName name="QB_ROW_8011" localSheetId="0" hidden="1">Sheet1!$B$27</definedName>
    <definedName name="QB_ROW_80240" localSheetId="0" hidden="1">Sheet1!$E$30</definedName>
    <definedName name="QB_ROW_82230" localSheetId="0" hidden="1">Sheet1!#REF!</definedName>
    <definedName name="QB_ROW_8311" localSheetId="0" hidden="1">Sheet1!$B$44</definedName>
    <definedName name="QB_ROW_85230" localSheetId="0" hidden="1">Sheet1!$D$8</definedName>
    <definedName name="QB_ROW_86230" localSheetId="0" hidden="1">Sheet1!#REF!</definedName>
    <definedName name="QB_ROW_9021" localSheetId="0" hidden="1">Sheet1!$C$28</definedName>
    <definedName name="QB_ROW_9321" localSheetId="0" hidden="1">Sheet1!$C$38</definedName>
    <definedName name="QB_ROW_93230" localSheetId="0" hidden="1">Sheet1!#REF!</definedName>
    <definedName name="QB_ROW_96230" localSheetId="0" hidden="1">Sheet1!#REF!</definedName>
    <definedName name="QB_ROW_97230" localSheetId="0" hidden="1">Sheet1!#REF!</definedName>
    <definedName name="QBCANSUPPORTUPDATE" localSheetId="0">TRUE</definedName>
    <definedName name="QBCOMPANYFILENAME" localSheetId="0">"C:\Users\Sara\Documents\Iliad Water Company LLC.qbw"</definedName>
    <definedName name="QBENDDATE" localSheetId="0">20160831</definedName>
    <definedName name="QBHEADERSONSCREEN" localSheetId="0">FALSE</definedName>
    <definedName name="QBMETADATASIZE" localSheetId="0">5932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"59e55aefb493447c90cedef54b61fe71"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392</definedName>
    <definedName name="QBROWHEADERS" localSheetId="0">6</definedName>
    <definedName name="QBSTARTDATE" localSheetId="0">20160831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1" i="1" l="1"/>
  <c r="S51" i="1"/>
  <c r="M51" i="1"/>
  <c r="K51" i="1"/>
  <c r="G51" i="1"/>
  <c r="M40" i="1"/>
  <c r="G40" i="1"/>
  <c r="K40" i="1"/>
  <c r="Y40" i="1"/>
  <c r="S40" i="1"/>
  <c r="AA33" i="1"/>
  <c r="Y52" i="1"/>
  <c r="W52" i="1"/>
  <c r="U52" i="1"/>
  <c r="S52" i="1"/>
  <c r="Q52" i="1"/>
  <c r="O52" i="1"/>
  <c r="M52" i="1"/>
  <c r="K52" i="1"/>
  <c r="I52" i="1"/>
  <c r="G52" i="1"/>
  <c r="U15" i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3" i="3"/>
  <c r="D28" i="3" l="1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B30" i="3"/>
  <c r="Y15" i="1" l="1"/>
  <c r="O8" i="1"/>
  <c r="K8" i="1"/>
  <c r="Y23" i="1" l="1"/>
  <c r="Y24" i="1" s="1"/>
  <c r="W23" i="1"/>
  <c r="W24" i="1" s="1"/>
  <c r="U23" i="1"/>
  <c r="U24" i="1" s="1"/>
  <c r="S23" i="1"/>
  <c r="S24" i="1" s="1"/>
  <c r="Q23" i="1"/>
  <c r="Q24" i="1" s="1"/>
  <c r="O23" i="1"/>
  <c r="O24" i="1" s="1"/>
  <c r="M23" i="1"/>
  <c r="M24" i="1" s="1"/>
  <c r="K23" i="1"/>
  <c r="K24" i="1" s="1"/>
  <c r="I23" i="1"/>
  <c r="I24" i="1" s="1"/>
  <c r="G23" i="1"/>
  <c r="G24" i="1" s="1"/>
  <c r="G5" i="1"/>
  <c r="K5" i="1"/>
  <c r="AA5" i="1" s="1"/>
  <c r="M5" i="1"/>
  <c r="I5" i="1"/>
  <c r="S5" i="1"/>
  <c r="W5" i="1"/>
  <c r="Y5" i="1"/>
  <c r="U5" i="1"/>
  <c r="Q5" i="1"/>
  <c r="O5" i="1"/>
  <c r="Y53" i="1"/>
  <c r="W53" i="1"/>
  <c r="S53" i="1"/>
  <c r="Q53" i="1"/>
  <c r="O53" i="1"/>
  <c r="M53" i="1"/>
  <c r="K53" i="1"/>
  <c r="I53" i="1"/>
  <c r="G53" i="1"/>
  <c r="AA51" i="1"/>
  <c r="AA50" i="1"/>
  <c r="AA49" i="1"/>
  <c r="AA48" i="1"/>
  <c r="AA47" i="1"/>
  <c r="AA46" i="1"/>
  <c r="Y43" i="1"/>
  <c r="W43" i="1"/>
  <c r="U43" i="1"/>
  <c r="S43" i="1"/>
  <c r="Q43" i="1"/>
  <c r="O43" i="1"/>
  <c r="M43" i="1"/>
  <c r="K43" i="1"/>
  <c r="I43" i="1"/>
  <c r="G43" i="1"/>
  <c r="AA42" i="1"/>
  <c r="AA41" i="1"/>
  <c r="AA40" i="1"/>
  <c r="Y36" i="1"/>
  <c r="Y37" i="1" s="1"/>
  <c r="W36" i="1"/>
  <c r="W37" i="1" s="1"/>
  <c r="U36" i="1"/>
  <c r="U37" i="1" s="1"/>
  <c r="S36" i="1"/>
  <c r="S37" i="1" s="1"/>
  <c r="Q36" i="1"/>
  <c r="Q37" i="1" s="1"/>
  <c r="O36" i="1"/>
  <c r="O37" i="1" s="1"/>
  <c r="M36" i="1"/>
  <c r="M37" i="1" s="1"/>
  <c r="K36" i="1"/>
  <c r="K37" i="1" s="1"/>
  <c r="I36" i="1"/>
  <c r="I37" i="1" s="1"/>
  <c r="G36" i="1"/>
  <c r="G37" i="1" s="1"/>
  <c r="AA35" i="1"/>
  <c r="Y31" i="1"/>
  <c r="Y38" i="1" s="1"/>
  <c r="W31" i="1"/>
  <c r="W38" i="1" s="1"/>
  <c r="U31" i="1"/>
  <c r="U38" i="1" s="1"/>
  <c r="S31" i="1"/>
  <c r="Q31" i="1"/>
  <c r="Q38" i="1" s="1"/>
  <c r="O31" i="1"/>
  <c r="O38" i="1" s="1"/>
  <c r="M31" i="1"/>
  <c r="M38" i="1" s="1"/>
  <c r="K31" i="1"/>
  <c r="I31" i="1"/>
  <c r="I38" i="1" s="1"/>
  <c r="G31" i="1"/>
  <c r="G38" i="1" s="1"/>
  <c r="AA30" i="1"/>
  <c r="AA22" i="1"/>
  <c r="AA21" i="1"/>
  <c r="AA20" i="1"/>
  <c r="Y17" i="1"/>
  <c r="W17" i="1"/>
  <c r="U17" i="1"/>
  <c r="S17" i="1"/>
  <c r="Q17" i="1"/>
  <c r="O17" i="1"/>
  <c r="M17" i="1"/>
  <c r="K17" i="1"/>
  <c r="I17" i="1"/>
  <c r="G17" i="1"/>
  <c r="AA16" i="1"/>
  <c r="AA15" i="1"/>
  <c r="AA11" i="1"/>
  <c r="Y12" i="1"/>
  <c r="W12" i="1"/>
  <c r="U12" i="1"/>
  <c r="S12" i="1"/>
  <c r="Q12" i="1"/>
  <c r="O12" i="1"/>
  <c r="M12" i="1"/>
  <c r="K12" i="1"/>
  <c r="I12" i="1"/>
  <c r="Y9" i="1"/>
  <c r="W9" i="1"/>
  <c r="U9" i="1"/>
  <c r="S9" i="1"/>
  <c r="Q9" i="1"/>
  <c r="O9" i="1"/>
  <c r="M9" i="1"/>
  <c r="K9" i="1"/>
  <c r="I9" i="1"/>
  <c r="G9" i="1"/>
  <c r="AA8" i="1"/>
  <c r="Y6" i="1"/>
  <c r="W6" i="1"/>
  <c r="U6" i="1"/>
  <c r="S6" i="1"/>
  <c r="Q6" i="1"/>
  <c r="O6" i="1"/>
  <c r="M6" i="1"/>
  <c r="I6" i="1"/>
  <c r="G6" i="1"/>
  <c r="K6" i="1" l="1"/>
  <c r="K38" i="1"/>
  <c r="S38" i="1"/>
  <c r="M13" i="1"/>
  <c r="M25" i="1" s="1"/>
  <c r="K44" i="1"/>
  <c r="K54" i="1" s="1"/>
  <c r="S44" i="1"/>
  <c r="S54" i="1" s="1"/>
  <c r="AA17" i="1"/>
  <c r="AA43" i="1"/>
  <c r="M44" i="1"/>
  <c r="M54" i="1" s="1"/>
  <c r="U44" i="1"/>
  <c r="AA9" i="1"/>
  <c r="AA37" i="1"/>
  <c r="Q13" i="1"/>
  <c r="Q25" i="1" s="1"/>
  <c r="Y13" i="1"/>
  <c r="Y25" i="1" s="1"/>
  <c r="S13" i="1"/>
  <c r="S25" i="1" s="1"/>
  <c r="I44" i="1"/>
  <c r="I54" i="1" s="1"/>
  <c r="Q44" i="1"/>
  <c r="Q54" i="1" s="1"/>
  <c r="Y44" i="1"/>
  <c r="Y54" i="1" s="1"/>
  <c r="I13" i="1"/>
  <c r="I25" i="1" s="1"/>
  <c r="K13" i="1"/>
  <c r="K25" i="1" s="1"/>
  <c r="U13" i="1"/>
  <c r="U25" i="1" s="1"/>
  <c r="O44" i="1"/>
  <c r="O54" i="1" s="1"/>
  <c r="W44" i="1"/>
  <c r="W54" i="1" s="1"/>
  <c r="AA24" i="1"/>
  <c r="W13" i="1"/>
  <c r="W25" i="1" s="1"/>
  <c r="O13" i="1"/>
  <c r="O25" i="1" s="1"/>
  <c r="AA31" i="1"/>
  <c r="AA36" i="1"/>
  <c r="G12" i="1"/>
  <c r="AA12" i="1" s="1"/>
  <c r="AA23" i="1"/>
  <c r="AA6" i="1"/>
  <c r="S55" i="1" l="1"/>
  <c r="Q55" i="1"/>
  <c r="O55" i="1"/>
  <c r="M55" i="1"/>
  <c r="K55" i="1"/>
  <c r="I55" i="1"/>
  <c r="Y55" i="1"/>
  <c r="W55" i="1"/>
  <c r="G13" i="1"/>
  <c r="G44" i="1"/>
  <c r="AA38" i="1"/>
  <c r="AA44" i="1" l="1"/>
  <c r="G54" i="1"/>
  <c r="AA13" i="1"/>
  <c r="G25" i="1"/>
  <c r="AA25" i="1" l="1"/>
  <c r="G55" i="1"/>
  <c r="AA52" i="1" l="1"/>
  <c r="U53" i="1"/>
  <c r="AA53" i="1" l="1"/>
  <c r="U54" i="1"/>
  <c r="U55" i="1" l="1"/>
  <c r="AA55" i="1" s="1"/>
  <c r="AA54" i="1"/>
</calcChain>
</file>

<file path=xl/sharedStrings.xml><?xml version="1.0" encoding="utf-8"?>
<sst xmlns="http://schemas.openxmlformats.org/spreadsheetml/2006/main" count="96" uniqueCount="84">
  <si>
    <t>Alderlake</t>
  </si>
  <si>
    <t>Cascade Crest</t>
  </si>
  <si>
    <t>Cherry Creek</t>
  </si>
  <si>
    <t>Fragaria</t>
  </si>
  <si>
    <t>Hunt I/II</t>
  </si>
  <si>
    <t>Lowper</t>
  </si>
  <si>
    <t>Marbello</t>
  </si>
  <si>
    <t>Stavis I</t>
  </si>
  <si>
    <t>Sunwood</t>
  </si>
  <si>
    <t>TOTAL</t>
  </si>
  <si>
    <t>ASSETS</t>
  </si>
  <si>
    <t>Current Assets</t>
  </si>
  <si>
    <t>Checking/Savings</t>
  </si>
  <si>
    <t>1st Security Checking - 0940</t>
  </si>
  <si>
    <t>Total Checking/Savings</t>
  </si>
  <si>
    <t>Accounts Receivable</t>
  </si>
  <si>
    <t>Water System A/R</t>
  </si>
  <si>
    <t>Total Accounts Receivable</t>
  </si>
  <si>
    <t>Other Current Assets</t>
  </si>
  <si>
    <t>Prepaid Expenses</t>
  </si>
  <si>
    <t>Total Other Current Assets</t>
  </si>
  <si>
    <t>Total Current Assets</t>
  </si>
  <si>
    <t>Fixed Assets</t>
  </si>
  <si>
    <t>Equipment</t>
  </si>
  <si>
    <t>Accumulated Depreciation Equip</t>
  </si>
  <si>
    <t>Total Fixed Assets</t>
  </si>
  <si>
    <t>Other Assets</t>
  </si>
  <si>
    <t>Assessments - Notes Rec</t>
  </si>
  <si>
    <t>Assessment Clearing</t>
  </si>
  <si>
    <t>Assessments - Notes Rec - Other</t>
  </si>
  <si>
    <t>Total Assessments - Notes Rec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</si>
  <si>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</si>
  <si>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</si>
  <si>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</si>
  <si>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</si>
  <si>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</si>
  <si>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</si>
  <si>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</si>
  <si>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</si>
  <si>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Notes Payable</t>
  </si>
  <si>
    <t>Iliad, Inc.</t>
  </si>
  <si>
    <t>Total Notes Payable</t>
  </si>
  <si>
    <t>Total Other Current Liabilities</t>
  </si>
  <si>
    <t>Total Current Liabilities</t>
  </si>
  <si>
    <t>Long Term Liabilities</t>
  </si>
  <si>
    <t>Long Term Debt</t>
  </si>
  <si>
    <t>Contributions in Aid of Constru</t>
  </si>
  <si>
    <t>Accumulated Amortization</t>
  </si>
  <si>
    <t>Total Long Term Liabilities</t>
  </si>
  <si>
    <t>Total Liabilities</t>
  </si>
  <si>
    <t>Equity</t>
  </si>
  <si>
    <t>Other Paid in Capital</t>
  </si>
  <si>
    <t>Capital Stock</t>
  </si>
  <si>
    <t>Preferred Stock</t>
  </si>
  <si>
    <t>Common Stock</t>
  </si>
  <si>
    <t>Opening Balance Equity</t>
  </si>
  <si>
    <t>Retained Earnings</t>
  </si>
  <si>
    <t>Net Income</t>
  </si>
  <si>
    <t>Total Equity</t>
  </si>
  <si>
    <t>TOTAL LIABILITIES &amp; EQUITY</t>
  </si>
  <si>
    <t>UNBALANCED CLASSES</t>
  </si>
  <si>
    <t>Northwest</t>
  </si>
  <si>
    <t>Due to/from water systems</t>
  </si>
  <si>
    <t>Postage Expense</t>
  </si>
  <si>
    <t>Telephone Expense</t>
  </si>
  <si>
    <t>Water Systems</t>
  </si>
  <si>
    <t>85 Acres</t>
  </si>
  <si>
    <t>State/Marysville</t>
  </si>
  <si>
    <t>Cascade</t>
  </si>
  <si>
    <t>Cliftonwood</t>
  </si>
  <si>
    <t>Hunt III</t>
  </si>
  <si>
    <t>Parkwood</t>
  </si>
  <si>
    <t>Skyview</t>
  </si>
  <si>
    <t>Stavis I&amp;II</t>
  </si>
  <si>
    <t>Stilliridge</t>
  </si>
  <si>
    <t>Suddenview</t>
  </si>
  <si>
    <t>Sunland Shores</t>
  </si>
  <si>
    <t>Sunnyhills</t>
  </si>
  <si>
    <t>Tala Pt</t>
  </si>
  <si>
    <t>Vashon</t>
  </si>
  <si>
    <t>Vista Glen</t>
  </si>
  <si>
    <t>Postage Allocation</t>
  </si>
  <si>
    <t>Telephone Allocation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</si>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</sst>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1" xfId="0" applyNumberFormat="1" applyFont="1" applyBorder="1"/>
    <xf numFmtId="0" fontId="0" fillId="0" borderId="0" xfId="0" applyAlignment="1">
      <alignment horizontal="center" wrapText="1"/>
    </xf>
    <xf numFmtId="44" fontId="0" fillId="0" borderId="0" xfId="2" applyFont="1"/>
    <xf numFmtId="4" fontId="0" fillId="0" borderId="0" xfId="0" applyNumberFormat="1"/>
    <xf numFmtId="164" fontId="2" fillId="2" borderId="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resdrm-my.sharepoint.com/personal/sara_dorland_ceresdrm_com/Documents/Water%20Systems/Financial%20Review/WUTC%202016%20Files/0831%20YTD%20IS%20Regul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Export Tips"/>
      <sheetName val="Sheet1"/>
    </sheetNames>
    <sheetDataSet>
      <sheetData sheetId="0"/>
      <sheetData sheetId="1">
        <row r="53">
          <cell r="G53">
            <v>-2935.2351100000001</v>
          </cell>
          <cell r="I53">
            <v>-9321.1761600000009</v>
          </cell>
          <cell r="K53">
            <v>-26228.437989999999</v>
          </cell>
          <cell r="M53">
            <v>-32411.67642</v>
          </cell>
          <cell r="O53">
            <v>-6239.2648900000004</v>
          </cell>
          <cell r="Q53">
            <v>-137.26748000000001</v>
          </cell>
          <cell r="S53">
            <v>-51693.554989999997</v>
          </cell>
          <cell r="U53">
            <v>-17515.124589999999</v>
          </cell>
          <cell r="W53">
            <v>-12675.41012</v>
          </cell>
          <cell r="Y53">
            <v>-30125.43633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5"/>
  <sheetViews>
    <sheetView tabSelected="1" workbookViewId="0">
      <pane xSplit="6" ySplit="1" topLeftCell="G32" activePane="bottomRight" state="frozenSplit"/>
      <selection pane="topRight" activeCell="G1" sqref="G1"/>
      <selection pane="bottomLeft" activeCell="A2" sqref="A2"/>
      <selection pane="bottomRight" activeCell="AA50" sqref="AA50"/>
    </sheetView>
  </sheetViews>
  <sheetFormatPr defaultRowHeight="15" x14ac:dyDescent="0.25"/>
  <cols>
    <col min="1" max="5" width="2.85546875" style="14" customWidth="1"/>
    <col min="6" max="6" width="19.85546875" style="14" customWidth="1"/>
    <col min="7" max="7" width="8.7109375" style="15" bestFit="1" customWidth="1"/>
    <col min="8" max="8" width="2.140625" style="15" customWidth="1"/>
    <col min="9" max="9" width="10.5703125" style="15" bestFit="1" customWidth="1"/>
    <col min="10" max="10" width="2.140625" style="15" customWidth="1"/>
    <col min="11" max="11" width="9.7109375" style="15" bestFit="1" customWidth="1"/>
    <col min="12" max="12" width="2.140625" style="15" customWidth="1"/>
    <col min="13" max="13" width="9.28515625" style="15" bestFit="1" customWidth="1"/>
    <col min="14" max="14" width="2.140625" style="15" customWidth="1"/>
    <col min="15" max="15" width="8.42578125" style="15" bestFit="1" customWidth="1"/>
    <col min="16" max="16" width="2.140625" style="15" customWidth="1"/>
    <col min="17" max="17" width="8.7109375" style="15" bestFit="1" customWidth="1"/>
    <col min="18" max="18" width="2.140625" style="15" customWidth="1"/>
    <col min="19" max="19" width="9.28515625" style="15" bestFit="1" customWidth="1"/>
    <col min="20" max="20" width="2.140625" style="15" customWidth="1"/>
    <col min="21" max="21" width="8.42578125" style="15" bestFit="1" customWidth="1"/>
    <col min="22" max="22" width="2.140625" style="15" customWidth="1"/>
    <col min="23" max="23" width="9.28515625" style="15" bestFit="1" customWidth="1"/>
    <col min="24" max="24" width="2.140625" style="15" customWidth="1"/>
    <col min="25" max="25" width="8.7109375" style="15" bestFit="1" customWidth="1"/>
    <col min="26" max="26" width="2.140625" style="15" customWidth="1"/>
    <col min="27" max="27" width="10" style="15" bestFit="1" customWidth="1"/>
    <col min="29" max="29" width="9.7109375" bestFit="1" customWidth="1"/>
  </cols>
  <sheetData>
    <row r="1" spans="1:27" s="13" customFormat="1" ht="15.75" thickBot="1" x14ac:dyDescent="0.3">
      <c r="A1" s="10"/>
      <c r="B1" s="10"/>
      <c r="C1" s="10"/>
      <c r="D1" s="10"/>
      <c r="E1" s="10"/>
      <c r="F1" s="10"/>
      <c r="G1" s="11" t="s">
        <v>0</v>
      </c>
      <c r="H1" s="12"/>
      <c r="I1" s="11" t="s">
        <v>1</v>
      </c>
      <c r="J1" s="12"/>
      <c r="K1" s="11" t="s">
        <v>2</v>
      </c>
      <c r="L1" s="12"/>
      <c r="M1" s="11" t="s">
        <v>3</v>
      </c>
      <c r="N1" s="12"/>
      <c r="O1" s="11" t="s">
        <v>4</v>
      </c>
      <c r="P1" s="12"/>
      <c r="Q1" s="11" t="s">
        <v>5</v>
      </c>
      <c r="R1" s="12"/>
      <c r="S1" s="11" t="s">
        <v>6</v>
      </c>
      <c r="T1" s="12"/>
      <c r="U1" s="11" t="s">
        <v>7</v>
      </c>
      <c r="V1" s="12"/>
      <c r="W1" s="11" t="s">
        <v>61</v>
      </c>
      <c r="X1" s="12"/>
      <c r="Y1" s="11" t="s">
        <v>8</v>
      </c>
      <c r="Z1" s="12"/>
      <c r="AA1" s="11" t="s">
        <v>9</v>
      </c>
    </row>
    <row r="2" spans="1:27" ht="15.75" thickTop="1" x14ac:dyDescent="0.25">
      <c r="A2" s="1" t="s">
        <v>10</v>
      </c>
      <c r="B2" s="1"/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</row>
    <row r="3" spans="1:27" x14ac:dyDescent="0.25">
      <c r="A3" s="1"/>
      <c r="B3" s="1" t="s">
        <v>11</v>
      </c>
      <c r="C3" s="1"/>
      <c r="D3" s="1"/>
      <c r="E3" s="1"/>
      <c r="F3" s="1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</row>
    <row r="4" spans="1:27" x14ac:dyDescent="0.25">
      <c r="A4" s="1"/>
      <c r="B4" s="1"/>
      <c r="C4" s="1" t="s">
        <v>12</v>
      </c>
      <c r="D4" s="1"/>
      <c r="E4" s="1"/>
      <c r="F4" s="1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</row>
    <row r="5" spans="1:27" x14ac:dyDescent="0.25">
      <c r="A5" s="1"/>
      <c r="B5" s="1"/>
      <c r="C5" s="1"/>
      <c r="D5" s="1" t="s">
        <v>13</v>
      </c>
      <c r="E5" s="1"/>
      <c r="F5" s="1"/>
      <c r="G5" s="16">
        <f>-13324.9+41693.35</f>
        <v>28368.449999999997</v>
      </c>
      <c r="H5" s="3"/>
      <c r="I5" s="16">
        <f>-15403.94+17093.95</f>
        <v>1690.0100000000002</v>
      </c>
      <c r="J5" s="3"/>
      <c r="K5" s="16">
        <f>-21911.37+24116.03</f>
        <v>2204.66</v>
      </c>
      <c r="L5" s="3"/>
      <c r="M5" s="16">
        <f>-36980.36+47278.36</f>
        <v>10298</v>
      </c>
      <c r="N5" s="3"/>
      <c r="O5" s="16">
        <f>-7578.86+13922.35</f>
        <v>6343.4900000000007</v>
      </c>
      <c r="P5" s="3"/>
      <c r="Q5" s="16">
        <f>-4327.68+6840.53</f>
        <v>2512.8499999999995</v>
      </c>
      <c r="R5" s="3"/>
      <c r="S5" s="16">
        <f>-82512.6+60374.76</f>
        <v>-22137.840000000004</v>
      </c>
      <c r="T5" s="3"/>
      <c r="U5" s="16">
        <f>-10515.62+5512.12</f>
        <v>-5003.5000000000009</v>
      </c>
      <c r="V5" s="3"/>
      <c r="W5" s="16">
        <f>-24414.5+27574.51</f>
        <v>3160.0099999999984</v>
      </c>
      <c r="X5" s="3"/>
      <c r="Y5" s="16">
        <f>-39758.21+43876.26</f>
        <v>4118.0500000000029</v>
      </c>
      <c r="Z5" s="3"/>
      <c r="AA5" s="16">
        <f>ROUND(SUM(G5:Y5),5)</f>
        <v>31554.18</v>
      </c>
    </row>
    <row r="6" spans="1:27" x14ac:dyDescent="0.25">
      <c r="A6" s="1"/>
      <c r="B6" s="1"/>
      <c r="C6" s="1" t="s">
        <v>14</v>
      </c>
      <c r="D6" s="1"/>
      <c r="E6" s="1"/>
      <c r="F6" s="1"/>
      <c r="G6" s="2">
        <f>ROUND(SUM(G4:G5),5)</f>
        <v>28368.45</v>
      </c>
      <c r="H6" s="3"/>
      <c r="I6" s="2">
        <f>ROUND(SUM(I4:I5),5)</f>
        <v>1690.01</v>
      </c>
      <c r="J6" s="3"/>
      <c r="K6" s="2">
        <f>ROUND(SUM(K4:K5),5)</f>
        <v>2204.66</v>
      </c>
      <c r="L6" s="3"/>
      <c r="M6" s="2">
        <f>ROUND(SUM(M4:M5),5)</f>
        <v>10298</v>
      </c>
      <c r="N6" s="3"/>
      <c r="O6" s="2">
        <f>ROUND(SUM(O4:O5),5)</f>
        <v>6343.49</v>
      </c>
      <c r="P6" s="3"/>
      <c r="Q6" s="2">
        <f>ROUND(SUM(Q4:Q5),5)</f>
        <v>2512.85</v>
      </c>
      <c r="R6" s="3"/>
      <c r="S6" s="2">
        <f>ROUND(SUM(S4:S5),5)</f>
        <v>-22137.84</v>
      </c>
      <c r="T6" s="3"/>
      <c r="U6" s="2">
        <f>ROUND(SUM(U4:U5),5)</f>
        <v>-5003.5</v>
      </c>
      <c r="V6" s="3"/>
      <c r="W6" s="2">
        <f>ROUND(SUM(W4:W5),5)</f>
        <v>3160.01</v>
      </c>
      <c r="X6" s="3"/>
      <c r="Y6" s="2">
        <f>ROUND(SUM(Y4:Y5),5)</f>
        <v>4118.05</v>
      </c>
      <c r="Z6" s="3"/>
      <c r="AA6" s="2">
        <f>ROUND(SUM(G6:Y6),5)</f>
        <v>31554.18</v>
      </c>
    </row>
    <row r="7" spans="1:27" x14ac:dyDescent="0.25">
      <c r="A7" s="1"/>
      <c r="B7" s="1"/>
      <c r="C7" s="1" t="s">
        <v>15</v>
      </c>
      <c r="D7" s="1"/>
      <c r="E7" s="1"/>
      <c r="F7" s="1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</row>
    <row r="8" spans="1:27" ht="15.75" thickBot="1" x14ac:dyDescent="0.3">
      <c r="A8" s="1"/>
      <c r="B8" s="1"/>
      <c r="C8" s="1"/>
      <c r="D8" s="1" t="s">
        <v>16</v>
      </c>
      <c r="E8" s="1"/>
      <c r="F8" s="1"/>
      <c r="G8" s="4">
        <v>18941.310000000001</v>
      </c>
      <c r="H8" s="3"/>
      <c r="I8" s="4">
        <v>2404.11</v>
      </c>
      <c r="J8" s="3"/>
      <c r="K8" s="4">
        <f>66.78+2940.11</f>
        <v>3006.8900000000003</v>
      </c>
      <c r="L8" s="3"/>
      <c r="M8" s="4">
        <v>13574.15</v>
      </c>
      <c r="N8" s="3"/>
      <c r="O8" s="4">
        <f>1338.25+11701.28</f>
        <v>13039.53</v>
      </c>
      <c r="P8" s="3"/>
      <c r="Q8" s="4">
        <v>2477.14</v>
      </c>
      <c r="R8" s="3"/>
      <c r="S8" s="4">
        <v>16721.080000000002</v>
      </c>
      <c r="T8" s="3"/>
      <c r="U8" s="4">
        <v>16871.669999999998</v>
      </c>
      <c r="V8" s="3"/>
      <c r="W8" s="4">
        <v>4483.5600000000004</v>
      </c>
      <c r="X8" s="3"/>
      <c r="Y8" s="4">
        <v>5299.22</v>
      </c>
      <c r="Z8" s="3"/>
      <c r="AA8" s="4">
        <f>ROUND(SUM(G8:Y8),5)</f>
        <v>96818.66</v>
      </c>
    </row>
    <row r="9" spans="1:27" x14ac:dyDescent="0.25">
      <c r="A9" s="1"/>
      <c r="B9" s="1"/>
      <c r="C9" s="1" t="s">
        <v>17</v>
      </c>
      <c r="D9" s="1"/>
      <c r="E9" s="1"/>
      <c r="F9" s="1"/>
      <c r="G9" s="2">
        <f>ROUND(SUM(G7:G8),5)</f>
        <v>18941.310000000001</v>
      </c>
      <c r="H9" s="3"/>
      <c r="I9" s="2">
        <f>ROUND(SUM(I7:I8),5)</f>
        <v>2404.11</v>
      </c>
      <c r="J9" s="3"/>
      <c r="K9" s="2">
        <f>ROUND(SUM(K7:K8),5)</f>
        <v>3006.89</v>
      </c>
      <c r="L9" s="3"/>
      <c r="M9" s="2">
        <f>ROUND(SUM(M7:M8),5)</f>
        <v>13574.15</v>
      </c>
      <c r="N9" s="3"/>
      <c r="O9" s="2">
        <f>ROUND(SUM(O7:O8),5)</f>
        <v>13039.53</v>
      </c>
      <c r="P9" s="3"/>
      <c r="Q9" s="2">
        <f>ROUND(SUM(Q7:Q8),5)</f>
        <v>2477.14</v>
      </c>
      <c r="R9" s="3"/>
      <c r="S9" s="2">
        <f>ROUND(SUM(S7:S8),5)</f>
        <v>16721.080000000002</v>
      </c>
      <c r="T9" s="3"/>
      <c r="U9" s="2">
        <f>ROUND(SUM(U7:U8),5)</f>
        <v>16871.669999999998</v>
      </c>
      <c r="V9" s="3"/>
      <c r="W9" s="2">
        <f>ROUND(SUM(W7:W8),5)</f>
        <v>4483.5600000000004</v>
      </c>
      <c r="X9" s="3"/>
      <c r="Y9" s="2">
        <f>ROUND(SUM(Y7:Y8),5)</f>
        <v>5299.22</v>
      </c>
      <c r="Z9" s="3"/>
      <c r="AA9" s="2">
        <f>ROUND(SUM(G9:Y9),5)</f>
        <v>96818.66</v>
      </c>
    </row>
    <row r="10" spans="1:27" x14ac:dyDescent="0.25">
      <c r="A10" s="1"/>
      <c r="B10" s="1"/>
      <c r="C10" s="1" t="s">
        <v>18</v>
      </c>
      <c r="D10" s="1"/>
      <c r="E10" s="1"/>
      <c r="F10" s="1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</row>
    <row r="11" spans="1:27" ht="15.75" thickBot="1" x14ac:dyDescent="0.3">
      <c r="A11" s="1"/>
      <c r="B11" s="1"/>
      <c r="C11" s="1"/>
      <c r="D11" s="1" t="s">
        <v>19</v>
      </c>
      <c r="E11" s="1"/>
      <c r="F11" s="1"/>
      <c r="G11" s="5">
        <v>120</v>
      </c>
      <c r="H11" s="3"/>
      <c r="I11" s="5">
        <v>90</v>
      </c>
      <c r="J11" s="3"/>
      <c r="K11" s="5">
        <v>180</v>
      </c>
      <c r="L11" s="3"/>
      <c r="M11" s="5">
        <v>300</v>
      </c>
      <c r="N11" s="3"/>
      <c r="O11" s="5">
        <v>90</v>
      </c>
      <c r="P11" s="3"/>
      <c r="Q11" s="5">
        <v>-3</v>
      </c>
      <c r="R11" s="3"/>
      <c r="S11" s="5">
        <v>360</v>
      </c>
      <c r="T11" s="3"/>
      <c r="U11" s="5">
        <v>30</v>
      </c>
      <c r="V11" s="3"/>
      <c r="W11" s="5">
        <v>150</v>
      </c>
      <c r="X11" s="3"/>
      <c r="Y11" s="5">
        <v>480</v>
      </c>
      <c r="Z11" s="3"/>
      <c r="AA11" s="5">
        <f>ROUND(SUM(G11:Y11),5)</f>
        <v>1797</v>
      </c>
    </row>
    <row r="12" spans="1:27" ht="15.75" thickBot="1" x14ac:dyDescent="0.3">
      <c r="A12" s="1"/>
      <c r="B12" s="1"/>
      <c r="C12" s="1" t="s">
        <v>20</v>
      </c>
      <c r="D12" s="1"/>
      <c r="E12" s="1"/>
      <c r="F12" s="1"/>
      <c r="G12" s="6">
        <f>ROUND(G10+SUM(G11:G11),5)</f>
        <v>120</v>
      </c>
      <c r="H12" s="3"/>
      <c r="I12" s="6">
        <f>ROUND(I10+SUM(I11:I11),5)</f>
        <v>90</v>
      </c>
      <c r="J12" s="3"/>
      <c r="K12" s="6">
        <f>ROUND(K10+SUM(K11:K11),5)</f>
        <v>180</v>
      </c>
      <c r="L12" s="3"/>
      <c r="M12" s="6">
        <f>ROUND(M10+SUM(M11:M11),5)</f>
        <v>300</v>
      </c>
      <c r="N12" s="3"/>
      <c r="O12" s="6">
        <f>ROUND(O10+SUM(O11:O11),5)</f>
        <v>90</v>
      </c>
      <c r="P12" s="3"/>
      <c r="Q12" s="6">
        <f>ROUND(Q10+SUM(Q11:Q11),5)</f>
        <v>-3</v>
      </c>
      <c r="R12" s="3"/>
      <c r="S12" s="6">
        <f>ROUND(S10+SUM(S11:S11),5)</f>
        <v>360</v>
      </c>
      <c r="T12" s="3"/>
      <c r="U12" s="6">
        <f>ROUND(U10+SUM(U11:U11),5)</f>
        <v>30</v>
      </c>
      <c r="V12" s="3"/>
      <c r="W12" s="6">
        <f>ROUND(W10+SUM(W11:W11),5)</f>
        <v>150</v>
      </c>
      <c r="X12" s="3"/>
      <c r="Y12" s="6">
        <f>ROUND(Y10+SUM(Y11:Y11),5)</f>
        <v>480</v>
      </c>
      <c r="Z12" s="3"/>
      <c r="AA12" s="6">
        <f>ROUND(SUM(G12:Y12),5)</f>
        <v>1797</v>
      </c>
    </row>
    <row r="13" spans="1:27" x14ac:dyDescent="0.25">
      <c r="A13" s="1"/>
      <c r="B13" s="1" t="s">
        <v>21</v>
      </c>
      <c r="C13" s="1"/>
      <c r="D13" s="1"/>
      <c r="E13" s="1"/>
      <c r="F13" s="1"/>
      <c r="G13" s="2">
        <f>ROUND(G3+G6+G9+G12,5)</f>
        <v>47429.760000000002</v>
      </c>
      <c r="H13" s="3"/>
      <c r="I13" s="2">
        <f>ROUND(I3+I6+I9+I12,5)</f>
        <v>4184.12</v>
      </c>
      <c r="J13" s="3"/>
      <c r="K13" s="2">
        <f>ROUND(K3+K6+K9+K12,5)</f>
        <v>5391.55</v>
      </c>
      <c r="L13" s="3"/>
      <c r="M13" s="2">
        <f>ROUND(M3+M6+M9+M12,5)</f>
        <v>24172.15</v>
      </c>
      <c r="N13" s="3"/>
      <c r="O13" s="2">
        <f>ROUND(O3+O6+O9+O12,5)</f>
        <v>19473.02</v>
      </c>
      <c r="P13" s="3"/>
      <c r="Q13" s="2">
        <f>ROUND(Q3+Q6+Q9+Q12,5)</f>
        <v>4986.99</v>
      </c>
      <c r="R13" s="3"/>
      <c r="S13" s="2">
        <f>ROUND(S3+S6+S9+S12,5)</f>
        <v>-5056.76</v>
      </c>
      <c r="T13" s="3"/>
      <c r="U13" s="2">
        <f>ROUND(U3+U6+U9+U12,5)</f>
        <v>11898.17</v>
      </c>
      <c r="V13" s="3"/>
      <c r="W13" s="2">
        <f>ROUND(W3+W6+W9+W12,5)</f>
        <v>7793.57</v>
      </c>
      <c r="X13" s="3"/>
      <c r="Y13" s="2">
        <f>ROUND(Y3+Y6+Y9+Y12,5)</f>
        <v>9897.27</v>
      </c>
      <c r="Z13" s="3"/>
      <c r="AA13" s="2">
        <f>ROUND(SUM(G13:Y13),5)</f>
        <v>130169.84</v>
      </c>
    </row>
    <row r="14" spans="1:27" x14ac:dyDescent="0.25">
      <c r="A14" s="1"/>
      <c r="B14" s="1" t="s">
        <v>22</v>
      </c>
      <c r="C14" s="1"/>
      <c r="D14" s="1"/>
      <c r="E14" s="1"/>
      <c r="F14" s="1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</row>
    <row r="15" spans="1:27" x14ac:dyDescent="0.25">
      <c r="A15" s="1"/>
      <c r="B15" s="1"/>
      <c r="C15" s="1" t="s">
        <v>23</v>
      </c>
      <c r="D15" s="1"/>
      <c r="E15" s="1"/>
      <c r="F15" s="1"/>
      <c r="G15" s="2">
        <v>456038</v>
      </c>
      <c r="H15" s="3"/>
      <c r="I15" s="2">
        <v>26692</v>
      </c>
      <c r="J15" s="3"/>
      <c r="K15" s="2">
        <v>282890</v>
      </c>
      <c r="L15" s="3"/>
      <c r="M15" s="2">
        <v>418265</v>
      </c>
      <c r="N15" s="3"/>
      <c r="O15" s="2">
        <v>35749</v>
      </c>
      <c r="P15" s="3"/>
      <c r="Q15" s="2">
        <v>215387</v>
      </c>
      <c r="R15" s="3"/>
      <c r="S15" s="2">
        <v>197992</v>
      </c>
      <c r="T15" s="3"/>
      <c r="U15" s="2">
        <f>2297.7730726+30726</f>
        <v>33023.773072600001</v>
      </c>
      <c r="V15" s="3"/>
      <c r="W15" s="2">
        <v>78004</v>
      </c>
      <c r="X15" s="3"/>
      <c r="Y15" s="2">
        <f>316263+1971.18</f>
        <v>318234.18</v>
      </c>
      <c r="Z15" s="3"/>
      <c r="AA15" s="2">
        <f>ROUND(SUM(G15:Y15),5)</f>
        <v>2062274.95307</v>
      </c>
    </row>
    <row r="16" spans="1:27" ht="15.75" thickBot="1" x14ac:dyDescent="0.3">
      <c r="A16" s="1"/>
      <c r="B16" s="1"/>
      <c r="C16" s="1" t="s">
        <v>24</v>
      </c>
      <c r="D16" s="1"/>
      <c r="E16" s="1"/>
      <c r="F16" s="1"/>
      <c r="G16" s="4">
        <v>-85528</v>
      </c>
      <c r="H16" s="3"/>
      <c r="I16" s="4">
        <v>-17887</v>
      </c>
      <c r="J16" s="3"/>
      <c r="K16" s="4">
        <v>-167964</v>
      </c>
      <c r="L16" s="3"/>
      <c r="M16" s="4">
        <v>-190370</v>
      </c>
      <c r="N16" s="3"/>
      <c r="O16" s="4">
        <v>-23188</v>
      </c>
      <c r="P16" s="3"/>
      <c r="Q16" s="4">
        <v>-75152</v>
      </c>
      <c r="R16" s="3"/>
      <c r="S16" s="4">
        <v>-120738</v>
      </c>
      <c r="T16" s="3"/>
      <c r="U16" s="4">
        <v>-15613</v>
      </c>
      <c r="V16" s="3"/>
      <c r="W16" s="4">
        <v>-37986</v>
      </c>
      <c r="X16" s="3"/>
      <c r="Y16" s="4">
        <v>-56609</v>
      </c>
      <c r="Z16" s="3"/>
      <c r="AA16" s="4">
        <f>ROUND(SUM(G16:Y16),5)</f>
        <v>-791035</v>
      </c>
    </row>
    <row r="17" spans="1:27" x14ac:dyDescent="0.25">
      <c r="A17" s="1"/>
      <c r="B17" s="1" t="s">
        <v>25</v>
      </c>
      <c r="C17" s="1"/>
      <c r="D17" s="1"/>
      <c r="E17" s="1"/>
      <c r="F17" s="1"/>
      <c r="G17" s="2">
        <f>ROUND(SUM(G14:G16),5)</f>
        <v>370510</v>
      </c>
      <c r="H17" s="3"/>
      <c r="I17" s="2">
        <f>ROUND(SUM(I14:I16),5)</f>
        <v>8805</v>
      </c>
      <c r="J17" s="3"/>
      <c r="K17" s="2">
        <f>ROUND(SUM(K14:K16),5)</f>
        <v>114926</v>
      </c>
      <c r="L17" s="3"/>
      <c r="M17" s="2">
        <f>ROUND(SUM(M14:M16),5)</f>
        <v>227895</v>
      </c>
      <c r="N17" s="3"/>
      <c r="O17" s="2">
        <f>ROUND(SUM(O14:O16),5)</f>
        <v>12561</v>
      </c>
      <c r="P17" s="3"/>
      <c r="Q17" s="2">
        <f>ROUND(SUM(Q14:Q16),5)</f>
        <v>140235</v>
      </c>
      <c r="R17" s="3"/>
      <c r="S17" s="2">
        <f>ROUND(SUM(S14:S16),5)</f>
        <v>77254</v>
      </c>
      <c r="T17" s="3"/>
      <c r="U17" s="2">
        <f>ROUND(SUM(U14:U16),5)</f>
        <v>17410.773069999999</v>
      </c>
      <c r="V17" s="3"/>
      <c r="W17" s="2">
        <f>ROUND(SUM(W14:W16),5)</f>
        <v>40018</v>
      </c>
      <c r="X17" s="3"/>
      <c r="Y17" s="2">
        <f>ROUND(SUM(Y14:Y16),5)</f>
        <v>261625.18</v>
      </c>
      <c r="Z17" s="3"/>
      <c r="AA17" s="2">
        <f>ROUND(SUM(G17:Y17),5)</f>
        <v>1271239.95307</v>
      </c>
    </row>
    <row r="18" spans="1:27" x14ac:dyDescent="0.25">
      <c r="A18" s="1"/>
      <c r="B18" s="1" t="s">
        <v>26</v>
      </c>
      <c r="C18" s="1"/>
      <c r="D18" s="1"/>
      <c r="E18" s="1"/>
      <c r="F18" s="1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</row>
    <row r="19" spans="1:27" x14ac:dyDescent="0.25">
      <c r="A19" s="1"/>
      <c r="B19" s="1"/>
      <c r="C19" s="1" t="s">
        <v>27</v>
      </c>
      <c r="D19" s="1"/>
      <c r="E19" s="1"/>
      <c r="F19" s="1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</row>
    <row r="20" spans="1:27" x14ac:dyDescent="0.25">
      <c r="A20" s="1"/>
      <c r="B20" s="1"/>
      <c r="C20" s="1"/>
      <c r="D20" s="1" t="s">
        <v>0</v>
      </c>
      <c r="E20" s="1"/>
      <c r="F20" s="1"/>
      <c r="G20" s="2">
        <v>-9013.0499999999993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0</v>
      </c>
      <c r="Z20" s="3"/>
      <c r="AA20" s="2">
        <f t="shared" ref="AA20:AA25" si="0">ROUND(SUM(G20:Y20),5)</f>
        <v>-9013.0499999999993</v>
      </c>
    </row>
    <row r="21" spans="1:27" x14ac:dyDescent="0.25">
      <c r="A21" s="1"/>
      <c r="B21" s="1"/>
      <c r="C21" s="1"/>
      <c r="D21" s="1" t="s">
        <v>28</v>
      </c>
      <c r="E21" s="1"/>
      <c r="F21" s="1"/>
      <c r="G21" s="2">
        <v>-3928.48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0</v>
      </c>
      <c r="V21" s="3"/>
      <c r="W21" s="2">
        <v>0</v>
      </c>
      <c r="X21" s="3"/>
      <c r="Y21" s="2">
        <v>0</v>
      </c>
      <c r="Z21" s="3"/>
      <c r="AA21" s="2">
        <f t="shared" si="0"/>
        <v>-3928.48</v>
      </c>
    </row>
    <row r="22" spans="1:27" ht="15.75" thickBot="1" x14ac:dyDescent="0.3">
      <c r="A22" s="1"/>
      <c r="B22" s="1"/>
      <c r="C22" s="1"/>
      <c r="D22" s="1" t="s">
        <v>29</v>
      </c>
      <c r="E22" s="1"/>
      <c r="F22" s="1"/>
      <c r="G22" s="5">
        <v>54281.46</v>
      </c>
      <c r="H22" s="3"/>
      <c r="I22" s="5">
        <v>0</v>
      </c>
      <c r="J22" s="3"/>
      <c r="K22" s="5">
        <v>0</v>
      </c>
      <c r="L22" s="3"/>
      <c r="M22" s="5">
        <v>0</v>
      </c>
      <c r="N22" s="3"/>
      <c r="O22" s="5">
        <v>0</v>
      </c>
      <c r="P22" s="3"/>
      <c r="Q22" s="5">
        <v>0</v>
      </c>
      <c r="R22" s="3"/>
      <c r="S22" s="5">
        <v>0</v>
      </c>
      <c r="T22" s="3"/>
      <c r="U22" s="5">
        <v>0</v>
      </c>
      <c r="V22" s="3"/>
      <c r="W22" s="5">
        <v>0</v>
      </c>
      <c r="X22" s="3"/>
      <c r="Y22" s="5">
        <v>0</v>
      </c>
      <c r="Z22" s="3"/>
      <c r="AA22" s="5">
        <f t="shared" si="0"/>
        <v>54281.46</v>
      </c>
    </row>
    <row r="23" spans="1:27" ht="15.75" thickBot="1" x14ac:dyDescent="0.3">
      <c r="A23" s="1"/>
      <c r="B23" s="1"/>
      <c r="C23" s="1" t="s">
        <v>30</v>
      </c>
      <c r="D23" s="1"/>
      <c r="E23" s="1"/>
      <c r="F23" s="1"/>
      <c r="G23" s="7">
        <f>ROUND(SUM(G19:G22),5)</f>
        <v>41339.93</v>
      </c>
      <c r="H23" s="3"/>
      <c r="I23" s="7">
        <f>ROUND(SUM(I19:I22),5)</f>
        <v>0</v>
      </c>
      <c r="J23" s="3"/>
      <c r="K23" s="7">
        <f>ROUND(SUM(K19:K22),5)</f>
        <v>0</v>
      </c>
      <c r="L23" s="3"/>
      <c r="M23" s="7">
        <f>ROUND(SUM(M19:M22),5)</f>
        <v>0</v>
      </c>
      <c r="N23" s="3"/>
      <c r="O23" s="7">
        <f>ROUND(SUM(O19:O22),5)</f>
        <v>0</v>
      </c>
      <c r="P23" s="3"/>
      <c r="Q23" s="7">
        <f>ROUND(SUM(Q19:Q22),5)</f>
        <v>0</v>
      </c>
      <c r="R23" s="3"/>
      <c r="S23" s="7">
        <f>ROUND(SUM(S19:S22),5)</f>
        <v>0</v>
      </c>
      <c r="T23" s="3"/>
      <c r="U23" s="7">
        <f>ROUND(SUM(U19:U22),5)</f>
        <v>0</v>
      </c>
      <c r="V23" s="3"/>
      <c r="W23" s="7">
        <f>ROUND(SUM(W19:W22),5)</f>
        <v>0</v>
      </c>
      <c r="X23" s="3"/>
      <c r="Y23" s="7">
        <f>ROUND(SUM(Y19:Y22),5)</f>
        <v>0</v>
      </c>
      <c r="Z23" s="3"/>
      <c r="AA23" s="7">
        <f t="shared" si="0"/>
        <v>41339.93</v>
      </c>
    </row>
    <row r="24" spans="1:27" ht="15.75" thickBot="1" x14ac:dyDescent="0.3">
      <c r="A24" s="1"/>
      <c r="B24" s="1" t="s">
        <v>31</v>
      </c>
      <c r="C24" s="1"/>
      <c r="D24" s="1"/>
      <c r="E24" s="1"/>
      <c r="F24" s="1"/>
      <c r="G24" s="7">
        <f>ROUND(G18+G23,5)</f>
        <v>41339.93</v>
      </c>
      <c r="H24" s="3"/>
      <c r="I24" s="7">
        <f>ROUND(I18+I23,5)</f>
        <v>0</v>
      </c>
      <c r="J24" s="3"/>
      <c r="K24" s="7">
        <f>ROUND(K18+K23,5)</f>
        <v>0</v>
      </c>
      <c r="L24" s="3"/>
      <c r="M24" s="7">
        <f>ROUND(M18+M23,5)</f>
        <v>0</v>
      </c>
      <c r="N24" s="3"/>
      <c r="O24" s="7">
        <f>ROUND(O18+O23,5)</f>
        <v>0</v>
      </c>
      <c r="P24" s="3"/>
      <c r="Q24" s="7">
        <f>ROUND(Q18+Q23,5)</f>
        <v>0</v>
      </c>
      <c r="R24" s="3"/>
      <c r="S24" s="7">
        <f>ROUND(S18+S23,5)</f>
        <v>0</v>
      </c>
      <c r="T24" s="3"/>
      <c r="U24" s="7">
        <f>ROUND(U18+U23,5)</f>
        <v>0</v>
      </c>
      <c r="V24" s="3"/>
      <c r="W24" s="7">
        <f>ROUND(W18+W23,5)</f>
        <v>0</v>
      </c>
      <c r="X24" s="3"/>
      <c r="Y24" s="7">
        <f>ROUND(Y18+Y23,5)</f>
        <v>0</v>
      </c>
      <c r="Z24" s="3"/>
      <c r="AA24" s="7">
        <f t="shared" si="0"/>
        <v>41339.93</v>
      </c>
    </row>
    <row r="25" spans="1:27" s="9" customFormat="1" ht="12" thickBot="1" x14ac:dyDescent="0.25">
      <c r="A25" s="1" t="s">
        <v>32</v>
      </c>
      <c r="B25" s="1"/>
      <c r="C25" s="1"/>
      <c r="D25" s="1"/>
      <c r="E25" s="1"/>
      <c r="F25" s="1"/>
      <c r="G25" s="8">
        <f>ROUND(G2+G13+G17+G24,5)</f>
        <v>459279.69</v>
      </c>
      <c r="H25" s="1"/>
      <c r="I25" s="8">
        <f>ROUND(I2+I13+I17+I24,5)</f>
        <v>12989.12</v>
      </c>
      <c r="J25" s="1"/>
      <c r="K25" s="8">
        <f>ROUND(K2+K13+K17+K24,5)</f>
        <v>120317.55</v>
      </c>
      <c r="L25" s="1"/>
      <c r="M25" s="8">
        <f>ROUND(M2+M13+M17+M24,5)</f>
        <v>252067.15</v>
      </c>
      <c r="N25" s="1"/>
      <c r="O25" s="8">
        <f>ROUND(O2+O13+O17+O24,5)</f>
        <v>32034.02</v>
      </c>
      <c r="P25" s="1"/>
      <c r="Q25" s="8">
        <f>ROUND(Q2+Q13+Q17+Q24,5)</f>
        <v>145221.99</v>
      </c>
      <c r="R25" s="1"/>
      <c r="S25" s="8">
        <f>ROUND(S2+S13+S17+S24,5)</f>
        <v>72197.240000000005</v>
      </c>
      <c r="T25" s="1"/>
      <c r="U25" s="8">
        <f>ROUND(U2+U13+U17+U24,5)</f>
        <v>29308.943070000001</v>
      </c>
      <c r="V25" s="1"/>
      <c r="W25" s="8">
        <f>ROUND(W2+W13+W17+W24,5)</f>
        <v>47811.57</v>
      </c>
      <c r="X25" s="1"/>
      <c r="Y25" s="8">
        <f>ROUND(Y2+Y13+Y17+Y24,5)</f>
        <v>271522.45</v>
      </c>
      <c r="Z25" s="1"/>
      <c r="AA25" s="8">
        <f t="shared" si="0"/>
        <v>1442749.7230700001</v>
      </c>
    </row>
    <row r="26" spans="1:27" ht="15.75" thickTop="1" x14ac:dyDescent="0.25">
      <c r="A26" s="1" t="s">
        <v>33</v>
      </c>
      <c r="B26" s="1"/>
      <c r="C26" s="1"/>
      <c r="D26" s="1"/>
      <c r="E26" s="1"/>
      <c r="F26" s="1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2"/>
      <c r="T26" s="3"/>
      <c r="U26" s="2"/>
      <c r="V26" s="3"/>
      <c r="W26" s="2"/>
      <c r="X26" s="3"/>
      <c r="Y26" s="2"/>
      <c r="Z26" s="3"/>
      <c r="AA26" s="2"/>
    </row>
    <row r="27" spans="1:27" x14ac:dyDescent="0.25">
      <c r="A27" s="1"/>
      <c r="B27" s="1" t="s">
        <v>34</v>
      </c>
      <c r="C27" s="1"/>
      <c r="D27" s="1"/>
      <c r="E27" s="1"/>
      <c r="F27" s="1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  <c r="Y27" s="2"/>
      <c r="Z27" s="3"/>
      <c r="AA27" s="2"/>
    </row>
    <row r="28" spans="1:27" x14ac:dyDescent="0.25">
      <c r="A28" s="1"/>
      <c r="B28" s="1"/>
      <c r="C28" s="1" t="s">
        <v>35</v>
      </c>
      <c r="D28" s="1"/>
      <c r="E28" s="1"/>
      <c r="F28" s="1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</row>
    <row r="29" spans="1:27" x14ac:dyDescent="0.25">
      <c r="A29" s="1"/>
      <c r="B29" s="1"/>
      <c r="C29" s="1"/>
      <c r="D29" s="1" t="s">
        <v>36</v>
      </c>
      <c r="E29" s="1"/>
      <c r="F29" s="1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  <c r="Y29" s="2"/>
      <c r="Z29" s="3"/>
      <c r="AA29" s="2"/>
    </row>
    <row r="30" spans="1:27" ht="15.75" thickBot="1" x14ac:dyDescent="0.3">
      <c r="A30" s="1"/>
      <c r="B30" s="1"/>
      <c r="C30" s="1"/>
      <c r="D30" s="1"/>
      <c r="E30" s="1" t="s">
        <v>36</v>
      </c>
      <c r="F30" s="1"/>
      <c r="G30" s="4">
        <v>7797.13</v>
      </c>
      <c r="H30" s="3"/>
      <c r="I30" s="4">
        <v>8359.35</v>
      </c>
      <c r="J30" s="3"/>
      <c r="K30" s="4">
        <v>14346.14</v>
      </c>
      <c r="L30" s="3"/>
      <c r="M30" s="4">
        <v>15904.84</v>
      </c>
      <c r="N30" s="3"/>
      <c r="O30" s="4">
        <v>8201.7999999999993</v>
      </c>
      <c r="P30" s="3"/>
      <c r="Q30" s="4">
        <v>1555.82</v>
      </c>
      <c r="R30" s="3"/>
      <c r="S30" s="4">
        <v>12636.2</v>
      </c>
      <c r="T30" s="3"/>
      <c r="U30" s="4">
        <v>6541.59</v>
      </c>
      <c r="V30" s="3"/>
      <c r="W30" s="4">
        <v>7771.55</v>
      </c>
      <c r="X30" s="3"/>
      <c r="Y30" s="4">
        <v>17151.169999999998</v>
      </c>
      <c r="Z30" s="3"/>
      <c r="AA30" s="20">
        <f>ROUND(SUM(G30:Y30),5)</f>
        <v>100265.59</v>
      </c>
    </row>
    <row r="31" spans="1:27" x14ac:dyDescent="0.25">
      <c r="A31" s="1"/>
      <c r="B31" s="1"/>
      <c r="C31" s="1"/>
      <c r="D31" s="1" t="s">
        <v>37</v>
      </c>
      <c r="E31" s="1"/>
      <c r="F31" s="1"/>
      <c r="G31" s="2">
        <f>ROUND(SUM(G29:G30),5)</f>
        <v>7797.13</v>
      </c>
      <c r="H31" s="3"/>
      <c r="I31" s="2">
        <f>ROUND(SUM(I29:I30),5)</f>
        <v>8359.35</v>
      </c>
      <c r="J31" s="3"/>
      <c r="K31" s="2">
        <f>ROUND(SUM(K29:K30),5)</f>
        <v>14346.14</v>
      </c>
      <c r="L31" s="3"/>
      <c r="M31" s="2">
        <f>ROUND(SUM(M29:M30),5)</f>
        <v>15904.84</v>
      </c>
      <c r="N31" s="3"/>
      <c r="O31" s="2">
        <f>ROUND(SUM(O29:O30),5)</f>
        <v>8201.7999999999993</v>
      </c>
      <c r="P31" s="3"/>
      <c r="Q31" s="2">
        <f>ROUND(SUM(Q29:Q30),5)</f>
        <v>1555.82</v>
      </c>
      <c r="R31" s="3"/>
      <c r="S31" s="2">
        <f>ROUND(SUM(S29:S30),5)</f>
        <v>12636.2</v>
      </c>
      <c r="T31" s="3"/>
      <c r="U31" s="2">
        <f>ROUND(SUM(U29:U30),5)</f>
        <v>6541.59</v>
      </c>
      <c r="V31" s="3"/>
      <c r="W31" s="2">
        <f>ROUND(SUM(W29:W30),5)</f>
        <v>7771.55</v>
      </c>
      <c r="X31" s="3"/>
      <c r="Y31" s="2">
        <f>ROUND(SUM(Y29:Y30),5)</f>
        <v>17151.169999999998</v>
      </c>
      <c r="Z31" s="3"/>
      <c r="AA31" s="21">
        <f>ROUND(SUM(G31:Y31),5)</f>
        <v>100265.59</v>
      </c>
    </row>
    <row r="32" spans="1:27" x14ac:dyDescent="0.25">
      <c r="A32" s="1"/>
      <c r="B32" s="1"/>
      <c r="C32" s="1"/>
      <c r="D32" s="1" t="s">
        <v>38</v>
      </c>
      <c r="E32" s="1"/>
      <c r="F32" s="1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3"/>
      <c r="W32" s="2"/>
      <c r="X32" s="3"/>
      <c r="Y32" s="2"/>
      <c r="Z32" s="3"/>
      <c r="AA32" s="2"/>
    </row>
    <row r="33" spans="1:29" x14ac:dyDescent="0.25">
      <c r="A33" s="1"/>
      <c r="B33" s="1"/>
      <c r="C33" s="1"/>
      <c r="E33" s="1" t="s">
        <v>62</v>
      </c>
      <c r="F33" s="1"/>
      <c r="G33" s="5">
        <v>21808.965109999899</v>
      </c>
      <c r="H33" s="3"/>
      <c r="I33" s="5">
        <v>4039.36616</v>
      </c>
      <c r="J33" s="3"/>
      <c r="K33" s="5">
        <v>3908.85799</v>
      </c>
      <c r="L33" s="3"/>
      <c r="M33" s="5">
        <v>15274.0164199999</v>
      </c>
      <c r="N33" s="3"/>
      <c r="O33" s="5">
        <v>1725.8648900000001</v>
      </c>
      <c r="P33" s="3"/>
      <c r="Q33" s="5">
        <v>-2542.5725200000202</v>
      </c>
      <c r="R33" s="3"/>
      <c r="S33" s="5">
        <v>18138.69499</v>
      </c>
      <c r="T33" s="3"/>
      <c r="U33" s="5">
        <v>298.11318999999997</v>
      </c>
      <c r="V33" s="3"/>
      <c r="W33" s="5">
        <v>6204.9945900000002</v>
      </c>
      <c r="X33" s="3"/>
      <c r="Y33" s="5">
        <v>13772.18633</v>
      </c>
      <c r="Z33" s="3"/>
      <c r="AA33" s="22">
        <f t="shared" ref="AA33" si="1">ROUND(SUM(G33:Y33),5)</f>
        <v>82628.487150000001</v>
      </c>
    </row>
    <row r="34" spans="1:29" x14ac:dyDescent="0.25">
      <c r="A34" s="1"/>
      <c r="B34" s="1"/>
      <c r="C34" s="1"/>
      <c r="D34" s="1"/>
      <c r="E34" s="1" t="s">
        <v>39</v>
      </c>
      <c r="F34" s="1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3"/>
      <c r="W34" s="2"/>
      <c r="X34" s="3"/>
      <c r="Y34" s="2"/>
      <c r="Z34" s="3"/>
      <c r="AA34" s="2"/>
    </row>
    <row r="35" spans="1:29" ht="15.75" thickBot="1" x14ac:dyDescent="0.3">
      <c r="A35" s="1"/>
      <c r="B35" s="1"/>
      <c r="C35" s="1"/>
      <c r="D35" s="1"/>
      <c r="E35" s="1"/>
      <c r="F35" s="1" t="s">
        <v>40</v>
      </c>
      <c r="G35" s="5">
        <v>0</v>
      </c>
      <c r="H35" s="3"/>
      <c r="I35" s="5">
        <v>0</v>
      </c>
      <c r="J35" s="3"/>
      <c r="K35" s="5">
        <v>0</v>
      </c>
      <c r="L35" s="3"/>
      <c r="M35" s="5">
        <v>-3969.52</v>
      </c>
      <c r="N35" s="3"/>
      <c r="O35" s="5">
        <v>0</v>
      </c>
      <c r="P35" s="3"/>
      <c r="Q35" s="5">
        <v>0</v>
      </c>
      <c r="R35" s="3"/>
      <c r="S35" s="5">
        <v>0</v>
      </c>
      <c r="T35" s="3"/>
      <c r="U35" s="5">
        <v>0</v>
      </c>
      <c r="V35" s="3"/>
      <c r="W35" s="5">
        <v>0</v>
      </c>
      <c r="X35" s="3"/>
      <c r="Y35" s="5">
        <v>0</v>
      </c>
      <c r="Z35" s="3"/>
      <c r="AA35" s="22">
        <f>ROUND(SUM(G35:Y35),5)</f>
        <v>-3969.52</v>
      </c>
    </row>
    <row r="36" spans="1:29" ht="15.75" thickBot="1" x14ac:dyDescent="0.3">
      <c r="A36" s="1"/>
      <c r="B36" s="1"/>
      <c r="C36" s="1"/>
      <c r="D36" s="1"/>
      <c r="E36" s="1" t="s">
        <v>41</v>
      </c>
      <c r="F36" s="1"/>
      <c r="G36" s="7">
        <f>ROUND(SUM(G34:G35),5)</f>
        <v>0</v>
      </c>
      <c r="H36" s="3"/>
      <c r="I36" s="7">
        <f>ROUND(SUM(I34:I35),5)</f>
        <v>0</v>
      </c>
      <c r="J36" s="3"/>
      <c r="K36" s="7">
        <f>ROUND(SUM(K34:K35),5)</f>
        <v>0</v>
      </c>
      <c r="L36" s="3"/>
      <c r="M36" s="7">
        <f>ROUND(SUM(M34:M35),5)</f>
        <v>-3969.52</v>
      </c>
      <c r="N36" s="3"/>
      <c r="O36" s="7">
        <f>ROUND(SUM(O34:O35),5)</f>
        <v>0</v>
      </c>
      <c r="P36" s="3"/>
      <c r="Q36" s="7">
        <f>ROUND(SUM(Q34:Q35),5)</f>
        <v>0</v>
      </c>
      <c r="R36" s="3"/>
      <c r="S36" s="7">
        <f>ROUND(SUM(S34:S35),5)</f>
        <v>0</v>
      </c>
      <c r="T36" s="3"/>
      <c r="U36" s="7">
        <f>ROUND(SUM(U34:U35),5)</f>
        <v>0</v>
      </c>
      <c r="V36" s="3"/>
      <c r="W36" s="7">
        <f>ROUND(SUM(W34:W35),5)</f>
        <v>0</v>
      </c>
      <c r="X36" s="3"/>
      <c r="Y36" s="7">
        <f>ROUND(SUM(Y34:Y35),5)</f>
        <v>0</v>
      </c>
      <c r="Z36" s="3"/>
      <c r="AA36" s="7">
        <f>ROUND(SUM(G36:Y36),5)</f>
        <v>-3969.52</v>
      </c>
    </row>
    <row r="37" spans="1:29" ht="15.75" thickBot="1" x14ac:dyDescent="0.3">
      <c r="A37" s="1"/>
      <c r="B37" s="1"/>
      <c r="C37" s="1"/>
      <c r="D37" s="1" t="s">
        <v>42</v>
      </c>
      <c r="E37" s="1"/>
      <c r="F37" s="1"/>
      <c r="G37" s="6">
        <f>ROUND(G32+G36,5)</f>
        <v>0</v>
      </c>
      <c r="H37" s="3"/>
      <c r="I37" s="6">
        <f>ROUND(I32+I36,5)</f>
        <v>0</v>
      </c>
      <c r="J37" s="3"/>
      <c r="K37" s="6">
        <f>ROUND(K32+K36,5)</f>
        <v>0</v>
      </c>
      <c r="L37" s="3"/>
      <c r="M37" s="6">
        <f>ROUND(M32+M36,5)</f>
        <v>-3969.52</v>
      </c>
      <c r="N37" s="3"/>
      <c r="O37" s="6">
        <f>ROUND(O32+O36,5)</f>
        <v>0</v>
      </c>
      <c r="P37" s="3"/>
      <c r="Q37" s="6">
        <f>ROUND(Q32+Q36,5)</f>
        <v>0</v>
      </c>
      <c r="R37" s="3"/>
      <c r="S37" s="6">
        <f>ROUND(S32+S36,5)</f>
        <v>0</v>
      </c>
      <c r="T37" s="3"/>
      <c r="U37" s="6">
        <f>ROUND(U32+U36,5)</f>
        <v>0</v>
      </c>
      <c r="V37" s="3"/>
      <c r="W37" s="6">
        <f>ROUND(W32+W36,5)</f>
        <v>0</v>
      </c>
      <c r="X37" s="3"/>
      <c r="Y37" s="6">
        <f>ROUND(Y32+Y36,5)</f>
        <v>0</v>
      </c>
      <c r="Z37" s="3"/>
      <c r="AA37" s="6">
        <f>ROUND(SUM(G37:Y37),5)</f>
        <v>-3969.52</v>
      </c>
    </row>
    <row r="38" spans="1:29" x14ac:dyDescent="0.25">
      <c r="A38" s="1"/>
      <c r="B38" s="1"/>
      <c r="C38" s="1" t="s">
        <v>43</v>
      </c>
      <c r="D38" s="1"/>
      <c r="E38" s="1"/>
      <c r="F38" s="1"/>
      <c r="G38" s="2">
        <f>ROUND(G28+G33+G31+G37,5)</f>
        <v>29606.095109999998</v>
      </c>
      <c r="H38" s="3"/>
      <c r="I38" s="2">
        <f>ROUND(I28+I33+I31+I37,5)</f>
        <v>12398.71616</v>
      </c>
      <c r="J38" s="3"/>
      <c r="K38" s="2">
        <f>ROUND(K28+K33+K31+K37,5)</f>
        <v>18254.99799</v>
      </c>
      <c r="L38" s="3"/>
      <c r="M38" s="2">
        <f>ROUND(M28+M33+M31+M37,5)</f>
        <v>27209.33642</v>
      </c>
      <c r="N38" s="3"/>
      <c r="O38" s="2">
        <f>ROUND(O28+O33+O31+O37,5)</f>
        <v>9927.66489</v>
      </c>
      <c r="P38" s="3"/>
      <c r="Q38" s="2">
        <f>ROUND(Q28+Q33+Q31+Q37,5)</f>
        <v>-986.75252</v>
      </c>
      <c r="R38" s="3"/>
      <c r="S38" s="2">
        <f>ROUND(S28+S33+S31+S37,5)</f>
        <v>30774.894990000001</v>
      </c>
      <c r="T38" s="3"/>
      <c r="U38" s="2">
        <f>ROUND(U28+U33+U31+U37,5)</f>
        <v>6839.7031900000002</v>
      </c>
      <c r="V38" s="3"/>
      <c r="W38" s="2">
        <f>ROUND(W28+W33+W31+W37,5)</f>
        <v>13976.54459</v>
      </c>
      <c r="X38" s="3"/>
      <c r="Y38" s="2">
        <f>ROUND(Y28+Y33+Y31+Y37,5)</f>
        <v>30923.356329999999</v>
      </c>
      <c r="Z38" s="3"/>
      <c r="AA38" s="2">
        <f>ROUND(SUM(G38:Y38),5)</f>
        <v>178924.55715000001</v>
      </c>
    </row>
    <row r="39" spans="1:29" x14ac:dyDescent="0.25">
      <c r="A39" s="1"/>
      <c r="B39" s="1"/>
      <c r="C39" s="1" t="s">
        <v>44</v>
      </c>
      <c r="D39" s="1"/>
      <c r="E39" s="1"/>
      <c r="F39" s="1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</row>
    <row r="40" spans="1:29" x14ac:dyDescent="0.25">
      <c r="A40" s="1"/>
      <c r="B40" s="1"/>
      <c r="C40" s="1"/>
      <c r="D40" s="1" t="s">
        <v>45</v>
      </c>
      <c r="E40" s="1"/>
      <c r="F40" s="1"/>
      <c r="G40" s="2">
        <f>213576.46-125000</f>
        <v>88576.459999999992</v>
      </c>
      <c r="H40" s="3"/>
      <c r="I40" s="2">
        <v>91484.85</v>
      </c>
      <c r="J40" s="3"/>
      <c r="K40" s="2">
        <f>295211.26-200000</f>
        <v>95211.260000000009</v>
      </c>
      <c r="L40" s="3"/>
      <c r="M40" s="2">
        <f>282483.88-200000</f>
        <v>82483.88</v>
      </c>
      <c r="N40" s="3"/>
      <c r="O40" s="2">
        <v>27166.81</v>
      </c>
      <c r="P40" s="3"/>
      <c r="Q40" s="2">
        <v>-1000</v>
      </c>
      <c r="R40" s="3"/>
      <c r="S40" s="2">
        <f>182352.98-100000</f>
        <v>82352.98000000001</v>
      </c>
      <c r="T40" s="3"/>
      <c r="U40" s="2">
        <v>29368.47</v>
      </c>
      <c r="V40" s="3"/>
      <c r="W40" s="2">
        <v>86972.74</v>
      </c>
      <c r="X40" s="3"/>
      <c r="Y40" s="2">
        <f>172871.29-100000</f>
        <v>72871.290000000008</v>
      </c>
      <c r="Z40" s="3"/>
      <c r="AA40" s="21">
        <f>ROUND(SUM(G40:Y40),5)</f>
        <v>655488.74</v>
      </c>
      <c r="AC40" s="19"/>
    </row>
    <row r="41" spans="1:29" x14ac:dyDescent="0.25">
      <c r="A41" s="1"/>
      <c r="B41" s="1"/>
      <c r="C41" s="1"/>
      <c r="D41" s="1" t="s">
        <v>46</v>
      </c>
      <c r="E41" s="1"/>
      <c r="F41" s="1"/>
      <c r="G41" s="2">
        <v>128676</v>
      </c>
      <c r="H41" s="3"/>
      <c r="I41" s="2">
        <v>0</v>
      </c>
      <c r="J41" s="3"/>
      <c r="K41" s="2">
        <v>0</v>
      </c>
      <c r="L41" s="3"/>
      <c r="M41" s="2">
        <v>62303</v>
      </c>
      <c r="N41" s="3"/>
      <c r="O41" s="2">
        <v>0</v>
      </c>
      <c r="P41" s="3"/>
      <c r="Q41" s="2">
        <v>47424</v>
      </c>
      <c r="R41" s="3"/>
      <c r="S41" s="2">
        <v>0</v>
      </c>
      <c r="T41" s="3"/>
      <c r="U41" s="2">
        <v>0</v>
      </c>
      <c r="V41" s="3"/>
      <c r="W41" s="2">
        <v>0</v>
      </c>
      <c r="X41" s="3"/>
      <c r="Y41" s="2">
        <v>0</v>
      </c>
      <c r="Z41" s="3"/>
      <c r="AA41" s="21">
        <f>ROUND(SUM(G41:Y41),5)</f>
        <v>238403</v>
      </c>
    </row>
    <row r="42" spans="1:29" ht="15.75" thickBot="1" x14ac:dyDescent="0.3">
      <c r="A42" s="1"/>
      <c r="B42" s="1"/>
      <c r="C42" s="1"/>
      <c r="D42" s="1" t="s">
        <v>47</v>
      </c>
      <c r="E42" s="1"/>
      <c r="F42" s="1"/>
      <c r="G42" s="5">
        <v>-19304</v>
      </c>
      <c r="H42" s="3"/>
      <c r="I42" s="5">
        <v>0</v>
      </c>
      <c r="J42" s="3"/>
      <c r="K42" s="5">
        <v>0</v>
      </c>
      <c r="L42" s="3"/>
      <c r="M42" s="5">
        <v>-16110</v>
      </c>
      <c r="N42" s="3"/>
      <c r="O42" s="5">
        <v>0</v>
      </c>
      <c r="P42" s="3"/>
      <c r="Q42" s="5">
        <v>-11439</v>
      </c>
      <c r="R42" s="3"/>
      <c r="S42" s="5">
        <v>0</v>
      </c>
      <c r="T42" s="3"/>
      <c r="U42" s="5">
        <v>0</v>
      </c>
      <c r="V42" s="3"/>
      <c r="W42" s="5">
        <v>0</v>
      </c>
      <c r="X42" s="3"/>
      <c r="Y42" s="5">
        <v>0</v>
      </c>
      <c r="Z42" s="3"/>
      <c r="AA42" s="22">
        <f>ROUND(SUM(G42:Y42),5)</f>
        <v>-46853</v>
      </c>
    </row>
    <row r="43" spans="1:29" ht="15.75" thickBot="1" x14ac:dyDescent="0.3">
      <c r="A43" s="1"/>
      <c r="B43" s="1"/>
      <c r="C43" s="1" t="s">
        <v>48</v>
      </c>
      <c r="D43" s="1"/>
      <c r="E43" s="1"/>
      <c r="F43" s="1"/>
      <c r="G43" s="6">
        <f>ROUND(SUM(G39:G42),5)</f>
        <v>197948.46</v>
      </c>
      <c r="H43" s="3"/>
      <c r="I43" s="6">
        <f>ROUND(SUM(I39:I42),5)</f>
        <v>91484.85</v>
      </c>
      <c r="J43" s="3"/>
      <c r="K43" s="6">
        <f>ROUND(SUM(K39:K42),5)</f>
        <v>95211.26</v>
      </c>
      <c r="L43" s="3"/>
      <c r="M43" s="6">
        <f>ROUND(SUM(M39:M42),5)</f>
        <v>128676.88</v>
      </c>
      <c r="N43" s="3"/>
      <c r="O43" s="6">
        <f>ROUND(SUM(O39:O42),5)</f>
        <v>27166.81</v>
      </c>
      <c r="P43" s="3"/>
      <c r="Q43" s="6">
        <f>ROUND(SUM(Q39:Q42),5)</f>
        <v>34985</v>
      </c>
      <c r="R43" s="3"/>
      <c r="S43" s="6">
        <f>ROUND(SUM(S39:S42),5)</f>
        <v>82352.98</v>
      </c>
      <c r="T43" s="3"/>
      <c r="U43" s="6">
        <f>ROUND(SUM(U39:U42),5)</f>
        <v>29368.47</v>
      </c>
      <c r="V43" s="3"/>
      <c r="W43" s="6">
        <f>ROUND(SUM(W39:W42),5)</f>
        <v>86972.74</v>
      </c>
      <c r="X43" s="3"/>
      <c r="Y43" s="6">
        <f>ROUND(SUM(Y39:Y42),5)</f>
        <v>72871.289999999994</v>
      </c>
      <c r="Z43" s="3"/>
      <c r="AA43" s="6">
        <f>ROUND(SUM(G43:Y43),5)</f>
        <v>847038.74</v>
      </c>
    </row>
    <row r="44" spans="1:29" x14ac:dyDescent="0.25">
      <c r="A44" s="1"/>
      <c r="B44" s="1" t="s">
        <v>49</v>
      </c>
      <c r="C44" s="1"/>
      <c r="D44" s="1"/>
      <c r="E44" s="1"/>
      <c r="F44" s="1"/>
      <c r="G44" s="2">
        <f>ROUND(G27+G38+G43,5)</f>
        <v>227554.55510999999</v>
      </c>
      <c r="H44" s="3"/>
      <c r="I44" s="2">
        <f>ROUND(I27+I38+I43,5)</f>
        <v>103883.56616</v>
      </c>
      <c r="J44" s="3"/>
      <c r="K44" s="2">
        <f>ROUND(K27+K38+K43,5)</f>
        <v>113466.25799</v>
      </c>
      <c r="L44" s="3"/>
      <c r="M44" s="2">
        <f>ROUND(M27+M38+M43,5)</f>
        <v>155886.21642000001</v>
      </c>
      <c r="N44" s="3"/>
      <c r="O44" s="2">
        <f>ROUND(O27+O38+O43,5)</f>
        <v>37094.474889999998</v>
      </c>
      <c r="P44" s="3"/>
      <c r="Q44" s="2">
        <f>ROUND(Q27+Q38+Q43,5)</f>
        <v>33998.247479999998</v>
      </c>
      <c r="R44" s="3"/>
      <c r="S44" s="2">
        <f>ROUND(S27+S38+S43,5)</f>
        <v>113127.87499</v>
      </c>
      <c r="T44" s="3"/>
      <c r="U44" s="2">
        <f>ROUND(U27+U38+U43,5)</f>
        <v>36208.173190000001</v>
      </c>
      <c r="V44" s="3"/>
      <c r="W44" s="2">
        <f>ROUND(W27+W38+W43,5)</f>
        <v>100949.28459</v>
      </c>
      <c r="X44" s="3"/>
      <c r="Y44" s="2">
        <f>ROUND(Y27+Y38+Y43,5)</f>
        <v>103794.64633</v>
      </c>
      <c r="Z44" s="3"/>
      <c r="AA44" s="2">
        <f>ROUND(SUM(G44:Y44),5)</f>
        <v>1025963.29715</v>
      </c>
    </row>
    <row r="45" spans="1:29" x14ac:dyDescent="0.25">
      <c r="A45" s="1"/>
      <c r="B45" s="1" t="s">
        <v>50</v>
      </c>
      <c r="C45" s="1"/>
      <c r="D45" s="1"/>
      <c r="E45" s="1"/>
      <c r="F45" s="1"/>
      <c r="G45" s="2"/>
      <c r="H45" s="3"/>
      <c r="I45" s="2"/>
      <c r="J45" s="3"/>
      <c r="K45" s="2"/>
      <c r="L45" s="3"/>
      <c r="M45" s="2"/>
      <c r="N45" s="3"/>
      <c r="O45" s="2"/>
      <c r="P45" s="3"/>
      <c r="Q45" s="2"/>
      <c r="R45" s="3"/>
      <c r="S45" s="2"/>
      <c r="T45" s="3"/>
      <c r="U45" s="2"/>
      <c r="V45" s="3"/>
      <c r="W45" s="2"/>
      <c r="X45" s="3"/>
      <c r="Y45" s="2"/>
      <c r="Z45" s="3"/>
      <c r="AA45" s="2"/>
    </row>
    <row r="46" spans="1:29" x14ac:dyDescent="0.25">
      <c r="A46" s="1"/>
      <c r="B46" s="1"/>
      <c r="C46" s="1" t="s">
        <v>51</v>
      </c>
      <c r="D46" s="1"/>
      <c r="E46" s="1"/>
      <c r="F46" s="1"/>
      <c r="G46" s="2">
        <v>24443</v>
      </c>
      <c r="H46" s="3"/>
      <c r="I46" s="2">
        <v>0</v>
      </c>
      <c r="J46" s="3"/>
      <c r="K46" s="2">
        <v>0</v>
      </c>
      <c r="L46" s="3"/>
      <c r="M46" s="2">
        <v>0</v>
      </c>
      <c r="N46" s="3"/>
      <c r="O46" s="2">
        <v>0</v>
      </c>
      <c r="P46" s="3"/>
      <c r="Q46" s="2">
        <v>0</v>
      </c>
      <c r="R46" s="3"/>
      <c r="S46" s="2">
        <v>0</v>
      </c>
      <c r="T46" s="3"/>
      <c r="U46" s="2">
        <v>0</v>
      </c>
      <c r="V46" s="3"/>
      <c r="W46" s="2">
        <v>0</v>
      </c>
      <c r="X46" s="3"/>
      <c r="Y46" s="2">
        <v>0</v>
      </c>
      <c r="Z46" s="3"/>
      <c r="AA46" s="2">
        <f t="shared" ref="AA46:AA55" si="2">ROUND(SUM(G46:Y46),5)</f>
        <v>24443</v>
      </c>
    </row>
    <row r="47" spans="1:29" x14ac:dyDescent="0.25">
      <c r="A47" s="1"/>
      <c r="B47" s="1"/>
      <c r="C47" s="1" t="s">
        <v>52</v>
      </c>
      <c r="D47" s="1"/>
      <c r="E47" s="1"/>
      <c r="F47" s="1"/>
      <c r="G47" s="2">
        <v>1000</v>
      </c>
      <c r="H47" s="3"/>
      <c r="I47" s="2">
        <v>0</v>
      </c>
      <c r="J47" s="3"/>
      <c r="K47" s="2">
        <v>1000</v>
      </c>
      <c r="L47" s="3"/>
      <c r="M47" s="2">
        <v>0</v>
      </c>
      <c r="N47" s="3"/>
      <c r="O47" s="2">
        <v>0</v>
      </c>
      <c r="P47" s="3"/>
      <c r="Q47" s="2">
        <v>0</v>
      </c>
      <c r="R47" s="3"/>
      <c r="S47" s="2">
        <v>1000</v>
      </c>
      <c r="T47" s="3"/>
      <c r="U47" s="2">
        <v>0</v>
      </c>
      <c r="V47" s="3"/>
      <c r="W47" s="2">
        <v>73000</v>
      </c>
      <c r="X47" s="3"/>
      <c r="Y47" s="2">
        <v>0</v>
      </c>
      <c r="Z47" s="3"/>
      <c r="AA47" s="2">
        <f t="shared" si="2"/>
        <v>76000</v>
      </c>
    </row>
    <row r="48" spans="1:29" x14ac:dyDescent="0.25">
      <c r="A48" s="1"/>
      <c r="B48" s="1"/>
      <c r="C48" s="1" t="s">
        <v>53</v>
      </c>
      <c r="D48" s="1"/>
      <c r="E48" s="1"/>
      <c r="F48" s="1"/>
      <c r="G48" s="2">
        <v>0</v>
      </c>
      <c r="H48" s="3"/>
      <c r="I48" s="2">
        <v>0</v>
      </c>
      <c r="J48" s="3"/>
      <c r="K48" s="2">
        <v>0</v>
      </c>
      <c r="L48" s="3"/>
      <c r="M48" s="2">
        <v>200</v>
      </c>
      <c r="N48" s="3"/>
      <c r="O48" s="2">
        <v>0</v>
      </c>
      <c r="P48" s="3"/>
      <c r="Q48" s="2">
        <v>0</v>
      </c>
      <c r="R48" s="3"/>
      <c r="S48" s="2">
        <v>10000</v>
      </c>
      <c r="T48" s="3"/>
      <c r="U48" s="2">
        <v>0</v>
      </c>
      <c r="V48" s="3"/>
      <c r="W48" s="2">
        <v>0</v>
      </c>
      <c r="X48" s="3"/>
      <c r="Y48" s="2">
        <v>0</v>
      </c>
      <c r="Z48" s="3"/>
      <c r="AA48" s="2">
        <f t="shared" si="2"/>
        <v>10200</v>
      </c>
    </row>
    <row r="49" spans="1:27" x14ac:dyDescent="0.25">
      <c r="A49" s="1"/>
      <c r="B49" s="1"/>
      <c r="C49" s="1" t="s">
        <v>54</v>
      </c>
      <c r="D49" s="1"/>
      <c r="E49" s="1"/>
      <c r="F49" s="1"/>
      <c r="G49" s="2">
        <v>0</v>
      </c>
      <c r="H49" s="3"/>
      <c r="I49" s="2">
        <v>0</v>
      </c>
      <c r="J49" s="3"/>
      <c r="K49" s="2">
        <v>0</v>
      </c>
      <c r="L49" s="3"/>
      <c r="M49" s="2">
        <v>10000</v>
      </c>
      <c r="N49" s="3"/>
      <c r="O49" s="2">
        <v>0</v>
      </c>
      <c r="P49" s="3"/>
      <c r="Q49" s="2">
        <v>0</v>
      </c>
      <c r="R49" s="3"/>
      <c r="S49" s="2">
        <v>0</v>
      </c>
      <c r="T49" s="3"/>
      <c r="U49" s="2">
        <v>0</v>
      </c>
      <c r="V49" s="3"/>
      <c r="W49" s="2">
        <v>0</v>
      </c>
      <c r="X49" s="3"/>
      <c r="Y49" s="2">
        <v>0</v>
      </c>
      <c r="Z49" s="3"/>
      <c r="AA49" s="2">
        <f t="shared" si="2"/>
        <v>10000</v>
      </c>
    </row>
    <row r="50" spans="1:27" x14ac:dyDescent="0.25">
      <c r="A50" s="1"/>
      <c r="B50" s="1"/>
      <c r="C50" s="1" t="s">
        <v>55</v>
      </c>
      <c r="D50" s="1"/>
      <c r="E50" s="1"/>
      <c r="F50" s="1"/>
      <c r="G50" s="2">
        <v>0</v>
      </c>
      <c r="H50" s="3"/>
      <c r="I50" s="2">
        <v>0</v>
      </c>
      <c r="J50" s="3"/>
      <c r="K50" s="2">
        <v>0</v>
      </c>
      <c r="L50" s="3"/>
      <c r="M50" s="2">
        <v>0</v>
      </c>
      <c r="N50" s="3"/>
      <c r="O50" s="2">
        <v>0</v>
      </c>
      <c r="P50" s="3"/>
      <c r="Q50" s="2">
        <v>6163.43</v>
      </c>
      <c r="R50" s="3"/>
      <c r="S50" s="2">
        <v>0</v>
      </c>
      <c r="T50" s="3"/>
      <c r="U50" s="2">
        <v>0</v>
      </c>
      <c r="V50" s="3"/>
      <c r="W50" s="2">
        <v>0</v>
      </c>
      <c r="X50" s="3"/>
      <c r="Y50" s="2">
        <v>0</v>
      </c>
      <c r="Z50" s="3"/>
      <c r="AA50" s="2">
        <f t="shared" si="2"/>
        <v>6163.43</v>
      </c>
    </row>
    <row r="51" spans="1:27" x14ac:dyDescent="0.25">
      <c r="A51" s="1"/>
      <c r="B51" s="1"/>
      <c r="C51" s="1" t="s">
        <v>56</v>
      </c>
      <c r="D51" s="1"/>
      <c r="E51" s="1"/>
      <c r="F51" s="1"/>
      <c r="G51" s="2">
        <f>84217.37+125000</f>
        <v>209217.37</v>
      </c>
      <c r="H51" s="3"/>
      <c r="I51" s="2">
        <v>-81573.27</v>
      </c>
      <c r="J51" s="3"/>
      <c r="K51" s="2">
        <f>-167920.27+200000</f>
        <v>32079.73000000001</v>
      </c>
      <c r="L51" s="3"/>
      <c r="M51" s="2">
        <f>-81607.39+200000</f>
        <v>118392.61</v>
      </c>
      <c r="N51" s="3"/>
      <c r="O51" s="2">
        <v>1178.81</v>
      </c>
      <c r="P51" s="3"/>
      <c r="Q51" s="2">
        <v>105197.58</v>
      </c>
      <c r="R51" s="3"/>
      <c r="S51" s="2">
        <f>-100237.08+100000</f>
        <v>-237.08000000000175</v>
      </c>
      <c r="T51" s="3"/>
      <c r="U51" s="2">
        <v>5776.18</v>
      </c>
      <c r="V51" s="3"/>
      <c r="W51" s="2">
        <v>-108622.59</v>
      </c>
      <c r="X51" s="3"/>
      <c r="Y51" s="2">
        <f>97853.24+100000</f>
        <v>197853.24</v>
      </c>
      <c r="Z51" s="3"/>
      <c r="AA51" s="2">
        <f t="shared" si="2"/>
        <v>479262.58</v>
      </c>
    </row>
    <row r="52" spans="1:27" ht="15.75" thickBot="1" x14ac:dyDescent="0.3">
      <c r="A52" s="1"/>
      <c r="B52" s="1"/>
      <c r="C52" s="1" t="s">
        <v>57</v>
      </c>
      <c r="D52" s="1"/>
      <c r="E52" s="1"/>
      <c r="F52" s="1"/>
      <c r="G52" s="5">
        <f>[1]Sheet1!$G$53</f>
        <v>-2935.2351100000001</v>
      </c>
      <c r="H52" s="3"/>
      <c r="I52" s="5">
        <f>[1]Sheet1!$I$53</f>
        <v>-9321.1761600000009</v>
      </c>
      <c r="J52" s="3"/>
      <c r="K52" s="5">
        <f>[1]Sheet1!$K$53</f>
        <v>-26228.437989999999</v>
      </c>
      <c r="L52" s="3"/>
      <c r="M52" s="5">
        <f>[1]Sheet1!$M$53</f>
        <v>-32411.67642</v>
      </c>
      <c r="N52" s="3"/>
      <c r="O52" s="5">
        <f>[1]Sheet1!$O$53</f>
        <v>-6239.2648900000004</v>
      </c>
      <c r="P52" s="3"/>
      <c r="Q52" s="5">
        <f>[1]Sheet1!$Q$53</f>
        <v>-137.26748000000001</v>
      </c>
      <c r="R52" s="3"/>
      <c r="S52" s="5">
        <f>[1]Sheet1!$S$53</f>
        <v>-51693.554989999997</v>
      </c>
      <c r="T52" s="3"/>
      <c r="U52" s="5">
        <f>[1]Sheet1!$W$53</f>
        <v>-12675.41012</v>
      </c>
      <c r="V52" s="3"/>
      <c r="W52" s="5">
        <f>[1]Sheet1!$U$53</f>
        <v>-17515.124589999999</v>
      </c>
      <c r="X52" s="3"/>
      <c r="Y52" s="5">
        <f>[1]Sheet1!$Y$53</f>
        <v>-30125.43633</v>
      </c>
      <c r="Z52" s="3"/>
      <c r="AA52" s="5">
        <f t="shared" si="2"/>
        <v>-189282.58408</v>
      </c>
    </row>
    <row r="53" spans="1:27" ht="15.75" thickBot="1" x14ac:dyDescent="0.3">
      <c r="A53" s="1"/>
      <c r="B53" s="1" t="s">
        <v>58</v>
      </c>
      <c r="C53" s="1"/>
      <c r="D53" s="1"/>
      <c r="E53" s="1"/>
      <c r="F53" s="1"/>
      <c r="G53" s="7">
        <f>ROUND(SUM(G45:G52),5)</f>
        <v>231725.13488999999</v>
      </c>
      <c r="H53" s="3"/>
      <c r="I53" s="7">
        <f>ROUND(SUM(I45:I52),5)</f>
        <v>-90894.446160000007</v>
      </c>
      <c r="J53" s="3"/>
      <c r="K53" s="7">
        <f>ROUND(SUM(K45:K52),5)</f>
        <v>6851.2920100000001</v>
      </c>
      <c r="L53" s="3"/>
      <c r="M53" s="7">
        <f>ROUND(SUM(M45:M52),5)</f>
        <v>96180.933579999997</v>
      </c>
      <c r="N53" s="3"/>
      <c r="O53" s="7">
        <f>ROUND(SUM(O45:O52),5)</f>
        <v>-5060.45489</v>
      </c>
      <c r="P53" s="3"/>
      <c r="Q53" s="7">
        <f>ROUND(SUM(Q45:Q52),5)</f>
        <v>111223.74252</v>
      </c>
      <c r="R53" s="3"/>
      <c r="S53" s="7">
        <f>ROUND(SUM(S45:S52),5)</f>
        <v>-40930.634989999999</v>
      </c>
      <c r="T53" s="3"/>
      <c r="U53" s="7">
        <f>ROUND(SUM(U45:U52),5)</f>
        <v>-6899.2301200000002</v>
      </c>
      <c r="V53" s="3"/>
      <c r="W53" s="7">
        <f>ROUND(SUM(W45:W52),5)</f>
        <v>-53137.714590000003</v>
      </c>
      <c r="X53" s="3"/>
      <c r="Y53" s="7">
        <f>ROUND(SUM(Y45:Y52),5)</f>
        <v>167727.80366999999</v>
      </c>
      <c r="Z53" s="3"/>
      <c r="AA53" s="7">
        <f t="shared" si="2"/>
        <v>416786.42592000001</v>
      </c>
    </row>
    <row r="54" spans="1:27" s="9" customFormat="1" ht="12" thickBot="1" x14ac:dyDescent="0.25">
      <c r="A54" s="1" t="s">
        <v>59</v>
      </c>
      <c r="B54" s="1"/>
      <c r="C54" s="1"/>
      <c r="D54" s="1"/>
      <c r="E54" s="1"/>
      <c r="F54" s="1"/>
      <c r="G54" s="8">
        <f>ROUND(G26+G44+G53,5)</f>
        <v>459279.69</v>
      </c>
      <c r="H54" s="1"/>
      <c r="I54" s="8">
        <f>ROUND(I26+I44+I53,5)</f>
        <v>12989.12</v>
      </c>
      <c r="J54" s="1"/>
      <c r="K54" s="8">
        <f>ROUND(K26+K44+K53,5)</f>
        <v>120317.55</v>
      </c>
      <c r="L54" s="1"/>
      <c r="M54" s="8">
        <f>ROUND(M26+M44+M53,5)</f>
        <v>252067.15</v>
      </c>
      <c r="N54" s="1"/>
      <c r="O54" s="8">
        <f>ROUND(O26+O44+O53,5)</f>
        <v>32034.02</v>
      </c>
      <c r="P54" s="1"/>
      <c r="Q54" s="8">
        <f>ROUND(Q26+Q44+Q53,5)</f>
        <v>145221.99</v>
      </c>
      <c r="R54" s="1"/>
      <c r="S54" s="8">
        <f>ROUND(S26+S44+S53,5)</f>
        <v>72197.240000000005</v>
      </c>
      <c r="T54" s="1"/>
      <c r="U54" s="8">
        <f>ROUND(U26+U44+U53,5)</f>
        <v>29308.943070000001</v>
      </c>
      <c r="V54" s="1"/>
      <c r="W54" s="8">
        <f>ROUND(W26+W44+W53,5)</f>
        <v>47811.57</v>
      </c>
      <c r="X54" s="1"/>
      <c r="Y54" s="8">
        <f>ROUND(Y26+Y44+Y53,5)</f>
        <v>271522.45</v>
      </c>
      <c r="Z54" s="1"/>
      <c r="AA54" s="8">
        <f t="shared" si="2"/>
        <v>1442749.7230700001</v>
      </c>
    </row>
    <row r="55" spans="1:27" ht="15.75" thickTop="1" x14ac:dyDescent="0.25">
      <c r="A55" s="1" t="s">
        <v>60</v>
      </c>
      <c r="B55" s="1"/>
      <c r="C55" s="1"/>
      <c r="D55" s="1"/>
      <c r="E55" s="1"/>
      <c r="F55" s="1"/>
      <c r="G55" s="2">
        <f>G25-G54</f>
        <v>0</v>
      </c>
      <c r="H55" s="3"/>
      <c r="I55" s="2">
        <f>I25-I54</f>
        <v>0</v>
      </c>
      <c r="J55" s="3"/>
      <c r="K55" s="2">
        <f>K25-K54</f>
        <v>0</v>
      </c>
      <c r="L55" s="3"/>
      <c r="M55" s="2">
        <f>M25-M54</f>
        <v>0</v>
      </c>
      <c r="N55" s="3"/>
      <c r="O55" s="2">
        <f>O25-O54</f>
        <v>0</v>
      </c>
      <c r="P55" s="3"/>
      <c r="Q55" s="2">
        <f>Q25-Q54</f>
        <v>0</v>
      </c>
      <c r="R55" s="3"/>
      <c r="S55" s="2">
        <f>S25-S54</f>
        <v>0</v>
      </c>
      <c r="T55" s="3"/>
      <c r="U55" s="2">
        <f>U25-U54</f>
        <v>0</v>
      </c>
      <c r="V55" s="3"/>
      <c r="W55" s="2">
        <f>W25-W54</f>
        <v>0</v>
      </c>
      <c r="X55" s="3"/>
      <c r="Y55" s="2">
        <f>Y25-Y54</f>
        <v>0</v>
      </c>
      <c r="Z55" s="3"/>
      <c r="AA55" s="2">
        <f t="shared" si="2"/>
        <v>0</v>
      </c>
    </row>
  </sheetData>
  <pageMargins left="0.7" right="0.7" top="0.75" bottom="0.75" header="0.1" footer="0.3"/>
  <pageSetup orientation="landscape" r:id="rId1"/>
  <headerFooter>
    <oddHeader>&amp;L&amp;"Arial,Bold"&amp;8 8:13 AM
&amp;"Arial,Bold"&amp;8 09/27/16
&amp;"Arial,Bold"&amp;8 Accrual Basis&amp;C&amp;"Arial,Bold"&amp;12 Iliad Water Company LLC
&amp;"Arial,Bold"&amp;14 Balance Sheet by Class
&amp;"Arial,Bold"&amp;10 As of August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6" sqref="E6"/>
    </sheetView>
  </sheetViews>
  <sheetFormatPr defaultRowHeight="15" x14ac:dyDescent="0.25"/>
  <cols>
    <col min="5" max="5" width="9.7109375" bestFit="1" customWidth="1"/>
  </cols>
  <sheetData>
    <row r="1" spans="1:5" x14ac:dyDescent="0.25">
      <c r="A1" t="s">
        <v>63</v>
      </c>
      <c r="C1">
        <v>5659.76</v>
      </c>
    </row>
    <row r="2" spans="1:5" x14ac:dyDescent="0.25">
      <c r="A2" t="s">
        <v>64</v>
      </c>
      <c r="C2">
        <v>2304.94</v>
      </c>
    </row>
    <row r="3" spans="1:5" x14ac:dyDescent="0.25">
      <c r="A3" t="s">
        <v>83</v>
      </c>
      <c r="C3">
        <f>13493/12*8</f>
        <v>8995.3333333333339</v>
      </c>
    </row>
    <row r="4" spans="1:5" ht="60" x14ac:dyDescent="0.25">
      <c r="A4" t="s">
        <v>65</v>
      </c>
      <c r="C4" s="17" t="s">
        <v>81</v>
      </c>
      <c r="D4" s="17" t="s">
        <v>82</v>
      </c>
      <c r="E4" t="s">
        <v>83</v>
      </c>
    </row>
    <row r="5" spans="1:5" x14ac:dyDescent="0.25">
      <c r="A5" t="s">
        <v>66</v>
      </c>
      <c r="B5">
        <v>22</v>
      </c>
      <c r="C5" s="18">
        <f>$C$1*$B5/SUM($B$5:$B$28)</f>
        <v>135.48935799782373</v>
      </c>
      <c r="D5" s="18">
        <f>$C$2*$B5/SUM($B$5:$B$28)</f>
        <v>55.17810663764962</v>
      </c>
      <c r="E5" s="18">
        <f>$C$3*$B5/SUM($B$5:$B$28)</f>
        <v>215.33986216902431</v>
      </c>
    </row>
    <row r="6" spans="1:5" x14ac:dyDescent="0.25">
      <c r="A6" t="s">
        <v>0</v>
      </c>
      <c r="B6">
        <v>39</v>
      </c>
      <c r="C6" s="18">
        <f t="shared" ref="C6:C28" si="0">$C$1*$B6/SUM($B$5:$B$28)</f>
        <v>240.18568008705117</v>
      </c>
      <c r="D6" s="18">
        <f t="shared" ref="D6:D28" si="1">$C$2*$B6/SUM($B$5:$B$28)</f>
        <v>97.815734494015231</v>
      </c>
      <c r="E6" s="18">
        <f t="shared" ref="E6:E28" si="2">$C$3*$B6/SUM($B$5:$B$28)</f>
        <v>381.73884657236124</v>
      </c>
    </row>
    <row r="7" spans="1:5" x14ac:dyDescent="0.25">
      <c r="A7" t="s">
        <v>67</v>
      </c>
      <c r="B7">
        <v>45</v>
      </c>
      <c r="C7" s="18">
        <f t="shared" si="0"/>
        <v>277.13732317736674</v>
      </c>
      <c r="D7" s="18">
        <f t="shared" si="1"/>
        <v>112.86430903155605</v>
      </c>
      <c r="E7" s="18">
        <f t="shared" si="2"/>
        <v>440.46789989118605</v>
      </c>
    </row>
    <row r="8" spans="1:5" x14ac:dyDescent="0.25">
      <c r="A8" t="s">
        <v>68</v>
      </c>
      <c r="B8">
        <v>24</v>
      </c>
      <c r="C8" s="18">
        <f t="shared" si="0"/>
        <v>147.80657236126223</v>
      </c>
      <c r="D8" s="18">
        <f t="shared" si="1"/>
        <v>60.19429815016322</v>
      </c>
      <c r="E8" s="18">
        <f t="shared" si="2"/>
        <v>234.91621327529924</v>
      </c>
    </row>
    <row r="9" spans="1:5" x14ac:dyDescent="0.25">
      <c r="A9" t="s">
        <v>2</v>
      </c>
      <c r="B9">
        <v>57</v>
      </c>
      <c r="C9" s="18">
        <f t="shared" si="0"/>
        <v>351.04060935799782</v>
      </c>
      <c r="D9" s="18">
        <f t="shared" si="1"/>
        <v>142.96145810663768</v>
      </c>
      <c r="E9" s="18">
        <f t="shared" si="2"/>
        <v>557.92600652883573</v>
      </c>
    </row>
    <row r="10" spans="1:5" x14ac:dyDescent="0.25">
      <c r="A10" t="s">
        <v>69</v>
      </c>
      <c r="B10">
        <v>15</v>
      </c>
      <c r="C10" s="18">
        <f t="shared" si="0"/>
        <v>92.379107725788913</v>
      </c>
      <c r="D10" s="18">
        <f t="shared" si="1"/>
        <v>37.621436343852011</v>
      </c>
      <c r="E10" s="18">
        <f t="shared" si="2"/>
        <v>146.82263329706203</v>
      </c>
    </row>
    <row r="11" spans="1:5" x14ac:dyDescent="0.25">
      <c r="A11" t="s">
        <v>3</v>
      </c>
      <c r="B11">
        <v>100</v>
      </c>
      <c r="C11" s="18">
        <f t="shared" si="0"/>
        <v>615.86071817192601</v>
      </c>
      <c r="D11" s="18">
        <f t="shared" si="1"/>
        <v>250.80957562568008</v>
      </c>
      <c r="E11" s="18">
        <f t="shared" si="2"/>
        <v>978.81755531374688</v>
      </c>
    </row>
    <row r="12" spans="1:5" x14ac:dyDescent="0.25">
      <c r="A12" t="s">
        <v>4</v>
      </c>
      <c r="B12">
        <v>31</v>
      </c>
      <c r="C12" s="18">
        <f t="shared" si="0"/>
        <v>190.91682263329707</v>
      </c>
      <c r="D12" s="18">
        <f t="shared" si="1"/>
        <v>77.750968443960829</v>
      </c>
      <c r="E12" s="18">
        <f t="shared" si="2"/>
        <v>303.43344214726153</v>
      </c>
    </row>
    <row r="13" spans="1:5" x14ac:dyDescent="0.25">
      <c r="A13" t="s">
        <v>70</v>
      </c>
      <c r="B13">
        <v>13</v>
      </c>
      <c r="C13" s="18">
        <f t="shared" si="0"/>
        <v>80.061893362350389</v>
      </c>
      <c r="D13" s="18">
        <f t="shared" si="1"/>
        <v>32.60524483133841</v>
      </c>
      <c r="E13" s="18">
        <f t="shared" si="2"/>
        <v>127.2462821907871</v>
      </c>
    </row>
    <row r="14" spans="1:5" x14ac:dyDescent="0.25">
      <c r="A14" t="s">
        <v>5</v>
      </c>
      <c r="B14">
        <v>7</v>
      </c>
      <c r="C14" s="18">
        <f t="shared" si="0"/>
        <v>43.110250272034818</v>
      </c>
      <c r="D14" s="18">
        <f t="shared" si="1"/>
        <v>17.556670293797605</v>
      </c>
      <c r="E14" s="18">
        <f t="shared" si="2"/>
        <v>68.517228871962274</v>
      </c>
    </row>
    <row r="15" spans="1:5" x14ac:dyDescent="0.25">
      <c r="A15" t="s">
        <v>6</v>
      </c>
      <c r="B15">
        <v>98</v>
      </c>
      <c r="C15" s="18">
        <f t="shared" si="0"/>
        <v>603.54350380848746</v>
      </c>
      <c r="D15" s="18">
        <f t="shared" si="1"/>
        <v>245.79338411316647</v>
      </c>
      <c r="E15" s="18">
        <f t="shared" si="2"/>
        <v>959.24120420747192</v>
      </c>
    </row>
    <row r="16" spans="1:5" x14ac:dyDescent="0.25">
      <c r="A16" t="s">
        <v>61</v>
      </c>
      <c r="B16">
        <v>40</v>
      </c>
      <c r="C16" s="18">
        <f t="shared" si="0"/>
        <v>246.34428726877042</v>
      </c>
      <c r="D16" s="18">
        <f t="shared" si="1"/>
        <v>100.32383025027204</v>
      </c>
      <c r="E16" s="18">
        <f t="shared" si="2"/>
        <v>391.52702212549877</v>
      </c>
    </row>
    <row r="17" spans="1:5" x14ac:dyDescent="0.25">
      <c r="A17" t="s">
        <v>71</v>
      </c>
      <c r="B17">
        <v>31</v>
      </c>
      <c r="C17" s="18">
        <f t="shared" si="0"/>
        <v>190.91682263329707</v>
      </c>
      <c r="D17" s="18">
        <f t="shared" si="1"/>
        <v>77.750968443960829</v>
      </c>
      <c r="E17" s="18">
        <f t="shared" si="2"/>
        <v>303.43344214726153</v>
      </c>
    </row>
    <row r="18" spans="1:5" x14ac:dyDescent="0.25">
      <c r="A18" t="s">
        <v>72</v>
      </c>
      <c r="B18">
        <v>47</v>
      </c>
      <c r="C18" s="18">
        <f t="shared" si="0"/>
        <v>289.45453754080523</v>
      </c>
      <c r="D18" s="18">
        <f t="shared" si="1"/>
        <v>117.88050054406965</v>
      </c>
      <c r="E18" s="18">
        <f t="shared" si="2"/>
        <v>460.04425099746101</v>
      </c>
    </row>
    <row r="19" spans="1:5" x14ac:dyDescent="0.25">
      <c r="A19" t="s">
        <v>7</v>
      </c>
      <c r="B19">
        <v>15</v>
      </c>
      <c r="C19" s="18">
        <f t="shared" si="0"/>
        <v>92.379107725788913</v>
      </c>
      <c r="D19" s="18">
        <f t="shared" si="1"/>
        <v>37.621436343852011</v>
      </c>
      <c r="E19" s="18">
        <f t="shared" si="2"/>
        <v>146.82263329706203</v>
      </c>
    </row>
    <row r="20" spans="1:5" x14ac:dyDescent="0.25">
      <c r="A20" t="s">
        <v>73</v>
      </c>
      <c r="B20">
        <v>2</v>
      </c>
      <c r="C20" s="18">
        <f t="shared" si="0"/>
        <v>12.31721436343852</v>
      </c>
      <c r="D20" s="18">
        <f t="shared" si="1"/>
        <v>5.0161915125136023</v>
      </c>
      <c r="E20" s="18">
        <f t="shared" si="2"/>
        <v>19.576351106274938</v>
      </c>
    </row>
    <row r="21" spans="1:5" x14ac:dyDescent="0.25">
      <c r="A21" t="s">
        <v>74</v>
      </c>
      <c r="B21">
        <v>33</v>
      </c>
      <c r="C21" s="18">
        <f t="shared" si="0"/>
        <v>203.2340369967356</v>
      </c>
      <c r="D21" s="18">
        <f t="shared" si="1"/>
        <v>82.76715995647443</v>
      </c>
      <c r="E21" s="18">
        <f t="shared" si="2"/>
        <v>323.00979325353643</v>
      </c>
    </row>
    <row r="22" spans="1:5" x14ac:dyDescent="0.25">
      <c r="A22" t="s">
        <v>75</v>
      </c>
      <c r="B22">
        <v>28</v>
      </c>
      <c r="C22" s="18">
        <f t="shared" si="0"/>
        <v>172.44100108813927</v>
      </c>
      <c r="D22" s="18">
        <f t="shared" si="1"/>
        <v>70.226681175190421</v>
      </c>
      <c r="E22" s="18">
        <f t="shared" si="2"/>
        <v>274.0689154878491</v>
      </c>
    </row>
    <row r="23" spans="1:5" x14ac:dyDescent="0.25">
      <c r="A23" t="s">
        <v>76</v>
      </c>
      <c r="B23">
        <v>58</v>
      </c>
      <c r="C23" s="18">
        <f t="shared" si="0"/>
        <v>357.1992165397171</v>
      </c>
      <c r="D23" s="18">
        <f t="shared" si="1"/>
        <v>145.46955386289443</v>
      </c>
      <c r="E23" s="18">
        <f t="shared" si="2"/>
        <v>567.71418208197315</v>
      </c>
    </row>
    <row r="24" spans="1:5" x14ac:dyDescent="0.25">
      <c r="A24" t="s">
        <v>77</v>
      </c>
      <c r="B24">
        <v>35</v>
      </c>
      <c r="C24" s="18">
        <f t="shared" si="0"/>
        <v>215.55125136017412</v>
      </c>
      <c r="D24" s="18">
        <f t="shared" si="1"/>
        <v>87.783351468988045</v>
      </c>
      <c r="E24" s="18">
        <f t="shared" si="2"/>
        <v>342.58614435981139</v>
      </c>
    </row>
    <row r="25" spans="1:5" x14ac:dyDescent="0.25">
      <c r="A25" t="s">
        <v>8</v>
      </c>
      <c r="B25">
        <v>129</v>
      </c>
      <c r="C25" s="18">
        <f t="shared" si="0"/>
        <v>794.46032644178456</v>
      </c>
      <c r="D25" s="18">
        <f t="shared" si="1"/>
        <v>323.5443525571273</v>
      </c>
      <c r="E25" s="18">
        <f t="shared" si="2"/>
        <v>1262.6746463547333</v>
      </c>
    </row>
    <row r="26" spans="1:5" x14ac:dyDescent="0.25">
      <c r="A26" t="s">
        <v>78</v>
      </c>
      <c r="B26">
        <v>19</v>
      </c>
      <c r="C26" s="18">
        <f t="shared" si="0"/>
        <v>117.01353645266595</v>
      </c>
      <c r="D26" s="18">
        <f t="shared" si="1"/>
        <v>47.653819368879219</v>
      </c>
      <c r="E26" s="18">
        <f t="shared" si="2"/>
        <v>185.97533550961191</v>
      </c>
    </row>
    <row r="27" spans="1:5" x14ac:dyDescent="0.25">
      <c r="A27" t="s">
        <v>79</v>
      </c>
      <c r="B27">
        <v>6</v>
      </c>
      <c r="C27" s="18">
        <f t="shared" si="0"/>
        <v>36.951643090315557</v>
      </c>
      <c r="D27" s="18">
        <f t="shared" si="1"/>
        <v>15.048574537540805</v>
      </c>
      <c r="E27" s="18">
        <f t="shared" si="2"/>
        <v>58.729053318824811</v>
      </c>
    </row>
    <row r="28" spans="1:5" x14ac:dyDescent="0.25">
      <c r="A28" t="s">
        <v>80</v>
      </c>
      <c r="B28">
        <v>25</v>
      </c>
      <c r="C28" s="18">
        <f t="shared" si="0"/>
        <v>153.9651795429815</v>
      </c>
      <c r="D28" s="18">
        <f t="shared" si="1"/>
        <v>62.702393906420021</v>
      </c>
      <c r="E28" s="18">
        <f t="shared" si="2"/>
        <v>244.70438882843672</v>
      </c>
    </row>
    <row r="30" spans="1:5" x14ac:dyDescent="0.25">
      <c r="B30">
        <f>SUM(B5:B28)</f>
        <v>919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251455C-D1D1-4EED-B9BF-F763DD307E17}"/>
</file>

<file path=customXml/itemProps2.xml><?xml version="1.0" encoding="utf-8"?>
<ds:datastoreItem xmlns:ds="http://schemas.openxmlformats.org/officeDocument/2006/customXml" ds:itemID="{90AEEDA5-4F6A-4902-A02F-07FA174D8889}"/>
</file>

<file path=customXml/itemProps3.xml><?xml version="1.0" encoding="utf-8"?>
<ds:datastoreItem xmlns:ds="http://schemas.openxmlformats.org/officeDocument/2006/customXml" ds:itemID="{C48BAA25-5649-4D76-90F7-E4C6ED567271}"/>
</file>

<file path=customXml/itemProps4.xml><?xml version="1.0" encoding="utf-8"?>
<ds:datastoreItem xmlns:ds="http://schemas.openxmlformats.org/officeDocument/2006/customXml" ds:itemID="{7357D3E9-0089-4672-8A79-E8A2277E3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Postage &amp; Telephone Allocation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Candace Shofstall</cp:lastModifiedBy>
  <cp:lastPrinted>2016-10-17T17:21:46Z</cp:lastPrinted>
  <dcterms:created xsi:type="dcterms:W3CDTF">2016-09-27T15:13:08Z</dcterms:created>
  <dcterms:modified xsi:type="dcterms:W3CDTF">2016-10-17T19:37:35Z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