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50" activeTab="0"/>
  </bookViews>
  <sheets>
    <sheet name="Exhibit KCH-1" sheetId="1" r:id="rId1"/>
    <sheet name="Exhibit KCH-2" sheetId="2" r:id="rId2"/>
    <sheet name="Exhibit KCH-3" sheetId="3" r:id="rId3"/>
  </sheets>
  <externalReferences>
    <externalReference r:id="rId6"/>
    <externalReference r:id="rId7"/>
  </externalReferences>
  <definedNames>
    <definedName name="CASE" localSheetId="0">'[1]INPUTS'!$C$11</definedName>
    <definedName name="CASE">'[2]INPUTS'!$C$11</definedName>
    <definedName name="EffTax" localSheetId="0">'[1]INPUTS'!$F$36</definedName>
    <definedName name="EffTax">'[2]INPUTS'!$F$36</definedName>
    <definedName name="FTAX" localSheetId="0">'[1]INPUTS'!$F$35</definedName>
    <definedName name="FTAX">'[2]INPUTS'!$F$35</definedName>
    <definedName name="_xlnm.Print_Area" localSheetId="0">'Exhibit KCH-1'!$A$1:$P$60</definedName>
    <definedName name="_xlnm.Print_Area" localSheetId="2">'Exhibit KCH-3'!$A$1:$G$50</definedName>
    <definedName name="RCF" localSheetId="0">'[1]INPUTS'!$F$48</definedName>
    <definedName name="RCF">'[2]INPUTS'!$F$48</definedName>
    <definedName name="ResUnc" localSheetId="0">'[1]INPUTS'!$F$43</definedName>
    <definedName name="ResUnc">'[2]INPUTS'!$F$43</definedName>
    <definedName name="ROD" localSheetId="0">'[1]INPUTS'!$F$30</definedName>
    <definedName name="ROD">'[2]INPUTS'!$F$30</definedName>
    <definedName name="ROE" localSheetId="0">'[1]INPUTS'!$F$31</definedName>
    <definedName name="ROE">'[2]INPUTS'!$F$31</definedName>
    <definedName name="ROR" localSheetId="0">'[1]INPUTS'!$F$29</definedName>
    <definedName name="ROR">'[2]INPUTS'!$F$29</definedName>
    <definedName name="STAX" localSheetId="0">'[1]INPUTS'!$F$34</definedName>
    <definedName name="STAX">'[2]INPUTS'!$F$34</definedName>
  </definedNames>
  <calcPr calcMode="manual" fullCalcOnLoad="1" calcCompleted="0" calcOnSave="0" iterate="1" iterateCount="1000" iterateDelta="0.0001"/>
</workbook>
</file>

<file path=xl/sharedStrings.xml><?xml version="1.0" encoding="utf-8"?>
<sst xmlns="http://schemas.openxmlformats.org/spreadsheetml/2006/main" count="184" uniqueCount="103">
  <si>
    <t>Customer</t>
  </si>
  <si>
    <t>Class</t>
  </si>
  <si>
    <t>Residential</t>
  </si>
  <si>
    <t>Commercial &amp; Industrial</t>
  </si>
  <si>
    <t>Large Volume</t>
  </si>
  <si>
    <t>Compressed Natural Gas</t>
  </si>
  <si>
    <t>Interruptible</t>
  </si>
  <si>
    <t>Limited Interruptible</t>
  </si>
  <si>
    <t>Non-Exclusive Interruptible</t>
  </si>
  <si>
    <t>Transportation</t>
  </si>
  <si>
    <t>Contracts</t>
  </si>
  <si>
    <t>Rentals</t>
  </si>
  <si>
    <t>System Total / Average</t>
  </si>
  <si>
    <t>Schedule</t>
  </si>
  <si>
    <t>31, 61</t>
  </si>
  <si>
    <t>SC</t>
  </si>
  <si>
    <t>71, 72, 74</t>
  </si>
  <si>
    <t>Revised</t>
  </si>
  <si>
    <t>Present</t>
  </si>
  <si>
    <t>Revenues</t>
  </si>
  <si>
    <t>Other Revenue</t>
  </si>
  <si>
    <t>Proposed</t>
  </si>
  <si>
    <t>Change</t>
  </si>
  <si>
    <t>Percent</t>
  </si>
  <si>
    <t>excluding</t>
  </si>
  <si>
    <t>Gas Revenue</t>
  </si>
  <si>
    <t>Nucor</t>
  </si>
  <si>
    <t>Percent of</t>
  </si>
  <si>
    <t>PSE Requested</t>
  </si>
  <si>
    <t>Increase</t>
  </si>
  <si>
    <t>Step 1 Spread - First 5% Reduction</t>
  </si>
  <si>
    <t>Step 2 Increase</t>
  </si>
  <si>
    <t>for Add'l</t>
  </si>
  <si>
    <t>Reduction of</t>
  </si>
  <si>
    <t>Nucor Proposed Rate Spread at PSE's Requested
$58.1 Million (17.1%) Revenue Increase</t>
  </si>
  <si>
    <t>Line No.</t>
  </si>
  <si>
    <t>Description</t>
  </si>
  <si>
    <t>Total Company</t>
  </si>
  <si>
    <t>Residential (16,23,53)</t>
  </si>
  <si>
    <t>Comm. &amp; Indus. (31,36,51,61)</t>
  </si>
  <si>
    <t>Large Volume (41)</t>
  </si>
  <si>
    <t>Interruptible (85)</t>
  </si>
  <si>
    <t>Limited Interruptible (86)</t>
  </si>
  <si>
    <t>Non-Exclusive Interruptible (87)</t>
  </si>
  <si>
    <t>~</t>
  </si>
  <si>
    <t>Transport &amp; Contracts</t>
  </si>
  <si>
    <t>CNG Service (50)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</si>
  <si>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</si>
  <si>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</si>
  <si>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</si>
  <si>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</si>
  <si>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</si>
  <si>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</si>
  <si>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</si>
  <si>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</si>
  <si>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</si>
  <si>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</si>
  <si>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</si>
  <si>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</si>
  <si>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</si>
  <si>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</si>
  <si>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</si>
  <si>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</si>
  <si>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</si>
  <si>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Revenues</t>
  </si>
  <si>
    <t>Base Rate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</si>
  <si>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</si>
  <si>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</si>
  <si>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</si>
  <si>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</si>
  <si>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</si>
  <si>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</si>
  <si>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</si>
  <si>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</si>
  <si>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</si>
  <si>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</si>
  <si>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</si>
  <si>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</si>
  <si>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</si>
  <si>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</si>
  <si>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</si>
  <si>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</si>
  <si>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</si>
  <si>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</si>
  <si>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</si>
  <si>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Sales &amp; Trans Rev</t>
  </si>
  <si>
    <t>Expenses at Required Return</t>
  </si>
  <si>
    <t>TOTAL EXPENSES - Required</t>
  </si>
  <si>
    <t>Current Revenue to Cost Ratio</t>
  </si>
  <si>
    <t>Parity Ratio</t>
  </si>
  <si>
    <t>Nucor Recommended Gas Cost of Service Study Approach</t>
  </si>
  <si>
    <t>PSE Average Demand Allocation Modified to Reflect Direct Assignment of Small Distribution Mains</t>
  </si>
  <si>
    <t>Summary at PSE's $58.1 Million Requested Revenue Increase</t>
  </si>
  <si>
    <t>Nucor Proposed Revenue to Cost Ratio</t>
  </si>
  <si>
    <t>Revenue Increase @ Nucor Rate Spread</t>
  </si>
  <si>
    <t>Nucor Rate Spread @ PSE Requested Increase</t>
  </si>
  <si>
    <t>Nucor Proposed Revenue Apportionment</t>
  </si>
  <si>
    <t>Total</t>
  </si>
  <si>
    <t>(PSE Requested Revenue Increase Reduced by 8%)</t>
  </si>
  <si>
    <t>Step 1</t>
  </si>
  <si>
    <t>Increase w/</t>
  </si>
  <si>
    <t>Step 2 Spread - Reduction in Excess of 5%</t>
  </si>
  <si>
    <t>Nucor Recommended Rate Spread Approach
Example Assuming WUTC Ordered $30.9 Million Revenue Increase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</si>
</sst>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_);\(&quot;$&quot;#,##0.0\)"/>
    <numFmt numFmtId="167" formatCode="_(&quot;$&quot;* #,##0.0_);_(&quot;$&quot;* \(#,##0.0\);_(&quot;$&quot;* &quot;-&quot;?_);_(@_)"/>
    <numFmt numFmtId="168" formatCode="0.000%"/>
    <numFmt numFmtId="169" formatCode="&quot;$&quot;#,##0.00"/>
    <numFmt numFmtId="170" formatCode="_(&quot;$&quot;* #,##0_);_(&quot;$&quot;* \(#,##0\);_(&quot;$&quot;* &quot;-&quot;??_);_(@_)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_(&quot;$&quot;* #,##0.00000_);_(&quot;$&quot;* \(#,##0.00000\);_(&quot;$&quot;* &quot;-&quot;_);_(@_)"/>
    <numFmt numFmtId="175" formatCode="_(&quot;$&quot;* #,##0.0000_);_(&quot;$&quot;* \(#,##0.0000\);_(&quot;$&quot;* &quot;-&quot;_);_(@_)"/>
    <numFmt numFmtId="176" formatCode="_(&quot;$&quot;* #,##0.0000_);_(&quot;$&quot;* \(#,##0.0000\);_(&quot;$&quot;* &quot;-&quot;????_);_(@_)"/>
    <numFmt numFmtId="177" formatCode="_(&quot;$&quot;* #,##0.000_);_(&quot;$&quot;* \(#,##0.000\);_(&quot;$&quot;* &quot;-&quot;????_);_(@_)"/>
    <numFmt numFmtId="178" formatCode="#."/>
    <numFmt numFmtId="179" formatCode="mmmm\ d\,\ yyyy"/>
  </numFmts>
  <fonts count="38">
    <font>
      <sz val="10"/>
      <color indexed="8"/>
      <name val="Times New Roman"/>
      <family val="2"/>
    </font>
    <font>
      <b/>
      <sz val="10"/>
      <name val="Times New Roman"/>
      <family val="1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41" fontId="3" fillId="21" borderId="0">
      <alignment/>
      <protection/>
    </xf>
    <xf numFmtId="41" fontId="3" fillId="21" borderId="0">
      <alignment/>
      <protection/>
    </xf>
    <xf numFmtId="41" fontId="3" fillId="21" borderId="0">
      <alignment/>
      <protection/>
    </xf>
    <xf numFmtId="0" fontId="25" fillId="22" borderId="2" applyNumberFormat="0" applyAlignment="0" applyProtection="0"/>
    <xf numFmtId="41" fontId="3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8" fontId="10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7" fillId="0" borderId="0" applyFill="0" applyBorder="0" applyAlignment="0" applyProtection="0"/>
    <xf numFmtId="179" fontId="7" fillId="0" borderId="0" applyFill="0" applyBorder="0" applyAlignment="0" applyProtection="0"/>
    <xf numFmtId="0" fontId="26" fillId="0" borderId="0" applyNumberFormat="0" applyFill="0" applyBorder="0" applyAlignment="0" applyProtection="0"/>
    <xf numFmtId="2" fontId="7" fillId="0" borderId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41" fontId="11" fillId="23" borderId="6">
      <alignment horizontal="left"/>
      <protection locked="0"/>
    </xf>
    <xf numFmtId="10" fontId="11" fillId="23" borderId="6">
      <alignment horizontal="right"/>
      <protection locked="0"/>
    </xf>
    <xf numFmtId="41" fontId="12" fillId="23" borderId="6">
      <alignment horizontal="left"/>
      <protection locked="0"/>
    </xf>
    <xf numFmtId="3" fontId="13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0" fillId="24" borderId="8" applyNumberFormat="0" applyFont="0" applyAlignment="0" applyProtection="0"/>
    <xf numFmtId="0" fontId="34" fillId="20" borderId="9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10" fontId="3" fillId="0" borderId="6">
      <alignment/>
      <protection/>
    </xf>
    <xf numFmtId="10" fontId="3" fillId="0" borderId="6">
      <alignment/>
      <protection/>
    </xf>
    <xf numFmtId="10" fontId="3" fillId="0" borderId="6">
      <alignment/>
      <protection/>
    </xf>
    <xf numFmtId="41" fontId="3" fillId="25" borderId="6">
      <alignment/>
      <protection/>
    </xf>
    <xf numFmtId="0" fontId="9" fillId="0" borderId="0">
      <alignment/>
      <protection/>
    </xf>
    <xf numFmtId="3" fontId="14" fillId="0" borderId="0" applyFill="0" applyBorder="0" applyAlignment="0" applyProtection="0"/>
    <xf numFmtId="0" fontId="15" fillId="0" borderId="0">
      <alignment/>
      <protection/>
    </xf>
    <xf numFmtId="42" fontId="3" fillId="21" borderId="0">
      <alignment/>
      <protection/>
    </xf>
    <xf numFmtId="42" fontId="3" fillId="21" borderId="0">
      <alignment/>
      <protection/>
    </xf>
    <xf numFmtId="42" fontId="3" fillId="21" borderId="10">
      <alignment vertical="center"/>
      <protection/>
    </xf>
    <xf numFmtId="42" fontId="3" fillId="21" borderId="10">
      <alignment vertical="center"/>
      <protection/>
    </xf>
    <xf numFmtId="0" fontId="4" fillId="21" borderId="11" applyNumberFormat="0">
      <alignment horizontal="center" vertical="center" wrapText="1"/>
      <protection/>
    </xf>
    <xf numFmtId="10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71" fontId="3" fillId="21" borderId="0">
      <alignment/>
      <protection/>
    </xf>
    <xf numFmtId="167" fontId="3" fillId="21" borderId="0">
      <alignment/>
      <protection/>
    </xf>
    <xf numFmtId="171" fontId="3" fillId="21" borderId="0">
      <alignment/>
      <protection/>
    </xf>
    <xf numFmtId="42" fontId="3" fillId="21" borderId="12">
      <alignment horizontal="left"/>
      <protection/>
    </xf>
    <xf numFmtId="42" fontId="3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71" fontId="6" fillId="21" borderId="12">
      <alignment horizontal="left"/>
      <protection/>
    </xf>
    <xf numFmtId="167" fontId="6" fillId="21" borderId="12">
      <alignment horizontal="left"/>
      <protection/>
    </xf>
    <xf numFmtId="171" fontId="6" fillId="21" borderId="12">
      <alignment horizontal="left"/>
      <protection/>
    </xf>
    <xf numFmtId="41" fontId="16" fillId="21" borderId="0">
      <alignment horizontal="left"/>
      <protection/>
    </xf>
    <xf numFmtId="0" fontId="35" fillId="0" borderId="0" applyNumberFormat="0" applyFill="0" applyBorder="0" applyAlignment="0" applyProtection="0"/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166" fontId="2" fillId="21" borderId="0">
      <alignment horizontal="left" vertical="center"/>
      <protection/>
    </xf>
    <xf numFmtId="170" fontId="2" fillId="21" borderId="0">
      <alignment horizontal="left" vertical="center"/>
      <protection/>
    </xf>
    <xf numFmtId="0" fontId="4" fillId="21" borderId="0">
      <alignment horizontal="left" wrapText="1"/>
      <protection/>
    </xf>
    <xf numFmtId="0" fontId="5" fillId="0" borderId="0">
      <alignment horizontal="left" vertical="center"/>
      <protection/>
    </xf>
    <xf numFmtId="0" fontId="36" fillId="0" borderId="13" applyNumberFormat="0" applyFill="0" applyAlignment="0" applyProtection="0"/>
    <xf numFmtId="0" fontId="9" fillId="0" borderId="14">
      <alignment/>
      <protection/>
    </xf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7" fillId="0" borderId="0" xfId="82" applyNumberFormat="1" applyFont="1" applyFill="1" applyAlignment="1">
      <alignment/>
      <protection/>
    </xf>
    <xf numFmtId="0" fontId="18" fillId="0" borderId="0" xfId="136" applyFont="1" applyFill="1" applyAlignment="1">
      <alignment horizontal="left"/>
      <protection/>
    </xf>
    <xf numFmtId="0" fontId="1" fillId="0" borderId="0" xfId="136" applyFont="1" applyFill="1">
      <alignment horizontal="left" wrapText="1"/>
      <protection/>
    </xf>
    <xf numFmtId="0" fontId="1" fillId="0" borderId="11" xfId="100" applyFont="1" applyFill="1">
      <alignment horizontal="center" vertical="center" wrapText="1"/>
      <protection/>
    </xf>
    <xf numFmtId="0" fontId="1" fillId="0" borderId="0" xfId="100" applyFont="1" applyFill="1" applyBorder="1">
      <alignment horizontal="center" vertical="center" wrapText="1"/>
      <protection/>
    </xf>
    <xf numFmtId="41" fontId="1" fillId="0" borderId="11" xfId="100" applyNumberFormat="1" applyFont="1" applyFill="1">
      <alignment horizontal="center" vertical="center" wrapText="1"/>
      <protection/>
    </xf>
    <xf numFmtId="0" fontId="17" fillId="0" borderId="0" xfId="82" applyNumberFormat="1" applyFont="1" applyFill="1" applyAlignment="1">
      <alignment horizontal="center"/>
      <protection/>
    </xf>
    <xf numFmtId="0" fontId="17" fillId="0" borderId="0" xfId="82" applyNumberFormat="1" applyFont="1" applyFill="1" applyAlignment="1" quotePrefix="1">
      <alignment horizontal="center"/>
      <protection/>
    </xf>
    <xf numFmtId="0" fontId="1" fillId="0" borderId="0" xfId="82" applyNumberFormat="1" applyFont="1" applyFill="1" applyAlignment="1">
      <alignment/>
      <protection/>
    </xf>
    <xf numFmtId="0" fontId="1" fillId="0" borderId="0" xfId="82" applyNumberFormat="1" applyFont="1" applyFill="1" applyAlignment="1">
      <alignment horizontal="center"/>
      <protection/>
    </xf>
    <xf numFmtId="42" fontId="17" fillId="0" borderId="0" xfId="97" applyFont="1" applyFill="1">
      <alignment/>
      <protection/>
    </xf>
    <xf numFmtId="41" fontId="17" fillId="0" borderId="0" xfId="82" applyNumberFormat="1" applyFont="1" applyFill="1" applyAlignment="1">
      <alignment/>
      <protection/>
    </xf>
    <xf numFmtId="42" fontId="17" fillId="0" borderId="10" xfId="99" applyFont="1" applyFill="1">
      <alignment vertical="center"/>
      <protection/>
    </xf>
    <xf numFmtId="42" fontId="17" fillId="0" borderId="0" xfId="82" applyNumberFormat="1" applyFont="1" applyFill="1" applyAlignment="1">
      <alignment/>
      <protection/>
    </xf>
    <xf numFmtId="171" fontId="17" fillId="0" borderId="0" xfId="48" applyNumberFormat="1" applyFont="1" applyFill="1" applyAlignment="1">
      <alignment/>
    </xf>
    <xf numFmtId="170" fontId="17" fillId="0" borderId="0" xfId="82" applyNumberFormat="1" applyFont="1" applyFill="1" applyAlignment="1">
      <alignment/>
      <protection/>
    </xf>
    <xf numFmtId="42" fontId="17" fillId="0" borderId="10" xfId="113" applyFont="1" applyFill="1" applyBorder="1">
      <alignment horizontal="left"/>
      <protection/>
    </xf>
    <xf numFmtId="0" fontId="1" fillId="0" borderId="0" xfId="136" applyFont="1" applyFill="1" applyAlignment="1">
      <alignment horizontal="center" wrapText="1"/>
      <protection/>
    </xf>
    <xf numFmtId="0" fontId="17" fillId="0" borderId="0" xfId="136" applyFont="1" applyFill="1">
      <alignment horizontal="left" wrapText="1"/>
      <protection/>
    </xf>
    <xf numFmtId="42" fontId="17" fillId="0" borderId="10" xfId="97" applyFont="1" applyFill="1" applyBorder="1">
      <alignment/>
      <protection/>
    </xf>
    <xf numFmtId="0" fontId="17" fillId="0" borderId="10" xfId="136" applyFont="1" applyFill="1" applyBorder="1">
      <alignment horizontal="left" wrapText="1"/>
      <protection/>
    </xf>
    <xf numFmtId="172" fontId="17" fillId="0" borderId="10" xfId="89" applyNumberFormat="1" applyFont="1" applyFill="1" applyBorder="1">
      <alignment/>
      <protection/>
    </xf>
    <xf numFmtId="42" fontId="17" fillId="0" borderId="0" xfId="97" applyFont="1" applyFill="1" applyBorder="1">
      <alignment/>
      <protection/>
    </xf>
    <xf numFmtId="0" fontId="17" fillId="0" borderId="0" xfId="136" applyFont="1" applyFill="1" applyBorder="1">
      <alignment horizontal="left" wrapText="1"/>
      <protection/>
    </xf>
    <xf numFmtId="171" fontId="17" fillId="0" borderId="0" xfId="48" applyNumberFormat="1" applyFont="1" applyFill="1" applyBorder="1" applyAlignment="1">
      <alignment/>
    </xf>
    <xf numFmtId="172" fontId="17" fillId="0" borderId="0" xfId="89" applyNumberFormat="1" applyFont="1" applyFill="1" applyBorder="1">
      <alignment/>
      <protection/>
    </xf>
    <xf numFmtId="0" fontId="1" fillId="0" borderId="0" xfId="136" applyFont="1" applyFill="1" applyAlignment="1">
      <alignment horizontal="left"/>
      <protection/>
    </xf>
    <xf numFmtId="43" fontId="17" fillId="0" borderId="0" xfId="48" applyFont="1" applyFill="1" applyBorder="1" applyAlignment="1">
      <alignment/>
    </xf>
    <xf numFmtId="173" fontId="17" fillId="0" borderId="0" xfId="48" applyNumberFormat="1" applyFont="1" applyFill="1" applyAlignment="1">
      <alignment/>
    </xf>
    <xf numFmtId="42" fontId="17" fillId="0" borderId="15" xfId="97" applyFont="1" applyFill="1" applyBorder="1">
      <alignment/>
      <protection/>
    </xf>
    <xf numFmtId="0" fontId="17" fillId="0" borderId="15" xfId="136" applyFont="1" applyFill="1" applyBorder="1">
      <alignment horizontal="left" wrapText="1"/>
      <protection/>
    </xf>
    <xf numFmtId="42" fontId="17" fillId="0" borderId="0" xfId="97" applyNumberFormat="1" applyFont="1" applyFill="1">
      <alignment/>
      <protection/>
    </xf>
    <xf numFmtId="174" fontId="17" fillId="0" borderId="0" xfId="97" applyNumberFormat="1" applyFont="1" applyFill="1">
      <alignment/>
      <protection/>
    </xf>
    <xf numFmtId="170" fontId="17" fillId="0" borderId="0" xfId="60" applyNumberFormat="1" applyFont="1" applyFill="1" applyAlignment="1">
      <alignment/>
    </xf>
    <xf numFmtId="10" fontId="17" fillId="0" borderId="0" xfId="89" applyNumberFormat="1" applyFont="1" applyFill="1" applyBorder="1">
      <alignment/>
      <protection/>
    </xf>
    <xf numFmtId="175" fontId="17" fillId="0" borderId="0" xfId="97" applyNumberFormat="1" applyFont="1" applyFill="1">
      <alignment/>
      <protection/>
    </xf>
    <xf numFmtId="0" fontId="17" fillId="0" borderId="0" xfId="82" applyNumberFormat="1" applyFont="1" applyFill="1" applyBorder="1" applyAlignment="1">
      <alignment/>
      <protection/>
    </xf>
    <xf numFmtId="0" fontId="1" fillId="0" borderId="0" xfId="82" applyNumberFormat="1" applyFont="1" applyFill="1" applyBorder="1" applyAlignment="1">
      <alignment horizontal="center"/>
      <protection/>
    </xf>
    <xf numFmtId="42" fontId="17" fillId="0" borderId="12" xfId="99" applyFont="1" applyFill="1" applyBorder="1">
      <alignment vertical="center"/>
      <protection/>
    </xf>
    <xf numFmtId="42" fontId="17" fillId="0" borderId="12" xfId="113" applyFont="1" applyFill="1" applyBorder="1">
      <alignment horizontal="left"/>
      <protection/>
    </xf>
    <xf numFmtId="42" fontId="17" fillId="0" borderId="0" xfId="99" applyFont="1" applyFill="1" applyBorder="1">
      <alignment vertical="center"/>
      <protection/>
    </xf>
    <xf numFmtId="42" fontId="17" fillId="0" borderId="0" xfId="113" applyFont="1" applyFill="1" applyBorder="1">
      <alignment horizontal="left"/>
      <protection/>
    </xf>
    <xf numFmtId="171" fontId="17" fillId="0" borderId="0" xfId="48" applyNumberFormat="1" applyFont="1" applyFill="1" applyBorder="1" applyAlignment="1">
      <alignment horizontal="left"/>
    </xf>
    <xf numFmtId="42" fontId="17" fillId="0" borderId="10" xfId="99" applyFont="1" applyFill="1" applyBorder="1">
      <alignment vertical="center"/>
      <protection/>
    </xf>
    <xf numFmtId="42" fontId="17" fillId="0" borderId="11" xfId="99" applyFont="1" applyFill="1" applyBorder="1">
      <alignment vertical="center"/>
      <protection/>
    </xf>
    <xf numFmtId="42" fontId="17" fillId="0" borderId="11" xfId="113" applyFont="1" applyFill="1" applyBorder="1">
      <alignment horizontal="left"/>
      <protection/>
    </xf>
    <xf numFmtId="42" fontId="17" fillId="0" borderId="16" xfId="99" applyFont="1" applyFill="1" applyBorder="1">
      <alignment vertical="center"/>
      <protection/>
    </xf>
    <xf numFmtId="42" fontId="17" fillId="0" borderId="16" xfId="113" applyFont="1" applyFill="1" applyBorder="1">
      <alignment horizontal="left"/>
      <protection/>
    </xf>
    <xf numFmtId="43" fontId="17" fillId="0" borderId="0" xfId="48" applyFont="1" applyFill="1" applyAlignment="1">
      <alignment/>
    </xf>
    <xf numFmtId="42" fontId="1" fillId="0" borderId="12" xfId="97" applyFont="1" applyFill="1" applyBorder="1">
      <alignment/>
      <protection/>
    </xf>
    <xf numFmtId="0" fontId="1" fillId="0" borderId="12" xfId="136" applyFont="1" applyFill="1" applyBorder="1">
      <alignment horizontal="left" wrapText="1"/>
      <protection/>
    </xf>
    <xf numFmtId="43" fontId="1" fillId="0" borderId="12" xfId="48" applyFont="1" applyFill="1" applyBorder="1" applyAlignment="1">
      <alignment/>
    </xf>
    <xf numFmtId="43" fontId="17" fillId="0" borderId="10" xfId="48" applyFont="1" applyFill="1" applyBorder="1" applyAlignment="1">
      <alignment/>
    </xf>
    <xf numFmtId="0" fontId="17" fillId="21" borderId="0" xfId="82" applyNumberFormat="1" applyFont="1" applyFill="1" applyAlignment="1">
      <alignment/>
      <protection/>
    </xf>
    <xf numFmtId="164" fontId="1" fillId="21" borderId="0" xfId="88" applyNumberFormat="1" applyFont="1" applyFill="1" applyAlignment="1">
      <alignment horizontal="center"/>
    </xf>
    <xf numFmtId="164" fontId="1" fillId="21" borderId="0" xfId="88" applyNumberFormat="1" applyFont="1" applyFill="1" applyAlignment="1">
      <alignment horizontal="right" indent="3"/>
    </xf>
    <xf numFmtId="164" fontId="1" fillId="21" borderId="11" xfId="88" applyNumberFormat="1" applyFont="1" applyFill="1" applyBorder="1" applyAlignment="1">
      <alignment horizontal="right" indent="3"/>
    </xf>
    <xf numFmtId="164" fontId="1" fillId="21" borderId="11" xfId="88" applyNumberFormat="1" applyFont="1" applyFill="1" applyBorder="1" applyAlignment="1">
      <alignment horizontal="center"/>
    </xf>
    <xf numFmtId="0" fontId="1" fillId="21" borderId="0" xfId="0" applyFont="1" applyFill="1" applyAlignment="1">
      <alignment/>
    </xf>
    <xf numFmtId="0" fontId="1" fillId="21" borderId="0" xfId="0" applyFont="1" applyFill="1" applyAlignment="1">
      <alignment horizontal="center"/>
    </xf>
    <xf numFmtId="0" fontId="20" fillId="21" borderId="0" xfId="0" applyFont="1" applyFill="1" applyAlignment="1">
      <alignment/>
    </xf>
    <xf numFmtId="0" fontId="20" fillId="21" borderId="0" xfId="0" applyFont="1" applyFill="1" applyAlignment="1">
      <alignment horizontal="center"/>
    </xf>
    <xf numFmtId="5" fontId="1" fillId="21" borderId="0" xfId="0" applyNumberFormat="1" applyFont="1" applyFill="1" applyAlignment="1">
      <alignment/>
    </xf>
    <xf numFmtId="37" fontId="1" fillId="21" borderId="0" xfId="0" applyNumberFormat="1" applyFont="1" applyFill="1" applyAlignment="1">
      <alignment/>
    </xf>
    <xf numFmtId="37" fontId="1" fillId="21" borderId="11" xfId="0" applyNumberFormat="1" applyFont="1" applyFill="1" applyBorder="1" applyAlignment="1">
      <alignment/>
    </xf>
    <xf numFmtId="10" fontId="20" fillId="21" borderId="0" xfId="88" applyNumberFormat="1" applyFont="1" applyFill="1" applyAlignment="1">
      <alignment horizontal="center"/>
    </xf>
    <xf numFmtId="10" fontId="1" fillId="21" borderId="0" xfId="0" applyNumberFormat="1" applyFont="1" applyFill="1" applyAlignment="1">
      <alignment/>
    </xf>
    <xf numFmtId="42" fontId="1" fillId="21" borderId="0" xfId="0" applyNumberFormat="1" applyFont="1" applyFill="1" applyAlignment="1">
      <alignment/>
    </xf>
    <xf numFmtId="42" fontId="1" fillId="21" borderId="0" xfId="88" applyNumberFormat="1" applyFont="1" applyFill="1" applyAlignment="1">
      <alignment/>
    </xf>
    <xf numFmtId="37" fontId="1" fillId="21" borderId="0" xfId="88" applyNumberFormat="1" applyFont="1" applyFill="1" applyAlignment="1">
      <alignment/>
    </xf>
    <xf numFmtId="37" fontId="1" fillId="21" borderId="11" xfId="88" applyNumberFormat="1" applyFont="1" applyFill="1" applyBorder="1" applyAlignment="1">
      <alignment/>
    </xf>
    <xf numFmtId="164" fontId="1" fillId="21" borderId="0" xfId="0" applyNumberFormat="1" applyFont="1" applyFill="1" applyAlignment="1">
      <alignment horizontal="right" indent="3"/>
    </xf>
    <xf numFmtId="169" fontId="18" fillId="21" borderId="0" xfId="134" applyNumberFormat="1" applyFont="1">
      <alignment horizontal="left" vertical="center"/>
      <protection/>
    </xf>
    <xf numFmtId="169" fontId="18" fillId="0" borderId="0" xfId="134" applyNumberFormat="1" applyFont="1" applyFill="1">
      <alignment horizontal="left" vertical="center"/>
      <protection/>
    </xf>
    <xf numFmtId="169" fontId="18" fillId="0" borderId="0" xfId="134" applyNumberFormat="1" applyFont="1" applyFill="1" applyAlignment="1">
      <alignment horizontal="centerContinuous" vertical="center"/>
      <protection/>
    </xf>
    <xf numFmtId="0" fontId="1" fillId="0" borderId="0" xfId="82" applyNumberFormat="1" applyFont="1" applyFill="1" applyAlignment="1">
      <alignment horizontal="left"/>
      <protection/>
    </xf>
    <xf numFmtId="42" fontId="17" fillId="0" borderId="12" xfId="113" applyNumberFormat="1" applyFont="1" applyFill="1" applyBorder="1">
      <alignment horizontal="left"/>
      <protection/>
    </xf>
    <xf numFmtId="169" fontId="21" fillId="21" borderId="0" xfId="134" applyNumberFormat="1" applyFont="1" applyAlignment="1">
      <alignment horizontal="center" vertical="center"/>
      <protection/>
    </xf>
    <xf numFmtId="169" fontId="21" fillId="0" borderId="0" xfId="134" applyNumberFormat="1" applyFont="1" applyFill="1" applyAlignment="1">
      <alignment horizontal="center" vertical="center"/>
      <protection/>
    </xf>
    <xf numFmtId="0" fontId="19" fillId="21" borderId="0" xfId="0" applyFont="1" applyFill="1" applyAlignment="1">
      <alignment horizontal="center" wrapText="1"/>
    </xf>
    <xf numFmtId="0" fontId="1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/>
    </xf>
    <xf numFmtId="0" fontId="19" fillId="21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culation 2" xfId="41"/>
    <cellStyle name="Calculation 3" xfId="42"/>
    <cellStyle name="Calculation 4" xfId="43"/>
    <cellStyle name="Check Cell" xfId="44"/>
    <cellStyle name="CheckCell" xfId="45"/>
    <cellStyle name="Comma" xfId="46"/>
    <cellStyle name="Comma [0]" xfId="47"/>
    <cellStyle name="Comma 2" xfId="48"/>
    <cellStyle name="Comma 3" xfId="49"/>
    <cellStyle name="Comma 4" xfId="50"/>
    <cellStyle name="Comma0" xfId="51"/>
    <cellStyle name="Comma0 - Style2" xfId="52"/>
    <cellStyle name="Comma0 - Style5" xfId="53"/>
    <cellStyle name="Comma0_00COS Ind Allocators" xfId="54"/>
    <cellStyle name="Comma1 - Style1" xfId="55"/>
    <cellStyle name="Curren - Style2" xfId="56"/>
    <cellStyle name="Curren - Style6" xfId="57"/>
    <cellStyle name="Currency" xfId="58"/>
    <cellStyle name="Currency [0]" xfId="59"/>
    <cellStyle name="Currency 2" xfId="60"/>
    <cellStyle name="Currency 3" xfId="61"/>
    <cellStyle name="Currency 4" xfId="62"/>
    <cellStyle name="Currency0" xfId="63"/>
    <cellStyle name="Date" xfId="64"/>
    <cellStyle name="Explanatory Text" xfId="65"/>
    <cellStyle name="Fixed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put Cells" xfId="73"/>
    <cellStyle name="Input Cells Percent" xfId="74"/>
    <cellStyle name="Input Cells_ACCOUNTALLOC" xfId="75"/>
    <cellStyle name="LINKED" xfId="76"/>
    <cellStyle name="Linked Cell" xfId="77"/>
    <cellStyle name="Neutral" xfId="78"/>
    <cellStyle name="Normal 2" xfId="79"/>
    <cellStyle name="Normal 3" xfId="80"/>
    <cellStyle name="Normal 4" xfId="81"/>
    <cellStyle name="Normal 5" xfId="82"/>
    <cellStyle name="Normal 6" xfId="83"/>
    <cellStyle name="Note" xfId="84"/>
    <cellStyle name="Output" xfId="85"/>
    <cellStyle name="Percen - Style1" xfId="86"/>
    <cellStyle name="Percen - Style3" xfId="87"/>
    <cellStyle name="Percent" xfId="88"/>
    <cellStyle name="Percent 2" xfId="89"/>
    <cellStyle name="Percent 3" xfId="90"/>
    <cellStyle name="Percent 4" xfId="91"/>
    <cellStyle name="Processing" xfId="92"/>
    <cellStyle name="purple - Style8" xfId="93"/>
    <cellStyle name="RED" xfId="94"/>
    <cellStyle name="Red - Style7" xfId="95"/>
    <cellStyle name="Report" xfId="96"/>
    <cellStyle name="Report 2" xfId="97"/>
    <cellStyle name="Report Bar" xfId="98"/>
    <cellStyle name="Report Bar 2" xfId="99"/>
    <cellStyle name="Report Heading" xfId="100"/>
    <cellStyle name="Report Percent" xfId="101"/>
    <cellStyle name="Report Unit Cost" xfId="102"/>
    <cellStyle name="Report Unit Cost 10" xfId="103"/>
    <cellStyle name="Report Unit Cost 2" xfId="104"/>
    <cellStyle name="Report Unit Cost 3" xfId="105"/>
    <cellStyle name="Report Unit Cost 4" xfId="106"/>
    <cellStyle name="Report Unit Cost 5" xfId="107"/>
    <cellStyle name="Report Unit Cost 6" xfId="108"/>
    <cellStyle name="Report Unit Cost 7" xfId="109"/>
    <cellStyle name="Report Unit Cost 8" xfId="110"/>
    <cellStyle name="Report Unit Cost 9" xfId="111"/>
    <cellStyle name="Reports Total" xfId="112"/>
    <cellStyle name="Reports Total 2" xfId="113"/>
    <cellStyle name="Reports Unit Cost Total" xfId="114"/>
    <cellStyle name="Reports Unit Cost Total 10" xfId="115"/>
    <cellStyle name="Reports Unit Cost Total 2" xfId="116"/>
    <cellStyle name="Reports Unit Cost Total 3" xfId="117"/>
    <cellStyle name="Reports Unit Cost Total 4" xfId="118"/>
    <cellStyle name="Reports Unit Cost Total 5" xfId="119"/>
    <cellStyle name="Reports Unit Cost Total 6" xfId="120"/>
    <cellStyle name="Reports Unit Cost Total 7" xfId="121"/>
    <cellStyle name="Reports Unit Cost Total 8" xfId="122"/>
    <cellStyle name="Reports Unit Cost Total 9" xfId="123"/>
    <cellStyle name="Sub-total" xfId="124"/>
    <cellStyle name="Title" xfId="125"/>
    <cellStyle name="Title: Major" xfId="126"/>
    <cellStyle name="Title: Major 10" xfId="127"/>
    <cellStyle name="Title: Major 2" xfId="128"/>
    <cellStyle name="Title: Major 3" xfId="129"/>
    <cellStyle name="Title: Major 4" xfId="130"/>
    <cellStyle name="Title: Major 5" xfId="131"/>
    <cellStyle name="Title: Major 6" xfId="132"/>
    <cellStyle name="Title: Major 7" xfId="133"/>
    <cellStyle name="Title: Major 8" xfId="134"/>
    <cellStyle name="Title: Major 9" xfId="135"/>
    <cellStyle name="Title: Minor" xfId="136"/>
    <cellStyle name="Title: Worksheet" xfId="137"/>
    <cellStyle name="Total" xfId="138"/>
    <cellStyle name="Total4 - Style4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E%20Gas%20COS%20-%20As%20Filed%20(with%204%20in.%20Mains%20Adjustment)%20-%20%20No%20Gas%20(C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Nucor%20-%20Seattle\PSE%20Gas%20Case%202008\PSE%20Gas%20Class%20COS%20Model\PSE%20Resp%20NWIGU%20DR%20005_Rev_01_Attach%20A%20COS%20No%20Gas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1">
        <row r="11">
          <cell r="C11">
            <v>5</v>
          </cell>
        </row>
        <row r="29">
          <cell r="F29">
            <v>0.086</v>
          </cell>
        </row>
        <row r="30">
          <cell r="F30">
            <v>0.0374</v>
          </cell>
        </row>
        <row r="31">
          <cell r="F31">
            <v>0.0486</v>
          </cell>
        </row>
        <row r="34">
          <cell r="F34">
            <v>0</v>
          </cell>
        </row>
        <row r="35">
          <cell r="F35">
            <v>0.34</v>
          </cell>
        </row>
        <row r="36">
          <cell r="F36">
            <v>0.34</v>
          </cell>
        </row>
        <row r="43">
          <cell r="F43">
            <v>0</v>
          </cell>
        </row>
        <row r="48">
          <cell r="F48">
            <v>0.6219617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1">
        <row r="11">
          <cell r="C11">
            <v>5</v>
          </cell>
        </row>
        <row r="29">
          <cell r="F29">
            <v>0.086</v>
          </cell>
        </row>
        <row r="30">
          <cell r="F30">
            <v>0.0374</v>
          </cell>
        </row>
        <row r="31">
          <cell r="F31">
            <v>0.0486</v>
          </cell>
        </row>
        <row r="34">
          <cell r="F34">
            <v>0</v>
          </cell>
        </row>
        <row r="35">
          <cell r="F35">
            <v>0.34</v>
          </cell>
        </row>
        <row r="36">
          <cell r="F36">
            <v>0.34</v>
          </cell>
        </row>
        <row r="43">
          <cell r="F43">
            <v>0</v>
          </cell>
        </row>
        <row r="48">
          <cell r="F48">
            <v>0.6219617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tabSelected="1" zoomScalePageLayoutView="0" workbookViewId="0" topLeftCell="A1">
      <selection activeCell="A1" sqref="A1:P1"/>
    </sheetView>
  </sheetViews>
  <sheetFormatPr defaultColWidth="9.33203125" defaultRowHeight="12.75"/>
  <cols>
    <col min="1" max="1" width="7.83203125" style="54" customWidth="1"/>
    <col min="2" max="2" width="2" style="54" customWidth="1"/>
    <col min="3" max="3" width="47" style="54" customWidth="1"/>
    <col min="4" max="4" width="2" style="54" customWidth="1"/>
    <col min="5" max="5" width="17.16015625" style="54" customWidth="1"/>
    <col min="6" max="6" width="4.83203125" style="54" customWidth="1"/>
    <col min="7" max="8" width="17.16015625" style="54" customWidth="1"/>
    <col min="9" max="10" width="15.83203125" style="54" customWidth="1"/>
    <col min="11" max="12" width="17.16015625" style="54" bestFit="1" customWidth="1"/>
    <col min="13" max="13" width="17.33203125" style="54" hidden="1" customWidth="1"/>
    <col min="14" max="16" width="15.83203125" style="54" customWidth="1"/>
    <col min="17" max="17" width="9.33203125" style="54" customWidth="1"/>
    <col min="18" max="18" width="17.5" style="54" bestFit="1" customWidth="1"/>
    <col min="19" max="16384" width="9.33203125" style="54" customWidth="1"/>
  </cols>
  <sheetData>
    <row r="1" spans="1:16" s="73" customFormat="1" ht="20.25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4" customFormat="1" ht="20.2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74" customFormat="1" ht="20.25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="3" customFormat="1" ht="15.75">
      <c r="A5" s="2"/>
    </row>
    <row r="6" spans="1:16" s="3" customFormat="1" ht="25.5">
      <c r="A6" s="4" t="s">
        <v>35</v>
      </c>
      <c r="B6" s="5"/>
      <c r="C6" s="4" t="s">
        <v>36</v>
      </c>
      <c r="D6" s="4"/>
      <c r="E6" s="4" t="s">
        <v>37</v>
      </c>
      <c r="F6" s="4"/>
      <c r="G6" s="6" t="s">
        <v>38</v>
      </c>
      <c r="H6" s="4" t="s">
        <v>39</v>
      </c>
      <c r="I6" s="4" t="s">
        <v>40</v>
      </c>
      <c r="J6" s="4" t="s">
        <v>41</v>
      </c>
      <c r="K6" s="4" t="s">
        <v>42</v>
      </c>
      <c r="L6" s="4" t="s">
        <v>43</v>
      </c>
      <c r="M6" s="6" t="s">
        <v>44</v>
      </c>
      <c r="N6" s="6" t="s">
        <v>45</v>
      </c>
      <c r="O6" s="6" t="s">
        <v>46</v>
      </c>
      <c r="P6" s="6" t="s">
        <v>11</v>
      </c>
    </row>
    <row r="7" spans="3:16" s="1" customFormat="1" ht="12.75">
      <c r="C7" s="7" t="s">
        <v>47</v>
      </c>
      <c r="E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8" t="s">
        <v>55</v>
      </c>
      <c r="N7" s="8" t="s">
        <v>55</v>
      </c>
      <c r="O7" s="8" t="s">
        <v>56</v>
      </c>
      <c r="P7" s="8" t="s">
        <v>57</v>
      </c>
    </row>
    <row r="8" s="1" customFormat="1" ht="12.75">
      <c r="A8" s="76"/>
    </row>
    <row r="9" spans="1:3" s="1" customFormat="1" ht="12.75">
      <c r="A9" s="76"/>
      <c r="C9" s="9" t="s">
        <v>58</v>
      </c>
    </row>
    <row r="10" spans="1:18" s="1" customFormat="1" ht="12.75">
      <c r="A10" s="10">
        <v>1</v>
      </c>
      <c r="C10" s="11" t="s">
        <v>59</v>
      </c>
      <c r="E10" s="34">
        <v>2282742657.8245745</v>
      </c>
      <c r="F10" s="34"/>
      <c r="G10" s="34">
        <v>1538970383.9521618</v>
      </c>
      <c r="H10" s="34">
        <v>556363865.9708463</v>
      </c>
      <c r="I10" s="34">
        <v>66828338.77914005</v>
      </c>
      <c r="J10" s="34">
        <v>17856973.844372902</v>
      </c>
      <c r="K10" s="34">
        <v>13805328.039093306</v>
      </c>
      <c r="L10" s="34">
        <v>29097795.382100757</v>
      </c>
      <c r="M10" s="34">
        <v>0</v>
      </c>
      <c r="N10" s="34">
        <v>14592446.671374157</v>
      </c>
      <c r="O10" s="34">
        <v>532635.3647690706</v>
      </c>
      <c r="P10" s="34">
        <v>44694889.82071687</v>
      </c>
      <c r="R10" s="15"/>
    </row>
    <row r="11" spans="1:18" s="1" customFormat="1" ht="12.75">
      <c r="A11" s="10">
        <f>A10+1</f>
        <v>2</v>
      </c>
      <c r="C11" s="11" t="s">
        <v>60</v>
      </c>
      <c r="E11" s="12">
        <v>-773227502.2464029</v>
      </c>
      <c r="G11" s="12">
        <v>-515152639.3482271</v>
      </c>
      <c r="H11" s="12">
        <v>-193376329.92785832</v>
      </c>
      <c r="I11" s="12">
        <v>-20728153.20693209</v>
      </c>
      <c r="J11" s="12">
        <v>-5869527.112559305</v>
      </c>
      <c r="K11" s="12">
        <v>-4442852.312891074</v>
      </c>
      <c r="L11" s="12">
        <v>-9007040.549160143</v>
      </c>
      <c r="M11" s="12">
        <v>0</v>
      </c>
      <c r="N11" s="12">
        <v>-4656879.927188641</v>
      </c>
      <c r="O11" s="12">
        <v>-98485.3439373929</v>
      </c>
      <c r="P11" s="12">
        <v>-19895594.51764885</v>
      </c>
      <c r="R11" s="15"/>
    </row>
    <row r="12" spans="1:18" s="1" customFormat="1" ht="12.75">
      <c r="A12" s="10">
        <f>A11+1</f>
        <v>3</v>
      </c>
      <c r="C12" s="11" t="s">
        <v>61</v>
      </c>
      <c r="E12" s="12">
        <v>-160120115</v>
      </c>
      <c r="G12" s="12">
        <v>-101566611.12482025</v>
      </c>
      <c r="H12" s="12">
        <v>-46460925.85981193</v>
      </c>
      <c r="I12" s="12">
        <v>-4687281.776374246</v>
      </c>
      <c r="J12" s="12">
        <v>-977393.9557919004</v>
      </c>
      <c r="K12" s="12">
        <v>-826651.1686444754</v>
      </c>
      <c r="L12" s="12">
        <v>-1877342.3277585006</v>
      </c>
      <c r="M12" s="12">
        <v>0</v>
      </c>
      <c r="N12" s="12">
        <v>-916745.1225433658</v>
      </c>
      <c r="O12" s="12">
        <v>7594.745345778774</v>
      </c>
      <c r="P12" s="12">
        <v>-2814758.409601077</v>
      </c>
      <c r="R12" s="15"/>
    </row>
    <row r="13" spans="1:18" s="1" customFormat="1" ht="13.5" thickBot="1">
      <c r="A13" s="10">
        <f>A12+1</f>
        <v>4</v>
      </c>
      <c r="C13" s="13" t="s">
        <v>62</v>
      </c>
      <c r="D13" s="13"/>
      <c r="E13" s="13">
        <f>SUM(E10:E12)</f>
        <v>1349395040.5781717</v>
      </c>
      <c r="F13" s="13"/>
      <c r="G13" s="13">
        <f aca="true" t="shared" si="0" ref="G13:P13">SUM(G10:G12)</f>
        <v>922251133.4791145</v>
      </c>
      <c r="H13" s="13">
        <f t="shared" si="0"/>
        <v>316526610.18317604</v>
      </c>
      <c r="I13" s="13">
        <f t="shared" si="0"/>
        <v>41412903.795833714</v>
      </c>
      <c r="J13" s="13">
        <f t="shared" si="0"/>
        <v>11010052.776021698</v>
      </c>
      <c r="K13" s="13">
        <f t="shared" si="0"/>
        <v>8535824.557557756</v>
      </c>
      <c r="L13" s="13">
        <f t="shared" si="0"/>
        <v>18213412.505182113</v>
      </c>
      <c r="M13" s="13">
        <f t="shared" si="0"/>
        <v>0</v>
      </c>
      <c r="N13" s="13">
        <f t="shared" si="0"/>
        <v>9018821.621642148</v>
      </c>
      <c r="O13" s="13">
        <f t="shared" si="0"/>
        <v>441744.7661774565</v>
      </c>
      <c r="P13" s="13">
        <f t="shared" si="0"/>
        <v>21984536.893466946</v>
      </c>
      <c r="R13" s="15"/>
    </row>
    <row r="14" spans="1:18" s="1" customFormat="1" ht="13.5" thickTop="1">
      <c r="A14" s="76"/>
      <c r="R14" s="15"/>
    </row>
    <row r="15" spans="1:18" s="1" customFormat="1" ht="12.75">
      <c r="A15" s="10"/>
      <c r="C15" s="3" t="s">
        <v>63</v>
      </c>
      <c r="E15" s="14"/>
      <c r="R15" s="15"/>
    </row>
    <row r="16" spans="1:18" s="1" customFormat="1" ht="12.75">
      <c r="A16" s="10">
        <f>A13+1</f>
        <v>5</v>
      </c>
      <c r="B16" s="9"/>
      <c r="C16" s="11" t="s">
        <v>64</v>
      </c>
      <c r="E16" s="15">
        <v>0</v>
      </c>
      <c r="F16" s="15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R16" s="15"/>
    </row>
    <row r="17" spans="1:18" s="1" customFormat="1" ht="12.75">
      <c r="A17" s="10">
        <f>A16+1</f>
        <v>6</v>
      </c>
      <c r="B17" s="9"/>
      <c r="C17" s="11" t="s">
        <v>65</v>
      </c>
      <c r="E17" s="15">
        <v>333460649</v>
      </c>
      <c r="F17" s="15"/>
      <c r="G17" s="15">
        <v>226714023</v>
      </c>
      <c r="H17" s="15">
        <v>65386783</v>
      </c>
      <c r="I17" s="15">
        <v>13729465.000000002</v>
      </c>
      <c r="J17" s="15">
        <v>6557084</v>
      </c>
      <c r="K17" s="15">
        <v>3542875</v>
      </c>
      <c r="L17" s="15">
        <v>5803776</v>
      </c>
      <c r="M17" s="15">
        <v>0</v>
      </c>
      <c r="N17" s="15">
        <v>3908922</v>
      </c>
      <c r="O17" s="15">
        <v>28932</v>
      </c>
      <c r="P17" s="15">
        <v>7788789</v>
      </c>
      <c r="R17" s="15"/>
    </row>
    <row r="18" spans="1:18" s="1" customFormat="1" ht="12.75">
      <c r="A18" s="10">
        <f>A17+1</f>
        <v>7</v>
      </c>
      <c r="B18" s="9"/>
      <c r="C18" s="11" t="s">
        <v>66</v>
      </c>
      <c r="E18" s="15">
        <v>6291643.98</v>
      </c>
      <c r="F18" s="15"/>
      <c r="G18" s="15">
        <v>4614507.2541702725</v>
      </c>
      <c r="H18" s="15">
        <v>1446076.2836678564</v>
      </c>
      <c r="I18" s="15">
        <v>44582.53877894496</v>
      </c>
      <c r="J18" s="15">
        <v>115235.2065296543</v>
      </c>
      <c r="K18" s="15">
        <v>32660.63065169131</v>
      </c>
      <c r="L18" s="15">
        <v>15640.510762376674</v>
      </c>
      <c r="M18" s="15">
        <v>0</v>
      </c>
      <c r="N18" s="15">
        <v>22222.4064911506</v>
      </c>
      <c r="O18" s="15">
        <v>719.148948053684</v>
      </c>
      <c r="P18" s="15">
        <v>0</v>
      </c>
      <c r="R18" s="15"/>
    </row>
    <row r="19" spans="1:18" s="1" customFormat="1" ht="13.5" thickBot="1">
      <c r="A19" s="10">
        <f>A18+1</f>
        <v>8</v>
      </c>
      <c r="C19" s="13" t="s">
        <v>67</v>
      </c>
      <c r="D19" s="13"/>
      <c r="E19" s="13">
        <f>SUM(E16:E18)</f>
        <v>339752292.98</v>
      </c>
      <c r="F19" s="13"/>
      <c r="G19" s="13">
        <f>SUM(G16:G18)</f>
        <v>231328530.25417027</v>
      </c>
      <c r="H19" s="13">
        <f aca="true" t="shared" si="1" ref="H19:P19">SUM(H16:H18)</f>
        <v>66832859.283667855</v>
      </c>
      <c r="I19" s="13">
        <f t="shared" si="1"/>
        <v>13774047.538778948</v>
      </c>
      <c r="J19" s="13">
        <f t="shared" si="1"/>
        <v>6672319.206529655</v>
      </c>
      <c r="K19" s="13">
        <f t="shared" si="1"/>
        <v>3575535.6306516915</v>
      </c>
      <c r="L19" s="13">
        <f t="shared" si="1"/>
        <v>5819416.510762377</v>
      </c>
      <c r="M19" s="13">
        <f t="shared" si="1"/>
        <v>0</v>
      </c>
      <c r="N19" s="13">
        <f t="shared" si="1"/>
        <v>3931144.4064911506</v>
      </c>
      <c r="O19" s="13">
        <f t="shared" si="1"/>
        <v>29651.148948053684</v>
      </c>
      <c r="P19" s="13">
        <f t="shared" si="1"/>
        <v>7788789</v>
      </c>
      <c r="R19" s="15"/>
    </row>
    <row r="20" spans="1:18" s="1" customFormat="1" ht="13.5" thickTop="1">
      <c r="A20" s="10"/>
      <c r="B20" s="9"/>
      <c r="E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15"/>
    </row>
    <row r="21" spans="1:18" s="1" customFormat="1" ht="12.75">
      <c r="A21" s="10"/>
      <c r="C21" s="3" t="s">
        <v>68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R21" s="15"/>
    </row>
    <row r="22" spans="1:18" s="1" customFormat="1" ht="12.75">
      <c r="A22" s="10">
        <v>9</v>
      </c>
      <c r="B22" s="9"/>
      <c r="C22" s="11" t="s">
        <v>69</v>
      </c>
      <c r="E22" s="15">
        <v>108932396.51641999</v>
      </c>
      <c r="F22" s="15"/>
      <c r="G22" s="15">
        <v>80201875.2573038</v>
      </c>
      <c r="H22" s="15">
        <v>21602649.62399221</v>
      </c>
      <c r="I22" s="15">
        <v>2267233.513190071</v>
      </c>
      <c r="J22" s="15">
        <v>1216332.2943361118</v>
      </c>
      <c r="K22" s="15">
        <v>595764.4499361836</v>
      </c>
      <c r="L22" s="15">
        <v>1220412.0918501925</v>
      </c>
      <c r="M22" s="15">
        <v>0</v>
      </c>
      <c r="N22" s="15">
        <v>840824.8197196361</v>
      </c>
      <c r="O22" s="15">
        <v>53555.0181883924</v>
      </c>
      <c r="P22" s="15">
        <v>933749.447903411</v>
      </c>
      <c r="R22" s="15"/>
    </row>
    <row r="23" spans="1:18" s="1" customFormat="1" ht="12.75">
      <c r="A23" s="10">
        <v>10</v>
      </c>
      <c r="B23" s="9"/>
      <c r="C23" s="11" t="s">
        <v>70</v>
      </c>
      <c r="E23" s="15">
        <v>99429848.88145334</v>
      </c>
      <c r="F23" s="15"/>
      <c r="G23" s="15">
        <v>62124349.93597427</v>
      </c>
      <c r="H23" s="15">
        <v>22531048.0042652</v>
      </c>
      <c r="I23" s="15">
        <v>2680730.4575177063</v>
      </c>
      <c r="J23" s="15">
        <v>707055.0879548594</v>
      </c>
      <c r="K23" s="15">
        <v>544704.5145039039</v>
      </c>
      <c r="L23" s="15">
        <v>1155190.4261848598</v>
      </c>
      <c r="M23" s="15">
        <v>0</v>
      </c>
      <c r="N23" s="15">
        <v>592558.7228633624</v>
      </c>
      <c r="O23" s="15">
        <v>50985.36735868714</v>
      </c>
      <c r="P23" s="15">
        <v>9043226.36483047</v>
      </c>
      <c r="R23" s="15"/>
    </row>
    <row r="24" spans="1:18" s="1" customFormat="1" ht="12.75">
      <c r="A24" s="10">
        <v>11</v>
      </c>
      <c r="B24" s="9"/>
      <c r="C24" s="11" t="s">
        <v>71</v>
      </c>
      <c r="E24" s="15">
        <v>28153872.639100004</v>
      </c>
      <c r="F24" s="15"/>
      <c r="G24" s="15">
        <v>18719712.49351695</v>
      </c>
      <c r="H24" s="15">
        <v>7013171.040194187</v>
      </c>
      <c r="I24" s="15">
        <v>850760.7491137317</v>
      </c>
      <c r="J24" s="15">
        <v>236487.94157006583</v>
      </c>
      <c r="K24" s="15">
        <v>176554.19880103436</v>
      </c>
      <c r="L24" s="15">
        <v>362792.2840319246</v>
      </c>
      <c r="M24" s="15">
        <v>0</v>
      </c>
      <c r="N24" s="15">
        <v>189614.0128057196</v>
      </c>
      <c r="O24" s="15">
        <v>5322.672057399389</v>
      </c>
      <c r="P24" s="15">
        <v>599457.2470089942</v>
      </c>
      <c r="R24" s="15"/>
    </row>
    <row r="25" spans="1:18" s="1" customFormat="1" ht="12.75">
      <c r="A25" s="10">
        <v>12</v>
      </c>
      <c r="B25" s="9"/>
      <c r="C25" s="11" t="s">
        <v>72</v>
      </c>
      <c r="E25" s="15">
        <v>22497545.4</v>
      </c>
      <c r="F25" s="15"/>
      <c r="G25" s="15">
        <f>(G19-SUM(G22:G24))/($E19-SUM($E22:$E24))*$E25</f>
        <v>15316199.171335455</v>
      </c>
      <c r="H25" s="15">
        <f aca="true" t="shared" si="2" ref="H25:P25">(H19-SUM(H22:H24))/($E19-SUM($E22:$E24))*$E25</f>
        <v>3418339.416435721</v>
      </c>
      <c r="I25" s="15">
        <f t="shared" si="2"/>
        <v>1738006.9273020911</v>
      </c>
      <c r="J25" s="15">
        <f t="shared" si="2"/>
        <v>983365.677499337</v>
      </c>
      <c r="K25" s="15">
        <f t="shared" si="2"/>
        <v>492181.99725122086</v>
      </c>
      <c r="L25" s="15">
        <f t="shared" si="2"/>
        <v>671425.7459462605</v>
      </c>
      <c r="M25" s="15">
        <f t="shared" si="2"/>
        <v>0</v>
      </c>
      <c r="N25" s="15">
        <f t="shared" si="2"/>
        <v>502998.47511012014</v>
      </c>
      <c r="O25" s="15">
        <f t="shared" si="2"/>
        <v>-17480.02633393261</v>
      </c>
      <c r="P25" s="15">
        <f t="shared" si="2"/>
        <v>-607491.9845462745</v>
      </c>
      <c r="Q25" s="15"/>
      <c r="R25" s="15"/>
    </row>
    <row r="26" spans="1:18" s="1" customFormat="1" ht="13.5" thickBot="1">
      <c r="A26" s="10">
        <v>13</v>
      </c>
      <c r="C26" s="13" t="s">
        <v>73</v>
      </c>
      <c r="D26" s="17"/>
      <c r="E26" s="17">
        <f>SUM(E22:E25)</f>
        <v>259013663.43697336</v>
      </c>
      <c r="F26" s="17"/>
      <c r="G26" s="17">
        <f aca="true" t="shared" si="3" ref="G26:P26">SUM(G22:G25)</f>
        <v>176362136.85813048</v>
      </c>
      <c r="H26" s="17">
        <f t="shared" si="3"/>
        <v>54565208.08488731</v>
      </c>
      <c r="I26" s="17">
        <f t="shared" si="3"/>
        <v>7536731.647123601</v>
      </c>
      <c r="J26" s="17">
        <f t="shared" si="3"/>
        <v>3143241.001360374</v>
      </c>
      <c r="K26" s="17">
        <f t="shared" si="3"/>
        <v>1809205.160492343</v>
      </c>
      <c r="L26" s="17">
        <f t="shared" si="3"/>
        <v>3409820.548013238</v>
      </c>
      <c r="M26" s="17">
        <f t="shared" si="3"/>
        <v>0</v>
      </c>
      <c r="N26" s="17">
        <f t="shared" si="3"/>
        <v>2125996.030498838</v>
      </c>
      <c r="O26" s="17">
        <f t="shared" si="3"/>
        <v>92383.03127054633</v>
      </c>
      <c r="P26" s="17">
        <f t="shared" si="3"/>
        <v>9968941.075196601</v>
      </c>
      <c r="R26" s="15"/>
    </row>
    <row r="27" spans="1:18" s="1" customFormat="1" ht="13.5" thickTop="1">
      <c r="A27" s="10"/>
      <c r="E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R27" s="15"/>
    </row>
    <row r="28" spans="1:18" s="1" customFormat="1" ht="12.75">
      <c r="A28" s="18">
        <v>14</v>
      </c>
      <c r="B28" s="3"/>
      <c r="C28" s="11" t="s">
        <v>74</v>
      </c>
      <c r="D28" s="19"/>
      <c r="E28" s="11">
        <f>E19-E26</f>
        <v>80738629.54302666</v>
      </c>
      <c r="F28" s="11"/>
      <c r="G28" s="11">
        <f>G19-G26</f>
        <v>54966393.396039784</v>
      </c>
      <c r="H28" s="11">
        <f aca="true" t="shared" si="4" ref="H28:P28">H19-H26</f>
        <v>12267651.198780544</v>
      </c>
      <c r="I28" s="11">
        <f t="shared" si="4"/>
        <v>6237315.891655346</v>
      </c>
      <c r="J28" s="11">
        <f t="shared" si="4"/>
        <v>3529078.2051692805</v>
      </c>
      <c r="K28" s="11">
        <f t="shared" si="4"/>
        <v>1766330.4701593486</v>
      </c>
      <c r="L28" s="11">
        <f t="shared" si="4"/>
        <v>2409595.962749139</v>
      </c>
      <c r="M28" s="11">
        <f t="shared" si="4"/>
        <v>0</v>
      </c>
      <c r="N28" s="11">
        <f t="shared" si="4"/>
        <v>1805148.3759923126</v>
      </c>
      <c r="O28" s="11">
        <f t="shared" si="4"/>
        <v>-62731.882322492645</v>
      </c>
      <c r="P28" s="11">
        <f t="shared" si="4"/>
        <v>-2180152.0751966015</v>
      </c>
      <c r="R28" s="15"/>
    </row>
    <row r="29" spans="1:18" s="1" customFormat="1" ht="13.5" thickBot="1">
      <c r="A29" s="10">
        <v>15</v>
      </c>
      <c r="B29" s="3"/>
      <c r="C29" s="20" t="s">
        <v>75</v>
      </c>
      <c r="D29" s="21"/>
      <c r="E29" s="22">
        <f>IF(E13=0,0,E28/E13)</f>
        <v>0.05983320459547027</v>
      </c>
      <c r="F29" s="20"/>
      <c r="G29" s="22">
        <f aca="true" t="shared" si="5" ref="G29:O29">IF(G13=0,0,G28/G13)</f>
        <v>0.05960024487981241</v>
      </c>
      <c r="H29" s="22">
        <f>IF(H13=0,0,H28/H13)</f>
        <v>0.038757092781808056</v>
      </c>
      <c r="I29" s="22">
        <f t="shared" si="5"/>
        <v>0.15061286024291884</v>
      </c>
      <c r="J29" s="22">
        <f t="shared" si="5"/>
        <v>0.32053236046743594</v>
      </c>
      <c r="K29" s="22">
        <f t="shared" si="5"/>
        <v>0.2069314403369984</v>
      </c>
      <c r="L29" s="22">
        <f t="shared" si="5"/>
        <v>0.13229788553153102</v>
      </c>
      <c r="M29" s="22">
        <f t="shared" si="5"/>
        <v>0</v>
      </c>
      <c r="N29" s="22">
        <f t="shared" si="5"/>
        <v>0.20015346258324498</v>
      </c>
      <c r="O29" s="22">
        <f t="shared" si="5"/>
        <v>-0.14200933916055083</v>
      </c>
      <c r="P29" s="22">
        <f>IF(P13=0,0,P28/P13)</f>
        <v>-0.09916752332610965</v>
      </c>
      <c r="R29" s="15"/>
    </row>
    <row r="30" spans="1:18" s="1" customFormat="1" ht="13.5" thickTop="1">
      <c r="A30" s="10"/>
      <c r="B30" s="3"/>
      <c r="C30" s="23"/>
      <c r="D30" s="24"/>
      <c r="E30" s="25"/>
      <c r="F30" s="23"/>
      <c r="G30" s="26"/>
      <c r="H30" s="26"/>
      <c r="I30" s="26"/>
      <c r="J30" s="26"/>
      <c r="K30" s="26"/>
      <c r="L30" s="26"/>
      <c r="M30" s="26"/>
      <c r="N30" s="26"/>
      <c r="O30" s="26"/>
      <c r="P30" s="26"/>
      <c r="R30" s="15"/>
    </row>
    <row r="31" spans="1:18" s="1" customFormat="1" ht="12.75">
      <c r="A31" s="10"/>
      <c r="B31" s="3"/>
      <c r="C31" s="27" t="s">
        <v>76</v>
      </c>
      <c r="D31" s="24"/>
      <c r="E31" s="25"/>
      <c r="F31" s="23"/>
      <c r="G31" s="28"/>
      <c r="H31" s="26"/>
      <c r="I31" s="26"/>
      <c r="J31" s="26"/>
      <c r="K31" s="26"/>
      <c r="L31" s="26"/>
      <c r="M31" s="26"/>
      <c r="N31" s="26"/>
      <c r="O31" s="26"/>
      <c r="P31" s="26"/>
      <c r="R31" s="15"/>
    </row>
    <row r="32" spans="1:18" s="1" customFormat="1" ht="12.75">
      <c r="A32" s="18">
        <v>16</v>
      </c>
      <c r="B32" s="3"/>
      <c r="C32" s="11" t="s">
        <v>77</v>
      </c>
      <c r="D32" s="19"/>
      <c r="E32" s="26">
        <v>0.086</v>
      </c>
      <c r="F32" s="26"/>
      <c r="G32" s="26">
        <v>0.086</v>
      </c>
      <c r="H32" s="26">
        <v>0.086</v>
      </c>
      <c r="I32" s="26">
        <v>0.086</v>
      </c>
      <c r="J32" s="26">
        <v>0.086</v>
      </c>
      <c r="K32" s="26">
        <v>0.086</v>
      </c>
      <c r="L32" s="26">
        <v>0.086</v>
      </c>
      <c r="M32" s="26">
        <v>0.086</v>
      </c>
      <c r="N32" s="26">
        <v>0.086</v>
      </c>
      <c r="O32" s="26">
        <v>0.086</v>
      </c>
      <c r="P32" s="26">
        <v>0.086</v>
      </c>
      <c r="R32" s="15"/>
    </row>
    <row r="33" spans="1:18" s="1" customFormat="1" ht="12.75">
      <c r="A33" s="10">
        <v>17</v>
      </c>
      <c r="B33" s="3"/>
      <c r="C33" s="11" t="s">
        <v>78</v>
      </c>
      <c r="D33" s="19"/>
      <c r="E33" s="11">
        <f>E32*E13</f>
        <v>116047973.48972276</v>
      </c>
      <c r="F33" s="11"/>
      <c r="G33" s="11">
        <f aca="true" t="shared" si="6" ref="G33:O33">G32*G13</f>
        <v>79313597.47920385</v>
      </c>
      <c r="H33" s="11">
        <f t="shared" si="6"/>
        <v>27221288.475753136</v>
      </c>
      <c r="I33" s="11">
        <f t="shared" si="6"/>
        <v>3561509.726441699</v>
      </c>
      <c r="J33" s="11">
        <f t="shared" si="6"/>
        <v>946864.538737866</v>
      </c>
      <c r="K33" s="11">
        <f t="shared" si="6"/>
        <v>734080.9119499669</v>
      </c>
      <c r="L33" s="11">
        <f t="shared" si="6"/>
        <v>1566353.4754456617</v>
      </c>
      <c r="M33" s="11">
        <f t="shared" si="6"/>
        <v>0</v>
      </c>
      <c r="N33" s="11">
        <f t="shared" si="6"/>
        <v>775618.6594612247</v>
      </c>
      <c r="O33" s="11">
        <f t="shared" si="6"/>
        <v>37990.04989126125</v>
      </c>
      <c r="P33" s="11">
        <f>P32*P13</f>
        <v>1890670.1728381573</v>
      </c>
      <c r="R33" s="15"/>
    </row>
    <row r="34" spans="1:18" s="1" customFormat="1" ht="12.75">
      <c r="A34" s="10">
        <v>18</v>
      </c>
      <c r="B34" s="3"/>
      <c r="C34" s="11" t="s">
        <v>79</v>
      </c>
      <c r="D34" s="19"/>
      <c r="E34" s="15">
        <f>E28-E33</f>
        <v>-35309343.9466961</v>
      </c>
      <c r="F34" s="15"/>
      <c r="G34" s="15">
        <f>G28-G33</f>
        <v>-24347204.083164066</v>
      </c>
      <c r="H34" s="15">
        <f aca="true" t="shared" si="7" ref="H34:O34">H28-H33</f>
        <v>-14953637.276972592</v>
      </c>
      <c r="I34" s="15">
        <f t="shared" si="7"/>
        <v>2675806.1652136473</v>
      </c>
      <c r="J34" s="15">
        <f t="shared" si="7"/>
        <v>2582213.6664314144</v>
      </c>
      <c r="K34" s="15">
        <f t="shared" si="7"/>
        <v>1032249.5582093816</v>
      </c>
      <c r="L34" s="15">
        <f t="shared" si="7"/>
        <v>843242.4873034772</v>
      </c>
      <c r="M34" s="15">
        <f t="shared" si="7"/>
        <v>0</v>
      </c>
      <c r="N34" s="15">
        <f t="shared" si="7"/>
        <v>1029529.7165310879</v>
      </c>
      <c r="O34" s="15">
        <f t="shared" si="7"/>
        <v>-100721.9322137539</v>
      </c>
      <c r="P34" s="15">
        <f>P28-P33</f>
        <v>-4070822.2480347585</v>
      </c>
      <c r="R34" s="15"/>
    </row>
    <row r="35" spans="1:18" s="1" customFormat="1" ht="12.75">
      <c r="A35" s="10">
        <v>19</v>
      </c>
      <c r="B35" s="3"/>
      <c r="C35" s="11" t="s">
        <v>80</v>
      </c>
      <c r="D35" s="19"/>
      <c r="E35" s="29">
        <v>0.6219617</v>
      </c>
      <c r="F35" s="11"/>
      <c r="G35" s="29"/>
      <c r="H35" s="29"/>
      <c r="I35" s="29"/>
      <c r="J35" s="29"/>
      <c r="K35" s="29"/>
      <c r="L35" s="29"/>
      <c r="M35" s="29"/>
      <c r="N35" s="29"/>
      <c r="O35" s="29"/>
      <c r="P35" s="29"/>
      <c r="R35" s="15"/>
    </row>
    <row r="36" spans="1:18" s="1" customFormat="1" ht="12.75">
      <c r="A36" s="10">
        <v>20</v>
      </c>
      <c r="B36" s="3"/>
      <c r="C36" s="30" t="s">
        <v>81</v>
      </c>
      <c r="D36" s="31"/>
      <c r="E36" s="30">
        <f>SUM(G36:P36)</f>
        <v>-56771023.94669617</v>
      </c>
      <c r="F36" s="30"/>
      <c r="G36" s="30">
        <f>G19-G38</f>
        <v>-39055778.02562782</v>
      </c>
      <c r="H36" s="30">
        <f aca="true" t="shared" si="8" ref="H36:P36">H19-H38</f>
        <v>-21875050.7650337</v>
      </c>
      <c r="I36" s="30">
        <f t="shared" si="8"/>
        <v>3070149.2024665847</v>
      </c>
      <c r="J36" s="30">
        <f t="shared" si="8"/>
        <v>3208572.755978531</v>
      </c>
      <c r="K36" s="30">
        <f t="shared" si="8"/>
        <v>1247513.6933757183</v>
      </c>
      <c r="L36" s="30">
        <f t="shared" si="8"/>
        <v>925171.1776124258</v>
      </c>
      <c r="M36" s="30">
        <f t="shared" si="8"/>
        <v>0</v>
      </c>
      <c r="N36" s="30">
        <f t="shared" si="8"/>
        <v>1240376.6679889094</v>
      </c>
      <c r="O36" s="30">
        <f t="shared" si="8"/>
        <v>-131869.13735727998</v>
      </c>
      <c r="P36" s="30">
        <f t="shared" si="8"/>
        <v>-5400109.516099542</v>
      </c>
      <c r="Q36" s="23"/>
      <c r="R36" s="15"/>
    </row>
    <row r="37" spans="1:18" s="1" customFormat="1" ht="12.75">
      <c r="A37" s="10"/>
      <c r="B37" s="3"/>
      <c r="C37" s="11"/>
      <c r="D37" s="19"/>
      <c r="E37" s="32"/>
      <c r="F37" s="11"/>
      <c r="G37" s="33"/>
      <c r="H37" s="33"/>
      <c r="I37" s="33"/>
      <c r="J37" s="33"/>
      <c r="K37" s="33"/>
      <c r="L37" s="33"/>
      <c r="M37" s="33"/>
      <c r="N37" s="33"/>
      <c r="O37" s="33"/>
      <c r="P37" s="33"/>
      <c r="R37" s="15"/>
    </row>
    <row r="38" spans="1:18" s="1" customFormat="1" ht="12.75">
      <c r="A38" s="10">
        <v>21</v>
      </c>
      <c r="B38" s="3"/>
      <c r="C38" s="11" t="s">
        <v>82</v>
      </c>
      <c r="D38" s="19"/>
      <c r="E38" s="34">
        <f>SUM(G38:P38)</f>
        <v>396523316.9266962</v>
      </c>
      <c r="F38" s="34"/>
      <c r="G38" s="34">
        <f>SUM(G48,G33)</f>
        <v>270384308.2797981</v>
      </c>
      <c r="H38" s="34">
        <f aca="true" t="shared" si="9" ref="H38:P38">SUM(H48,H33)</f>
        <v>88707910.04870155</v>
      </c>
      <c r="I38" s="34">
        <f t="shared" si="9"/>
        <v>10703898.336312363</v>
      </c>
      <c r="J38" s="34">
        <f t="shared" si="9"/>
        <v>3463746.4505511234</v>
      </c>
      <c r="K38" s="34">
        <f t="shared" si="9"/>
        <v>2328021.937275973</v>
      </c>
      <c r="L38" s="34">
        <f t="shared" si="9"/>
        <v>4894245.333149951</v>
      </c>
      <c r="M38" s="34">
        <f t="shared" si="9"/>
        <v>0</v>
      </c>
      <c r="N38" s="34">
        <f t="shared" si="9"/>
        <v>2690767.738502241</v>
      </c>
      <c r="O38" s="34">
        <f t="shared" si="9"/>
        <v>161520.28630533366</v>
      </c>
      <c r="P38" s="34">
        <f t="shared" si="9"/>
        <v>13188898.516099542</v>
      </c>
      <c r="Q38" s="34"/>
      <c r="R38" s="15"/>
    </row>
    <row r="39" spans="1:18" s="1" customFormat="1" ht="12.75">
      <c r="A39" s="10">
        <v>22</v>
      </c>
      <c r="B39" s="3"/>
      <c r="C39" s="11" t="s">
        <v>83</v>
      </c>
      <c r="D39" s="19"/>
      <c r="E39" s="15">
        <f>SUM(G39:P39)</f>
        <v>6291643.98</v>
      </c>
      <c r="F39" s="15"/>
      <c r="G39" s="15">
        <f>G18</f>
        <v>4614507.2541702725</v>
      </c>
      <c r="H39" s="15">
        <f aca="true" t="shared" si="10" ref="H39:P39">H18</f>
        <v>1446076.2836678564</v>
      </c>
      <c r="I39" s="15">
        <f t="shared" si="10"/>
        <v>44582.53877894496</v>
      </c>
      <c r="J39" s="15">
        <f t="shared" si="10"/>
        <v>115235.2065296543</v>
      </c>
      <c r="K39" s="15">
        <f t="shared" si="10"/>
        <v>32660.63065169131</v>
      </c>
      <c r="L39" s="15">
        <f t="shared" si="10"/>
        <v>15640.510762376674</v>
      </c>
      <c r="M39" s="15">
        <f t="shared" si="10"/>
        <v>0</v>
      </c>
      <c r="N39" s="15">
        <f t="shared" si="10"/>
        <v>22222.4064911506</v>
      </c>
      <c r="O39" s="15">
        <f t="shared" si="10"/>
        <v>719.148948053684</v>
      </c>
      <c r="P39" s="15">
        <f t="shared" si="10"/>
        <v>0</v>
      </c>
      <c r="Q39" s="15"/>
      <c r="R39" s="15"/>
    </row>
    <row r="40" spans="1:18" s="1" customFormat="1" ht="12.75">
      <c r="A40" s="10">
        <v>23</v>
      </c>
      <c r="B40" s="3"/>
      <c r="C40" s="11" t="s">
        <v>84</v>
      </c>
      <c r="D40" s="19"/>
      <c r="E40" s="15">
        <f>SUM(G40:P40)</f>
        <v>390231672.94669616</v>
      </c>
      <c r="F40" s="15"/>
      <c r="G40" s="15">
        <f>G38-G39</f>
        <v>265769801.02562782</v>
      </c>
      <c r="H40" s="15">
        <f aca="true" t="shared" si="11" ref="H40:P40">H38-H39</f>
        <v>87261833.76503369</v>
      </c>
      <c r="I40" s="15">
        <f t="shared" si="11"/>
        <v>10659315.797533417</v>
      </c>
      <c r="J40" s="15">
        <f t="shared" si="11"/>
        <v>3348511.2440214693</v>
      </c>
      <c r="K40" s="15">
        <f t="shared" si="11"/>
        <v>2295361.3066242817</v>
      </c>
      <c r="L40" s="15">
        <f t="shared" si="11"/>
        <v>4878604.822387574</v>
      </c>
      <c r="M40" s="15">
        <f t="shared" si="11"/>
        <v>0</v>
      </c>
      <c r="N40" s="15">
        <f t="shared" si="11"/>
        <v>2668545.3320110906</v>
      </c>
      <c r="O40" s="15">
        <f t="shared" si="11"/>
        <v>160801.13735727998</v>
      </c>
      <c r="P40" s="15">
        <f t="shared" si="11"/>
        <v>13188898.516099542</v>
      </c>
      <c r="R40" s="15"/>
    </row>
    <row r="41" spans="1:18" s="1" customFormat="1" ht="12.75">
      <c r="A41" s="10">
        <v>24</v>
      </c>
      <c r="B41" s="3"/>
      <c r="C41" s="11" t="s">
        <v>85</v>
      </c>
      <c r="D41" s="19"/>
      <c r="E41" s="35">
        <f>IF(SUM(E16:E17)=0,0,(E40/SUM(E16:E17))-1)</f>
        <v>0.17024804610962097</v>
      </c>
      <c r="F41" s="35"/>
      <c r="G41" s="35">
        <f>IF(SUM(G16:G17)=0,0,(G40/SUM(G16:G17))-1)</f>
        <v>0.17226891177184855</v>
      </c>
      <c r="H41" s="35">
        <f aca="true" t="shared" si="12" ref="H41:P41">IF(SUM(H16:H17)=0,0,(H40/SUM(H16:H17))-1)</f>
        <v>0.33454850906235434</v>
      </c>
      <c r="I41" s="35">
        <f t="shared" si="12"/>
        <v>-0.22361754099424735</v>
      </c>
      <c r="J41" s="35">
        <f t="shared" si="12"/>
        <v>-0.48932921340927316</v>
      </c>
      <c r="K41" s="35">
        <f t="shared" si="12"/>
        <v>-0.3521190257561213</v>
      </c>
      <c r="L41" s="35">
        <f t="shared" si="12"/>
        <v>-0.159408491577281</v>
      </c>
      <c r="M41" s="35">
        <f t="shared" si="12"/>
        <v>0</v>
      </c>
      <c r="N41" s="35">
        <f t="shared" si="12"/>
        <v>-0.3173193704015863</v>
      </c>
      <c r="O41" s="35">
        <f t="shared" si="12"/>
        <v>4.557899120602792</v>
      </c>
      <c r="P41" s="35">
        <f t="shared" si="12"/>
        <v>0.693318244479282</v>
      </c>
      <c r="R41" s="15"/>
    </row>
    <row r="42" spans="1:18" s="1" customFormat="1" ht="12.75">
      <c r="A42" s="10"/>
      <c r="B42" s="3"/>
      <c r="C42" s="11"/>
      <c r="D42" s="1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5"/>
    </row>
    <row r="43" spans="1:18" s="1" customFormat="1" ht="12.75">
      <c r="A43" s="10"/>
      <c r="C43" s="3" t="s">
        <v>86</v>
      </c>
      <c r="E43" s="32"/>
      <c r="F43" s="11"/>
      <c r="G43" s="32"/>
      <c r="H43" s="32"/>
      <c r="I43" s="32"/>
      <c r="J43" s="32"/>
      <c r="K43" s="32"/>
      <c r="L43" s="32"/>
      <c r="M43" s="32"/>
      <c r="N43" s="32"/>
      <c r="O43" s="32"/>
      <c r="P43" s="32"/>
      <c r="R43" s="15"/>
    </row>
    <row r="44" spans="1:18" s="1" customFormat="1" ht="12.75">
      <c r="A44" s="10">
        <v>25</v>
      </c>
      <c r="B44" s="9"/>
      <c r="C44" s="11" t="s">
        <v>69</v>
      </c>
      <c r="E44" s="11">
        <v>109200355.51641999</v>
      </c>
      <c r="F44" s="11"/>
      <c r="G44" s="11">
        <v>80395334.27686274</v>
      </c>
      <c r="H44" s="11">
        <v>21665445.416625123</v>
      </c>
      <c r="I44" s="11">
        <v>2272020.143864978</v>
      </c>
      <c r="J44" s="11">
        <v>1218618.3513246647</v>
      </c>
      <c r="K44" s="11">
        <v>596999.6352949985</v>
      </c>
      <c r="L44" s="11">
        <v>1222435.5160864529</v>
      </c>
      <c r="M44" s="11">
        <v>0</v>
      </c>
      <c r="N44" s="11">
        <v>842187.623437845</v>
      </c>
      <c r="O44" s="11">
        <v>53565.1050197938</v>
      </c>
      <c r="P44" s="11">
        <v>933749.447903411</v>
      </c>
      <c r="R44" s="15"/>
    </row>
    <row r="45" spans="1:18" s="1" customFormat="1" ht="12.75">
      <c r="A45" s="10">
        <v>26</v>
      </c>
      <c r="B45" s="9"/>
      <c r="C45" s="11" t="s">
        <v>70</v>
      </c>
      <c r="E45" s="15">
        <v>99429848.88145334</v>
      </c>
      <c r="F45" s="15"/>
      <c r="G45" s="15">
        <v>62124349.93597427</v>
      </c>
      <c r="H45" s="15">
        <v>22531048.0042652</v>
      </c>
      <c r="I45" s="15">
        <v>2680730.4575177063</v>
      </c>
      <c r="J45" s="15">
        <v>707055.0879548594</v>
      </c>
      <c r="K45" s="15">
        <v>544704.5145039039</v>
      </c>
      <c r="L45" s="15">
        <v>1155190.4261848598</v>
      </c>
      <c r="M45" s="15">
        <v>0</v>
      </c>
      <c r="N45" s="15">
        <v>592558.7228633624</v>
      </c>
      <c r="O45" s="15">
        <v>50985.36735868714</v>
      </c>
      <c r="P45" s="15">
        <v>9043226.36483047</v>
      </c>
      <c r="R45" s="15"/>
    </row>
    <row r="46" spans="1:18" s="1" customFormat="1" ht="12.75">
      <c r="A46" s="10">
        <v>27</v>
      </c>
      <c r="B46" s="9"/>
      <c r="C46" s="11" t="s">
        <v>71</v>
      </c>
      <c r="E46" s="15">
        <v>30335011.639100004</v>
      </c>
      <c r="F46" s="15"/>
      <c r="G46" s="15">
        <v>20180711.821290094</v>
      </c>
      <c r="H46" s="15">
        <v>7553127.852602323</v>
      </c>
      <c r="I46" s="15">
        <v>915693.1214277438</v>
      </c>
      <c r="J46" s="15">
        <v>252516.92582583815</v>
      </c>
      <c r="K46" s="15">
        <v>189657.60541473163</v>
      </c>
      <c r="L46" s="15">
        <v>389984.41835935204</v>
      </c>
      <c r="M46" s="15">
        <v>0</v>
      </c>
      <c r="N46" s="15">
        <v>202965.49364055067</v>
      </c>
      <c r="O46" s="15">
        <v>5390.799372987789</v>
      </c>
      <c r="P46" s="15">
        <v>644963.6011663869</v>
      </c>
      <c r="R46" s="15"/>
    </row>
    <row r="47" spans="1:18" s="1" customFormat="1" ht="12.75">
      <c r="A47" s="10">
        <v>28</v>
      </c>
      <c r="B47" s="9"/>
      <c r="C47" s="11" t="s">
        <v>72</v>
      </c>
      <c r="E47" s="15">
        <v>41510127.4</v>
      </c>
      <c r="F47" s="15"/>
      <c r="G47" s="15">
        <v>28370314.766467135</v>
      </c>
      <c r="H47" s="15">
        <v>9737000.299455758</v>
      </c>
      <c r="I47" s="15">
        <v>1273944.887060236</v>
      </c>
      <c r="J47" s="15">
        <v>338691.54670789535</v>
      </c>
      <c r="K47" s="15">
        <v>262579.270112372</v>
      </c>
      <c r="L47" s="15">
        <v>560281.4970736245</v>
      </c>
      <c r="M47" s="15">
        <v>0</v>
      </c>
      <c r="N47" s="15">
        <v>277437.2390992586</v>
      </c>
      <c r="O47" s="15">
        <v>13588.964662603668</v>
      </c>
      <c r="P47" s="15">
        <v>676288.9293611172</v>
      </c>
      <c r="R47" s="15"/>
    </row>
    <row r="48" spans="1:18" s="1" customFormat="1" ht="13.5" thickBot="1">
      <c r="A48" s="10">
        <v>29</v>
      </c>
      <c r="C48" s="13" t="s">
        <v>87</v>
      </c>
      <c r="D48" s="17"/>
      <c r="E48" s="17">
        <f>SUM(E44:E47)</f>
        <v>280475343.43697333</v>
      </c>
      <c r="F48" s="17"/>
      <c r="G48" s="17">
        <f aca="true" t="shared" si="13" ref="G48:O48">SUM(G44:G47)</f>
        <v>191070710.80059424</v>
      </c>
      <c r="H48" s="17">
        <f t="shared" si="13"/>
        <v>61486621.57294841</v>
      </c>
      <c r="I48" s="17">
        <f t="shared" si="13"/>
        <v>7142388.609870664</v>
      </c>
      <c r="J48" s="17">
        <f t="shared" si="13"/>
        <v>2516881.9118132573</v>
      </c>
      <c r="K48" s="17">
        <f t="shared" si="13"/>
        <v>1593941.025326006</v>
      </c>
      <c r="L48" s="17">
        <f t="shared" si="13"/>
        <v>3327891.8577042893</v>
      </c>
      <c r="M48" s="17">
        <f t="shared" si="13"/>
        <v>0</v>
      </c>
      <c r="N48" s="17">
        <f t="shared" si="13"/>
        <v>1915149.0790410165</v>
      </c>
      <c r="O48" s="17">
        <f t="shared" si="13"/>
        <v>123530.23641407241</v>
      </c>
      <c r="P48" s="17">
        <f>SUM(P44:P47)</f>
        <v>11298228.343261385</v>
      </c>
      <c r="R48" s="15"/>
    </row>
    <row r="49" spans="1:18" s="37" customFormat="1" ht="13.5" thickTop="1">
      <c r="A49" s="10"/>
      <c r="B49" s="3"/>
      <c r="C49" s="11"/>
      <c r="D49" s="19"/>
      <c r="E49" s="11"/>
      <c r="F49" s="11"/>
      <c r="G49" s="36"/>
      <c r="H49" s="36"/>
      <c r="I49" s="36"/>
      <c r="J49" s="36"/>
      <c r="K49" s="36"/>
      <c r="L49" s="36"/>
      <c r="M49" s="36"/>
      <c r="N49" s="36"/>
      <c r="O49" s="36"/>
      <c r="P49" s="36"/>
      <c r="R49" s="25"/>
    </row>
    <row r="50" spans="1:18" s="37" customFormat="1" ht="12.75">
      <c r="A50" s="38">
        <v>30</v>
      </c>
      <c r="C50" s="39" t="s">
        <v>96</v>
      </c>
      <c r="D50" s="40"/>
      <c r="E50" s="40">
        <f>SUM(G50:P50)</f>
        <v>391526109</v>
      </c>
      <c r="F50" s="40"/>
      <c r="G50" s="77">
        <f>+'Exhibit KCH-2'!E8</f>
        <v>266279122</v>
      </c>
      <c r="H50" s="40">
        <f>+'Exhibit KCH-2'!E9</f>
        <v>81911436.86731754</v>
      </c>
      <c r="I50" s="40">
        <f>+'Exhibit KCH-2'!E10</f>
        <v>13729465</v>
      </c>
      <c r="J50" s="40">
        <f>+'Exhibit KCH-2'!E12</f>
        <v>6557084</v>
      </c>
      <c r="K50" s="40">
        <f>+'Exhibit KCH-2'!E13</f>
        <v>3542875</v>
      </c>
      <c r="L50" s="40">
        <f>+'Exhibit KCH-2'!E14</f>
        <v>5803776</v>
      </c>
      <c r="M50" s="40">
        <v>0</v>
      </c>
      <c r="N50" s="40">
        <f>+'Exhibit KCH-2'!E15+'Exhibit KCH-2'!E16</f>
        <v>3908922</v>
      </c>
      <c r="O50" s="40">
        <f>+'Exhibit KCH-2'!E11</f>
        <v>36243.74197221526</v>
      </c>
      <c r="P50" s="40">
        <f>+'Exhibit KCH-2'!E17</f>
        <v>9757184.390710235</v>
      </c>
      <c r="R50" s="25"/>
    </row>
    <row r="51" spans="1:18" s="37" customFormat="1" ht="12.75">
      <c r="A51" s="38">
        <v>31</v>
      </c>
      <c r="C51" s="41" t="s">
        <v>20</v>
      </c>
      <c r="D51" s="42"/>
      <c r="E51" s="15">
        <f>SUM(G51:P51)</f>
        <v>6291643.98</v>
      </c>
      <c r="F51" s="43"/>
      <c r="G51" s="43">
        <f>G39</f>
        <v>4614507.2541702725</v>
      </c>
      <c r="H51" s="43">
        <f aca="true" t="shared" si="14" ref="H51:P51">H39</f>
        <v>1446076.2836678564</v>
      </c>
      <c r="I51" s="43">
        <f t="shared" si="14"/>
        <v>44582.53877894496</v>
      </c>
      <c r="J51" s="43">
        <f t="shared" si="14"/>
        <v>115235.2065296543</v>
      </c>
      <c r="K51" s="43">
        <f t="shared" si="14"/>
        <v>32660.63065169131</v>
      </c>
      <c r="L51" s="43">
        <f t="shared" si="14"/>
        <v>15640.510762376674</v>
      </c>
      <c r="M51" s="43">
        <f t="shared" si="14"/>
        <v>0</v>
      </c>
      <c r="N51" s="43">
        <f t="shared" si="14"/>
        <v>22222.4064911506</v>
      </c>
      <c r="O51" s="43">
        <f t="shared" si="14"/>
        <v>719.148948053684</v>
      </c>
      <c r="P51" s="43">
        <f t="shared" si="14"/>
        <v>0</v>
      </c>
      <c r="R51" s="25"/>
    </row>
    <row r="52" spans="1:18" s="37" customFormat="1" ht="13.5" thickBot="1">
      <c r="A52" s="38">
        <v>32</v>
      </c>
      <c r="C52" s="44" t="s">
        <v>97</v>
      </c>
      <c r="D52" s="17"/>
      <c r="E52" s="17">
        <f>SUM(G52:P52)</f>
        <v>397817752.98000014</v>
      </c>
      <c r="F52" s="17"/>
      <c r="G52" s="17">
        <f>G51+G50</f>
        <v>270893629.2541703</v>
      </c>
      <c r="H52" s="17">
        <f aca="true" t="shared" si="15" ref="H52:P52">H51+H50</f>
        <v>83357513.1509854</v>
      </c>
      <c r="I52" s="17">
        <f t="shared" si="15"/>
        <v>13774047.538778946</v>
      </c>
      <c r="J52" s="17">
        <f t="shared" si="15"/>
        <v>6672319.206529655</v>
      </c>
      <c r="K52" s="17">
        <f t="shared" si="15"/>
        <v>3575535.6306516915</v>
      </c>
      <c r="L52" s="17">
        <f t="shared" si="15"/>
        <v>5819416.510762377</v>
      </c>
      <c r="M52" s="17">
        <f t="shared" si="15"/>
        <v>0</v>
      </c>
      <c r="N52" s="17">
        <f t="shared" si="15"/>
        <v>3931144.4064911506</v>
      </c>
      <c r="O52" s="17">
        <f t="shared" si="15"/>
        <v>36962.89092026895</v>
      </c>
      <c r="P52" s="17">
        <f t="shared" si="15"/>
        <v>9757184.390710235</v>
      </c>
      <c r="R52" s="25"/>
    </row>
    <row r="53" spans="1:18" s="37" customFormat="1" ht="13.5" thickTop="1">
      <c r="A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R53" s="25"/>
    </row>
    <row r="54" spans="1:18" s="37" customFormat="1" ht="12.75">
      <c r="A54" s="38">
        <v>33</v>
      </c>
      <c r="C54" s="45" t="s">
        <v>95</v>
      </c>
      <c r="D54" s="46"/>
      <c r="E54" s="46">
        <f>SUM(G54:P54)</f>
        <v>58065460.00000003</v>
      </c>
      <c r="F54" s="46"/>
      <c r="G54" s="46">
        <f>+G52-G19</f>
        <v>39565099.00000003</v>
      </c>
      <c r="H54" s="46">
        <f aca="true" t="shared" si="16" ref="H54:N54">+H52-H19</f>
        <v>16524653.86731755</v>
      </c>
      <c r="I54" s="46">
        <f t="shared" si="16"/>
        <v>0</v>
      </c>
      <c r="J54" s="46">
        <f t="shared" si="16"/>
        <v>0</v>
      </c>
      <c r="K54" s="46">
        <f t="shared" si="16"/>
        <v>0</v>
      </c>
      <c r="L54" s="46">
        <f t="shared" si="16"/>
        <v>0</v>
      </c>
      <c r="M54" s="46">
        <f t="shared" si="16"/>
        <v>0</v>
      </c>
      <c r="N54" s="46">
        <f t="shared" si="16"/>
        <v>0</v>
      </c>
      <c r="O54" s="46">
        <f>+O52-O19</f>
        <v>7311.741972215263</v>
      </c>
      <c r="P54" s="46">
        <f>+P52-P19</f>
        <v>1968395.3907102346</v>
      </c>
      <c r="R54" s="25"/>
    </row>
    <row r="55" spans="1:18" s="37" customFormat="1" ht="12.75">
      <c r="A55" s="38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R55" s="25"/>
    </row>
    <row r="56" spans="1:18" s="37" customFormat="1" ht="13.5" thickBot="1">
      <c r="A56" s="38">
        <v>34</v>
      </c>
      <c r="C56" s="47" t="s">
        <v>94</v>
      </c>
      <c r="D56" s="48"/>
      <c r="E56" s="48">
        <f>+E54+E19</f>
        <v>397817752.98</v>
      </c>
      <c r="F56" s="48"/>
      <c r="G56" s="48">
        <f>+G54+G19</f>
        <v>270893629.2541703</v>
      </c>
      <c r="H56" s="48">
        <f aca="true" t="shared" si="17" ref="H56:P56">+H54+H19</f>
        <v>83357513.1509854</v>
      </c>
      <c r="I56" s="48">
        <f t="shared" si="17"/>
        <v>13774047.538778948</v>
      </c>
      <c r="J56" s="48">
        <f t="shared" si="17"/>
        <v>6672319.206529655</v>
      </c>
      <c r="K56" s="48">
        <f t="shared" si="17"/>
        <v>3575535.6306516915</v>
      </c>
      <c r="L56" s="48">
        <f t="shared" si="17"/>
        <v>5819416.510762377</v>
      </c>
      <c r="M56" s="48">
        <f t="shared" si="17"/>
        <v>0</v>
      </c>
      <c r="N56" s="48">
        <f t="shared" si="17"/>
        <v>3931144.4064911506</v>
      </c>
      <c r="O56" s="48">
        <f t="shared" si="17"/>
        <v>36962.89092026895</v>
      </c>
      <c r="P56" s="48">
        <f t="shared" si="17"/>
        <v>9757184.390710235</v>
      </c>
      <c r="R56" s="25"/>
    </row>
    <row r="57" spans="1:18" s="37" customFormat="1" ht="13.5" thickTop="1">
      <c r="A57" s="38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R57" s="25"/>
    </row>
    <row r="58" spans="1:18" s="37" customFormat="1" ht="12.75">
      <c r="A58" s="38">
        <v>35</v>
      </c>
      <c r="C58" s="11" t="s">
        <v>88</v>
      </c>
      <c r="D58" s="19"/>
      <c r="E58" s="49">
        <f>IF(E40=0,0,SUM(E16,E17)/E40)</f>
        <v>0.8545196920639222</v>
      </c>
      <c r="F58" s="49"/>
      <c r="G58" s="49">
        <f aca="true" t="shared" si="18" ref="G58:O58">IF(G40=0,0,SUM(G16,G17)/G40)</f>
        <v>0.8530465919193666</v>
      </c>
      <c r="H58" s="49">
        <f t="shared" si="18"/>
        <v>0.7493170860477706</v>
      </c>
      <c r="I58" s="49">
        <f t="shared" si="18"/>
        <v>1.288024978411562</v>
      </c>
      <c r="J58" s="49">
        <f t="shared" si="18"/>
        <v>1.9582087447689511</v>
      </c>
      <c r="K58" s="49">
        <f t="shared" si="18"/>
        <v>1.5434933880672577</v>
      </c>
      <c r="L58" s="49">
        <f t="shared" si="18"/>
        <v>1.1896384747883002</v>
      </c>
      <c r="M58" s="49">
        <f t="shared" si="18"/>
        <v>0</v>
      </c>
      <c r="N58" s="49">
        <f t="shared" si="18"/>
        <v>1.4648137894116742</v>
      </c>
      <c r="O58" s="49">
        <f t="shared" si="18"/>
        <v>0.17992410051004007</v>
      </c>
      <c r="P58" s="49">
        <f>IF(P40=0,0,SUM(P16,P17)/P40)</f>
        <v>0.590556443397628</v>
      </c>
      <c r="R58" s="25"/>
    </row>
    <row r="59" spans="1:18" s="37" customFormat="1" ht="12.75">
      <c r="A59" s="38">
        <v>36</v>
      </c>
      <c r="C59" s="50" t="s">
        <v>89</v>
      </c>
      <c r="D59" s="51"/>
      <c r="E59" s="52">
        <f>+E58/$E$58</f>
        <v>1</v>
      </c>
      <c r="F59" s="52"/>
      <c r="G59" s="52">
        <f>+G58/$E$58</f>
        <v>0.99827610743411</v>
      </c>
      <c r="H59" s="52">
        <f aca="true" t="shared" si="19" ref="H59:O59">+H58/$E$58</f>
        <v>0.8768868558639583</v>
      </c>
      <c r="I59" s="52">
        <f t="shared" si="19"/>
        <v>1.5073087143265174</v>
      </c>
      <c r="J59" s="52">
        <f t="shared" si="19"/>
        <v>2.291589957440639</v>
      </c>
      <c r="K59" s="52">
        <f t="shared" si="19"/>
        <v>1.8062701215688273</v>
      </c>
      <c r="L59" s="52">
        <f t="shared" si="19"/>
        <v>1.392172100697838</v>
      </c>
      <c r="M59" s="52">
        <f t="shared" si="19"/>
        <v>0</v>
      </c>
      <c r="N59" s="52">
        <f t="shared" si="19"/>
        <v>1.7141954749734416</v>
      </c>
      <c r="O59" s="52">
        <f t="shared" si="19"/>
        <v>0.21055582706990547</v>
      </c>
      <c r="P59" s="52">
        <f>+P58/$E$58</f>
        <v>0.6910975240035212</v>
      </c>
      <c r="R59" s="25"/>
    </row>
    <row r="60" spans="1:18" s="37" customFormat="1" ht="13.5" thickBot="1">
      <c r="A60" s="38">
        <v>37</v>
      </c>
      <c r="C60" s="20" t="s">
        <v>93</v>
      </c>
      <c r="D60" s="21"/>
      <c r="E60" s="53">
        <f>IF(E38=0,0,E52/E38)</f>
        <v>1.0032644638992143</v>
      </c>
      <c r="F60" s="20"/>
      <c r="G60" s="53">
        <f>IF(G38=0,0,G52/G38)</f>
        <v>1.001883692798641</v>
      </c>
      <c r="H60" s="53">
        <f>IF(H38=0,0,H52/H38)</f>
        <v>0.9396852333148338</v>
      </c>
      <c r="I60" s="53">
        <f>IF(I38=0,0,I52/I38)</f>
        <v>1.2868253327903234</v>
      </c>
      <c r="J60" s="53">
        <f aca="true" t="shared" si="20" ref="J60:O60">IF(J38=0,0,J52/J38)</f>
        <v>1.9263301462114841</v>
      </c>
      <c r="K60" s="53">
        <f t="shared" si="20"/>
        <v>1.5358685300171349</v>
      </c>
      <c r="L60" s="53">
        <f t="shared" si="20"/>
        <v>1.1890324482399788</v>
      </c>
      <c r="M60" s="53">
        <f t="shared" si="20"/>
        <v>0</v>
      </c>
      <c r="N60" s="53">
        <f t="shared" si="20"/>
        <v>1.4609750036171234</v>
      </c>
      <c r="O60" s="53">
        <f t="shared" si="20"/>
        <v>0.22884364413764893</v>
      </c>
      <c r="P60" s="53">
        <f>IF(P38=0,0,P52/P38)</f>
        <v>0.7398028257477111</v>
      </c>
      <c r="R60" s="25"/>
    </row>
    <row r="61" ht="13.5" thickTop="1"/>
  </sheetData>
  <sheetProtection/>
  <mergeCells count="3">
    <mergeCell ref="A1:P1"/>
    <mergeCell ref="A2:P2"/>
    <mergeCell ref="A3:P3"/>
  </mergeCells>
  <printOptions horizontalCentered="1"/>
  <pageMargins left="0.5" right="0.5" top="0.8" bottom="0.5" header="0.5" footer="0.5"/>
  <pageSetup firstPageNumber="1" useFirstPageNumber="1" fitToHeight="1" fitToWidth="1" horizontalDpi="600" verticalDpi="600" orientation="landscape" pageOrder="overThenDown" scale="62" r:id="rId1"/>
  <headerFooter alignWithMargins="0">
    <oddHeader>&amp;R&amp;"Times New Roman,Bold"Nucor Exhibit No. _____ (KCH-1)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"/>
    </sheetView>
  </sheetViews>
  <sheetFormatPr defaultColWidth="9.33203125" defaultRowHeight="12.75"/>
  <cols>
    <col min="1" max="1" width="27" style="59" customWidth="1"/>
    <col min="2" max="2" width="13.33203125" style="60" customWidth="1"/>
    <col min="3" max="3" width="16.33203125" style="59" bestFit="1" customWidth="1"/>
    <col min="4" max="4" width="16.33203125" style="59" customWidth="1"/>
    <col min="5" max="5" width="16.33203125" style="59" bestFit="1" customWidth="1"/>
    <col min="6" max="6" width="12.66015625" style="59" customWidth="1"/>
    <col min="7" max="16384" width="9.33203125" style="59" customWidth="1"/>
  </cols>
  <sheetData>
    <row r="1" spans="1:6" ht="38.25" customHeight="1">
      <c r="A1" s="80" t="s">
        <v>34</v>
      </c>
      <c r="B1" s="80"/>
      <c r="C1" s="80"/>
      <c r="D1" s="80"/>
      <c r="E1" s="80"/>
      <c r="F1" s="80"/>
    </row>
    <row r="3" spans="3:5" ht="12.75">
      <c r="C3" s="60" t="s">
        <v>17</v>
      </c>
      <c r="E3" s="60" t="s">
        <v>26</v>
      </c>
    </row>
    <row r="4" spans="3:5" ht="12.75">
      <c r="C4" s="60" t="s">
        <v>18</v>
      </c>
      <c r="E4" s="60" t="s">
        <v>21</v>
      </c>
    </row>
    <row r="5" spans="3:6" ht="12.75">
      <c r="C5" s="60" t="s">
        <v>19</v>
      </c>
      <c r="D5" s="60" t="s">
        <v>26</v>
      </c>
      <c r="E5" s="60" t="s">
        <v>19</v>
      </c>
      <c r="F5" s="60" t="s">
        <v>26</v>
      </c>
    </row>
    <row r="6" spans="1:6" ht="12.75">
      <c r="A6" s="59" t="s">
        <v>0</v>
      </c>
      <c r="C6" s="60" t="s">
        <v>24</v>
      </c>
      <c r="D6" s="60" t="s">
        <v>21</v>
      </c>
      <c r="E6" s="60" t="s">
        <v>24</v>
      </c>
      <c r="F6" s="60" t="s">
        <v>21</v>
      </c>
    </row>
    <row r="7" spans="1:6" ht="12.75">
      <c r="A7" s="61" t="s">
        <v>1</v>
      </c>
      <c r="B7" s="62" t="s">
        <v>13</v>
      </c>
      <c r="C7" s="62" t="s">
        <v>25</v>
      </c>
      <c r="D7" s="62" t="s">
        <v>22</v>
      </c>
      <c r="E7" s="62" t="s">
        <v>25</v>
      </c>
      <c r="F7" s="62" t="s">
        <v>23</v>
      </c>
    </row>
    <row r="8" spans="1:6" ht="12.75">
      <c r="A8" s="59" t="s">
        <v>2</v>
      </c>
      <c r="B8" s="60">
        <v>23</v>
      </c>
      <c r="C8" s="68">
        <v>226714023</v>
      </c>
      <c r="D8" s="69">
        <v>39565099</v>
      </c>
      <c r="E8" s="68">
        <f>+C8+D8</f>
        <v>266279122</v>
      </c>
      <c r="F8" s="55">
        <f>+D8/C8</f>
        <v>0.17451544671323663</v>
      </c>
    </row>
    <row r="9" spans="1:6" ht="12.75">
      <c r="A9" s="59" t="s">
        <v>3</v>
      </c>
      <c r="B9" s="60" t="s">
        <v>14</v>
      </c>
      <c r="C9" s="64">
        <v>65386783</v>
      </c>
      <c r="D9" s="64">
        <v>16524653.867317548</v>
      </c>
      <c r="E9" s="64">
        <f aca="true" t="shared" si="0" ref="E9:E18">+C9+D9</f>
        <v>81911436.86731754</v>
      </c>
      <c r="F9" s="55">
        <f>+D9/C9</f>
        <v>0.25272162215592636</v>
      </c>
    </row>
    <row r="10" spans="1:6" ht="12.75">
      <c r="A10" s="59" t="s">
        <v>4</v>
      </c>
      <c r="B10" s="60">
        <v>41</v>
      </c>
      <c r="C10" s="64">
        <v>13729465</v>
      </c>
      <c r="D10" s="64">
        <v>0</v>
      </c>
      <c r="E10" s="64">
        <f t="shared" si="0"/>
        <v>13729465</v>
      </c>
      <c r="F10" s="55">
        <f>+D10/C10</f>
        <v>0</v>
      </c>
    </row>
    <row r="11" spans="1:6" ht="12.75">
      <c r="A11" s="59" t="s">
        <v>5</v>
      </c>
      <c r="B11" s="60">
        <v>50</v>
      </c>
      <c r="C11" s="64">
        <v>28932</v>
      </c>
      <c r="D11" s="64">
        <f>+F11*C11</f>
        <v>7311.741972215262</v>
      </c>
      <c r="E11" s="64">
        <f t="shared" si="0"/>
        <v>36243.74197221526</v>
      </c>
      <c r="F11" s="55">
        <f>+F9</f>
        <v>0.25272162215592636</v>
      </c>
    </row>
    <row r="12" spans="1:6" ht="12.75">
      <c r="A12" s="59" t="s">
        <v>6</v>
      </c>
      <c r="B12" s="60">
        <v>85</v>
      </c>
      <c r="C12" s="64">
        <v>6557084</v>
      </c>
      <c r="D12" s="64">
        <v>0</v>
      </c>
      <c r="E12" s="64">
        <f t="shared" si="0"/>
        <v>6557084</v>
      </c>
      <c r="F12" s="55">
        <f>+D12/C12</f>
        <v>0</v>
      </c>
    </row>
    <row r="13" spans="1:6" ht="12.75">
      <c r="A13" s="59" t="s">
        <v>7</v>
      </c>
      <c r="B13" s="60">
        <v>86</v>
      </c>
      <c r="C13" s="64">
        <v>3542875</v>
      </c>
      <c r="D13" s="64">
        <v>0</v>
      </c>
      <c r="E13" s="64">
        <f t="shared" si="0"/>
        <v>3542875</v>
      </c>
      <c r="F13" s="55">
        <f aca="true" t="shared" si="1" ref="F13:F18">+D13/C13</f>
        <v>0</v>
      </c>
    </row>
    <row r="14" spans="1:6" ht="12.75">
      <c r="A14" s="59" t="s">
        <v>8</v>
      </c>
      <c r="B14" s="60">
        <v>87</v>
      </c>
      <c r="C14" s="64">
        <v>5803776</v>
      </c>
      <c r="D14" s="64">
        <v>0</v>
      </c>
      <c r="E14" s="64">
        <f t="shared" si="0"/>
        <v>5803776</v>
      </c>
      <c r="F14" s="55">
        <f t="shared" si="1"/>
        <v>0</v>
      </c>
    </row>
    <row r="15" spans="1:6" ht="12.75">
      <c r="A15" s="59" t="s">
        <v>9</v>
      </c>
      <c r="B15" s="60">
        <v>57</v>
      </c>
      <c r="C15" s="64">
        <v>2319556</v>
      </c>
      <c r="D15" s="64">
        <v>0</v>
      </c>
      <c r="E15" s="64">
        <f t="shared" si="0"/>
        <v>2319556</v>
      </c>
      <c r="F15" s="55">
        <f t="shared" si="1"/>
        <v>0</v>
      </c>
    </row>
    <row r="16" spans="1:6" ht="12.75">
      <c r="A16" s="59" t="s">
        <v>10</v>
      </c>
      <c r="B16" s="60" t="s">
        <v>15</v>
      </c>
      <c r="C16" s="64">
        <v>1589366</v>
      </c>
      <c r="D16" s="64">
        <v>0</v>
      </c>
      <c r="E16" s="64">
        <f t="shared" si="0"/>
        <v>1589366</v>
      </c>
      <c r="F16" s="55">
        <f t="shared" si="1"/>
        <v>0</v>
      </c>
    </row>
    <row r="17" spans="1:6" ht="12.75">
      <c r="A17" s="59" t="s">
        <v>11</v>
      </c>
      <c r="B17" s="60" t="s">
        <v>16</v>
      </c>
      <c r="C17" s="64">
        <v>7788789</v>
      </c>
      <c r="D17" s="64">
        <f>+F17*C17</f>
        <v>1968395.3907102356</v>
      </c>
      <c r="E17" s="64">
        <f t="shared" si="0"/>
        <v>9757184.390710235</v>
      </c>
      <c r="F17" s="55">
        <f>+F9</f>
        <v>0.25272162215592636</v>
      </c>
    </row>
    <row r="18" spans="1:6" ht="12.75">
      <c r="A18" s="59" t="s">
        <v>20</v>
      </c>
      <c r="C18" s="65">
        <v>6291644</v>
      </c>
      <c r="D18" s="65">
        <v>0</v>
      </c>
      <c r="E18" s="65">
        <f t="shared" si="0"/>
        <v>6291644</v>
      </c>
      <c r="F18" s="58">
        <f t="shared" si="1"/>
        <v>0</v>
      </c>
    </row>
    <row r="19" spans="1:6" ht="12.75">
      <c r="A19" s="59" t="s">
        <v>12</v>
      </c>
      <c r="C19" s="68">
        <f>SUM(C8:C18)</f>
        <v>339752293</v>
      </c>
      <c r="D19" s="68">
        <f>SUM(D8:D18)</f>
        <v>58065460</v>
      </c>
      <c r="E19" s="68">
        <f>SUM(E8:E18)</f>
        <v>397817753</v>
      </c>
      <c r="F19" s="55">
        <f>+D19/C19</f>
        <v>0.17090527774598419</v>
      </c>
    </row>
    <row r="20" spans="4:6" ht="12.75">
      <c r="D20" s="63"/>
      <c r="F20" s="55"/>
    </row>
  </sheetData>
  <sheetProtection/>
  <mergeCells count="1">
    <mergeCell ref="A1:F1"/>
  </mergeCells>
  <printOptions horizontalCentered="1"/>
  <pageMargins left="0.7" right="0.7" top="1" bottom="1" header="0.5" footer="0.3"/>
  <pageSetup fitToHeight="1" fitToWidth="1" horizontalDpi="600" verticalDpi="600" orientation="portrait" scale="99" r:id="rId1"/>
  <headerFooter alignWithMargins="0">
    <oddHeader>&amp;R&amp;"Times New Roman,Bold"Nucor Exhibit No. ___ (KCH-2)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:G1"/>
    </sheetView>
  </sheetViews>
  <sheetFormatPr defaultColWidth="9.33203125" defaultRowHeight="12.75"/>
  <cols>
    <col min="1" max="1" width="30.66015625" style="59" customWidth="1"/>
    <col min="2" max="2" width="13.33203125" style="60" customWidth="1"/>
    <col min="3" max="3" width="22.33203125" style="59" bestFit="1" customWidth="1"/>
    <col min="4" max="6" width="16.33203125" style="59" customWidth="1"/>
    <col min="7" max="7" width="9.5" style="59" bestFit="1" customWidth="1"/>
    <col min="8" max="8" width="3.33203125" style="59" customWidth="1"/>
    <col min="9" max="10" width="15.33203125" style="59" bestFit="1" customWidth="1"/>
    <col min="11" max="16384" width="9.33203125" style="59" customWidth="1"/>
  </cols>
  <sheetData>
    <row r="1" spans="1:7" ht="38.25" customHeight="1">
      <c r="A1" s="80" t="s">
        <v>102</v>
      </c>
      <c r="B1" s="84"/>
      <c r="C1" s="84"/>
      <c r="D1" s="84"/>
      <c r="E1" s="84"/>
      <c r="F1" s="84"/>
      <c r="G1" s="84"/>
    </row>
    <row r="2" spans="1:7" ht="12.75">
      <c r="A2" s="85" t="s">
        <v>98</v>
      </c>
      <c r="B2" s="85"/>
      <c r="C2" s="85"/>
      <c r="D2" s="85"/>
      <c r="E2" s="85"/>
      <c r="F2" s="85"/>
      <c r="G2" s="85"/>
    </row>
    <row r="5" ht="13.5" thickBot="1"/>
    <row r="6" spans="4:7" ht="13.5" thickBot="1">
      <c r="D6" s="81" t="s">
        <v>30</v>
      </c>
      <c r="E6" s="82"/>
      <c r="F6" s="82"/>
      <c r="G6" s="83"/>
    </row>
    <row r="8" spans="3:6" ht="12.75">
      <c r="C8" s="60" t="s">
        <v>17</v>
      </c>
      <c r="D8" s="60" t="s">
        <v>26</v>
      </c>
      <c r="E8" s="60" t="s">
        <v>26</v>
      </c>
      <c r="F8" s="60" t="s">
        <v>26</v>
      </c>
    </row>
    <row r="9" spans="3:6" ht="12.75">
      <c r="C9" s="60" t="s">
        <v>18</v>
      </c>
      <c r="D9" s="60" t="s">
        <v>1</v>
      </c>
      <c r="E9" s="60" t="s">
        <v>99</v>
      </c>
      <c r="F9" s="60" t="s">
        <v>21</v>
      </c>
    </row>
    <row r="10" spans="3:7" ht="12.75">
      <c r="C10" s="60" t="s">
        <v>19</v>
      </c>
      <c r="D10" s="60" t="s">
        <v>27</v>
      </c>
      <c r="E10" s="60" t="s">
        <v>100</v>
      </c>
      <c r="F10" s="60" t="s">
        <v>19</v>
      </c>
      <c r="G10" s="60" t="s">
        <v>26</v>
      </c>
    </row>
    <row r="11" spans="1:7" ht="12.75">
      <c r="A11" s="59" t="s">
        <v>0</v>
      </c>
      <c r="C11" s="60" t="s">
        <v>24</v>
      </c>
      <c r="D11" s="60" t="s">
        <v>28</v>
      </c>
      <c r="E11" s="60" t="s">
        <v>33</v>
      </c>
      <c r="F11" s="60" t="s">
        <v>24</v>
      </c>
      <c r="G11" s="60" t="s">
        <v>21</v>
      </c>
    </row>
    <row r="12" spans="1:12" ht="12.75">
      <c r="A12" s="61" t="s">
        <v>1</v>
      </c>
      <c r="B12" s="62" t="s">
        <v>13</v>
      </c>
      <c r="C12" s="62" t="s">
        <v>25</v>
      </c>
      <c r="D12" s="62" t="s">
        <v>29</v>
      </c>
      <c r="E12" s="66">
        <v>0.05</v>
      </c>
      <c r="F12" s="62" t="s">
        <v>25</v>
      </c>
      <c r="G12" s="62" t="s">
        <v>23</v>
      </c>
      <c r="L12" s="67"/>
    </row>
    <row r="13" spans="1:7" ht="12.75">
      <c r="A13" s="59" t="s">
        <v>2</v>
      </c>
      <c r="B13" s="60">
        <v>23</v>
      </c>
      <c r="C13" s="68">
        <v>226714023</v>
      </c>
      <c r="D13" s="56">
        <f>+'Exhibit KCH-2'!D8/'Exhibit KCH-2'!$D$19</f>
        <v>0.6813878508841573</v>
      </c>
      <c r="E13" s="69">
        <f>++'Exhibit KCH-2'!D8+D13*-$E$12*$C$24</f>
        <v>27989944.761988275</v>
      </c>
      <c r="F13" s="69">
        <f>+C13+E13</f>
        <v>254703967.76198828</v>
      </c>
      <c r="G13" s="55">
        <f>+E13/C13</f>
        <v>0.12345925669533143</v>
      </c>
    </row>
    <row r="14" spans="1:7" ht="12.75">
      <c r="A14" s="59" t="s">
        <v>3</v>
      </c>
      <c r="B14" s="60" t="s">
        <v>14</v>
      </c>
      <c r="C14" s="64">
        <v>65386783</v>
      </c>
      <c r="D14" s="56">
        <f>+'Exhibit KCH-2'!D9/'Exhibit KCH-2'!$D$19</f>
        <v>0.2845866349343921</v>
      </c>
      <c r="E14" s="70">
        <f>++'Exhibit KCH-2'!D9+D14*-$E$12*$C$24</f>
        <v>11690205.778511867</v>
      </c>
      <c r="F14" s="70">
        <f aca="true" t="shared" si="0" ref="F14:F23">+C14+E14</f>
        <v>77076988.77851187</v>
      </c>
      <c r="G14" s="55">
        <f aca="true" t="shared" si="1" ref="G14:G24">+E14/C14</f>
        <v>0.17878545544153573</v>
      </c>
    </row>
    <row r="15" spans="1:7" ht="12.75">
      <c r="A15" s="59" t="s">
        <v>4</v>
      </c>
      <c r="B15" s="60">
        <v>41</v>
      </c>
      <c r="C15" s="64">
        <v>13729465</v>
      </c>
      <c r="D15" s="56">
        <f>+'Exhibit KCH-2'!D10/'Exhibit KCH-2'!$D$19</f>
        <v>0</v>
      </c>
      <c r="E15" s="70">
        <f>++'Exhibit KCH-2'!D10+D15*-$E$12*$C$24</f>
        <v>0</v>
      </c>
      <c r="F15" s="70">
        <f t="shared" si="0"/>
        <v>13729465</v>
      </c>
      <c r="G15" s="55">
        <f t="shared" si="1"/>
        <v>0</v>
      </c>
    </row>
    <row r="16" spans="1:7" ht="12.75">
      <c r="A16" s="59" t="s">
        <v>5</v>
      </c>
      <c r="B16" s="60">
        <v>50</v>
      </c>
      <c r="C16" s="64">
        <v>28932</v>
      </c>
      <c r="D16" s="56">
        <f>+'Exhibit KCH-2'!D11/'Exhibit KCH-2'!$D$19</f>
        <v>0.000125922398138502</v>
      </c>
      <c r="E16" s="70">
        <f>++'Exhibit KCH-2'!D11+D16*-$E$12*$C$24</f>
        <v>5172.6207968345125</v>
      </c>
      <c r="F16" s="70">
        <f t="shared" si="0"/>
        <v>34104.62079683451</v>
      </c>
      <c r="G16" s="55">
        <f t="shared" si="1"/>
        <v>0.17878545544153576</v>
      </c>
    </row>
    <row r="17" spans="1:7" ht="12.75">
      <c r="A17" s="59" t="s">
        <v>6</v>
      </c>
      <c r="B17" s="60">
        <v>85</v>
      </c>
      <c r="C17" s="64">
        <v>6557084</v>
      </c>
      <c r="D17" s="56">
        <f>+'Exhibit KCH-2'!D12/'Exhibit KCH-2'!$D$19</f>
        <v>0</v>
      </c>
      <c r="E17" s="70">
        <f>++'Exhibit KCH-2'!D12+D17*-$E$12*$C$24</f>
        <v>0</v>
      </c>
      <c r="F17" s="70">
        <f t="shared" si="0"/>
        <v>6557084</v>
      </c>
      <c r="G17" s="55">
        <f t="shared" si="1"/>
        <v>0</v>
      </c>
    </row>
    <row r="18" spans="1:7" ht="12.75">
      <c r="A18" s="59" t="s">
        <v>7</v>
      </c>
      <c r="B18" s="60">
        <v>86</v>
      </c>
      <c r="C18" s="64">
        <v>3542875</v>
      </c>
      <c r="D18" s="56">
        <f>+'Exhibit KCH-2'!D13/'Exhibit KCH-2'!$D$19</f>
        <v>0</v>
      </c>
      <c r="E18" s="70">
        <f>++'Exhibit KCH-2'!D13+D18*-$E$12*$C$24</f>
        <v>0</v>
      </c>
      <c r="F18" s="70">
        <f t="shared" si="0"/>
        <v>3542875</v>
      </c>
      <c r="G18" s="55">
        <f t="shared" si="1"/>
        <v>0</v>
      </c>
    </row>
    <row r="19" spans="1:7" ht="12.75">
      <c r="A19" s="59" t="s">
        <v>8</v>
      </c>
      <c r="B19" s="60">
        <v>87</v>
      </c>
      <c r="C19" s="64">
        <v>5803776</v>
      </c>
      <c r="D19" s="56">
        <f>+'Exhibit KCH-2'!D14/'Exhibit KCH-2'!$D$19</f>
        <v>0</v>
      </c>
      <c r="E19" s="70">
        <f>++'Exhibit KCH-2'!D14+D19*-$E$12*$C$24</f>
        <v>0</v>
      </c>
      <c r="F19" s="70">
        <f t="shared" si="0"/>
        <v>5803776</v>
      </c>
      <c r="G19" s="55">
        <f t="shared" si="1"/>
        <v>0</v>
      </c>
    </row>
    <row r="20" spans="1:7" ht="12.75">
      <c r="A20" s="59" t="s">
        <v>9</v>
      </c>
      <c r="B20" s="60">
        <v>57</v>
      </c>
      <c r="C20" s="64">
        <v>2319556</v>
      </c>
      <c r="D20" s="56">
        <f>+'Exhibit KCH-2'!D15/'Exhibit KCH-2'!$D$19</f>
        <v>0</v>
      </c>
      <c r="E20" s="70">
        <f>++'Exhibit KCH-2'!D15+D20*-$E$12*$C$24</f>
        <v>0</v>
      </c>
      <c r="F20" s="70">
        <f t="shared" si="0"/>
        <v>2319556</v>
      </c>
      <c r="G20" s="55">
        <f t="shared" si="1"/>
        <v>0</v>
      </c>
    </row>
    <row r="21" spans="1:7" ht="12.75">
      <c r="A21" s="59" t="s">
        <v>10</v>
      </c>
      <c r="B21" s="60" t="s">
        <v>15</v>
      </c>
      <c r="C21" s="64">
        <v>1589366</v>
      </c>
      <c r="D21" s="56">
        <f>+'Exhibit KCH-2'!D16/'Exhibit KCH-2'!$D$19</f>
        <v>0</v>
      </c>
      <c r="E21" s="70">
        <f>++'Exhibit KCH-2'!D16+D21*-$E$12*$C$24</f>
        <v>0</v>
      </c>
      <c r="F21" s="70">
        <f t="shared" si="0"/>
        <v>1589366</v>
      </c>
      <c r="G21" s="55">
        <f t="shared" si="1"/>
        <v>0</v>
      </c>
    </row>
    <row r="22" spans="1:7" ht="12.75">
      <c r="A22" s="59" t="s">
        <v>11</v>
      </c>
      <c r="B22" s="60" t="s">
        <v>16</v>
      </c>
      <c r="C22" s="64">
        <v>7788789</v>
      </c>
      <c r="D22" s="56">
        <f>+'Exhibit KCH-2'!D17/'Exhibit KCH-2'!$D$19</f>
        <v>0.03389959178331207</v>
      </c>
      <c r="E22" s="70">
        <f>++'Exhibit KCH-2'!D17+D22*-$E$12*$C$24</f>
        <v>1392522.1887030238</v>
      </c>
      <c r="F22" s="70">
        <f t="shared" si="0"/>
        <v>9181311.188703023</v>
      </c>
      <c r="G22" s="55">
        <f t="shared" si="1"/>
        <v>0.17878545544153576</v>
      </c>
    </row>
    <row r="23" spans="1:7" ht="12.75">
      <c r="A23" s="59" t="s">
        <v>20</v>
      </c>
      <c r="C23" s="65">
        <v>6291644</v>
      </c>
      <c r="D23" s="57">
        <f>+'Exhibit KCH-2'!D18/'Exhibit KCH-2'!$D$19</f>
        <v>0</v>
      </c>
      <c r="E23" s="71">
        <f>++'Exhibit KCH-2'!D18+D23*-$E$12*$C$24</f>
        <v>0</v>
      </c>
      <c r="F23" s="71">
        <f t="shared" si="0"/>
        <v>6291644</v>
      </c>
      <c r="G23" s="58">
        <f t="shared" si="1"/>
        <v>0</v>
      </c>
    </row>
    <row r="24" spans="1:7" ht="12.75">
      <c r="A24" s="59" t="s">
        <v>12</v>
      </c>
      <c r="C24" s="68">
        <f>SUM(C13:C23)</f>
        <v>339752293</v>
      </c>
      <c r="D24" s="72">
        <f>SUM(D13:D23)</f>
        <v>1</v>
      </c>
      <c r="E24" s="68">
        <f>SUM(E12:E23)</f>
        <v>41077845.400000006</v>
      </c>
      <c r="F24" s="68">
        <f>SUM(F13:F23)</f>
        <v>380830138.35</v>
      </c>
      <c r="G24" s="55">
        <f t="shared" si="1"/>
        <v>0.12090527789315025</v>
      </c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3.5" thickBot="1"/>
    <row r="32" spans="4:7" ht="13.5" thickBot="1">
      <c r="D32" s="81" t="s">
        <v>101</v>
      </c>
      <c r="E32" s="82"/>
      <c r="F32" s="82"/>
      <c r="G32" s="83"/>
    </row>
    <row r="34" spans="3:6" ht="12.75">
      <c r="C34" s="60" t="s">
        <v>17</v>
      </c>
      <c r="D34" s="60"/>
      <c r="E34" s="60" t="s">
        <v>26</v>
      </c>
      <c r="F34" s="60" t="s">
        <v>26</v>
      </c>
    </row>
    <row r="35" spans="3:6" ht="12.75">
      <c r="C35" s="60" t="s">
        <v>18</v>
      </c>
      <c r="D35" s="60"/>
      <c r="E35" s="60" t="s">
        <v>31</v>
      </c>
      <c r="F35" s="60" t="s">
        <v>21</v>
      </c>
    </row>
    <row r="36" spans="3:7" ht="12.75">
      <c r="C36" s="60" t="s">
        <v>19</v>
      </c>
      <c r="D36" s="60"/>
      <c r="E36" s="60" t="s">
        <v>32</v>
      </c>
      <c r="F36" s="60" t="s">
        <v>19</v>
      </c>
      <c r="G36" s="60" t="s">
        <v>26</v>
      </c>
    </row>
    <row r="37" spans="1:7" ht="12.75">
      <c r="A37" s="59" t="s">
        <v>0</v>
      </c>
      <c r="C37" s="60" t="s">
        <v>24</v>
      </c>
      <c r="D37" s="60"/>
      <c r="E37" s="60" t="s">
        <v>33</v>
      </c>
      <c r="F37" s="60" t="s">
        <v>24</v>
      </c>
      <c r="G37" s="60" t="s">
        <v>21</v>
      </c>
    </row>
    <row r="38" spans="1:7" ht="12.75">
      <c r="A38" s="61" t="s">
        <v>1</v>
      </c>
      <c r="B38" s="62" t="s">
        <v>13</v>
      </c>
      <c r="C38" s="62" t="s">
        <v>25</v>
      </c>
      <c r="D38" s="62"/>
      <c r="E38" s="66">
        <f>0.08-E12</f>
        <v>0.03</v>
      </c>
      <c r="F38" s="62" t="s">
        <v>25</v>
      </c>
      <c r="G38" s="62" t="s">
        <v>23</v>
      </c>
    </row>
    <row r="39" spans="1:7" ht="12.75">
      <c r="A39" s="59" t="s">
        <v>2</v>
      </c>
      <c r="B39" s="60">
        <v>23</v>
      </c>
      <c r="C39" s="68">
        <v>226714023</v>
      </c>
      <c r="D39" s="68"/>
      <c r="E39" s="68">
        <f aca="true" t="shared" si="2" ref="E39:E49">E13-$E$38*C13</f>
        <v>21188524.071988277</v>
      </c>
      <c r="F39" s="68">
        <f>+C13+E39</f>
        <v>247902547.07198828</v>
      </c>
      <c r="G39" s="55">
        <f aca="true" t="shared" si="3" ref="G39:G50">+E39/C13</f>
        <v>0.09345925669533145</v>
      </c>
    </row>
    <row r="40" spans="1:7" ht="12.75">
      <c r="A40" s="59" t="s">
        <v>3</v>
      </c>
      <c r="B40" s="60" t="s">
        <v>14</v>
      </c>
      <c r="C40" s="64">
        <v>65386783</v>
      </c>
      <c r="D40" s="64"/>
      <c r="E40" s="64">
        <f t="shared" si="2"/>
        <v>9728602.288511867</v>
      </c>
      <c r="F40" s="64">
        <f aca="true" t="shared" si="4" ref="F40:F49">+E40+C14</f>
        <v>75115385.28851187</v>
      </c>
      <c r="G40" s="55">
        <f t="shared" si="3"/>
        <v>0.14878545544153574</v>
      </c>
    </row>
    <row r="41" spans="1:7" ht="12.75">
      <c r="A41" s="59" t="s">
        <v>4</v>
      </c>
      <c r="B41" s="60">
        <v>41</v>
      </c>
      <c r="C41" s="64">
        <v>13729465</v>
      </c>
      <c r="D41" s="64"/>
      <c r="E41" s="64">
        <f t="shared" si="2"/>
        <v>-411883.95</v>
      </c>
      <c r="F41" s="64">
        <f t="shared" si="4"/>
        <v>13317581.05</v>
      </c>
      <c r="G41" s="55">
        <f t="shared" si="3"/>
        <v>-0.030000000000000002</v>
      </c>
    </row>
    <row r="42" spans="1:7" ht="12.75">
      <c r="A42" s="59" t="s">
        <v>5</v>
      </c>
      <c r="B42" s="60">
        <v>50</v>
      </c>
      <c r="C42" s="64">
        <v>28932</v>
      </c>
      <c r="D42" s="64"/>
      <c r="E42" s="64">
        <f t="shared" si="2"/>
        <v>4304.660796834512</v>
      </c>
      <c r="F42" s="64">
        <f t="shared" si="4"/>
        <v>33236.66079683451</v>
      </c>
      <c r="G42" s="55">
        <f t="shared" si="3"/>
        <v>0.14878545544153576</v>
      </c>
    </row>
    <row r="43" spans="1:7" ht="12.75">
      <c r="A43" s="59" t="s">
        <v>6</v>
      </c>
      <c r="B43" s="60">
        <v>85</v>
      </c>
      <c r="C43" s="64">
        <v>6557084</v>
      </c>
      <c r="D43" s="64"/>
      <c r="E43" s="64">
        <f t="shared" si="2"/>
        <v>-196712.52</v>
      </c>
      <c r="F43" s="64">
        <f t="shared" si="4"/>
        <v>6360371.48</v>
      </c>
      <c r="G43" s="55">
        <f t="shared" si="3"/>
        <v>-0.03</v>
      </c>
    </row>
    <row r="44" spans="1:7" ht="12.75">
      <c r="A44" s="59" t="s">
        <v>7</v>
      </c>
      <c r="B44" s="60">
        <v>86</v>
      </c>
      <c r="C44" s="64">
        <v>3542875</v>
      </c>
      <c r="D44" s="64"/>
      <c r="E44" s="64">
        <f t="shared" si="2"/>
        <v>-106286.25</v>
      </c>
      <c r="F44" s="64">
        <f t="shared" si="4"/>
        <v>3436588.75</v>
      </c>
      <c r="G44" s="55">
        <f t="shared" si="3"/>
        <v>-0.03</v>
      </c>
    </row>
    <row r="45" spans="1:7" ht="12.75">
      <c r="A45" s="59" t="s">
        <v>8</v>
      </c>
      <c r="B45" s="60">
        <v>87</v>
      </c>
      <c r="C45" s="64">
        <v>5803776</v>
      </c>
      <c r="D45" s="64"/>
      <c r="E45" s="64">
        <f t="shared" si="2"/>
        <v>-174113.28</v>
      </c>
      <c r="F45" s="64">
        <f t="shared" si="4"/>
        <v>5629662.72</v>
      </c>
      <c r="G45" s="55">
        <f t="shared" si="3"/>
        <v>-0.03</v>
      </c>
    </row>
    <row r="46" spans="1:7" ht="12.75">
      <c r="A46" s="59" t="s">
        <v>9</v>
      </c>
      <c r="B46" s="60">
        <v>57</v>
      </c>
      <c r="C46" s="64">
        <v>2319556</v>
      </c>
      <c r="D46" s="64"/>
      <c r="E46" s="64">
        <f t="shared" si="2"/>
        <v>-69586.68</v>
      </c>
      <c r="F46" s="64">
        <f t="shared" si="4"/>
        <v>2249969.32</v>
      </c>
      <c r="G46" s="55">
        <f t="shared" si="3"/>
        <v>-0.029999999999999995</v>
      </c>
    </row>
    <row r="47" spans="1:7" ht="12.75">
      <c r="A47" s="59" t="s">
        <v>10</v>
      </c>
      <c r="B47" s="60" t="s">
        <v>15</v>
      </c>
      <c r="C47" s="64">
        <v>1589366</v>
      </c>
      <c r="D47" s="64"/>
      <c r="E47" s="64">
        <f t="shared" si="2"/>
        <v>-47680.979999999996</v>
      </c>
      <c r="F47" s="64">
        <f t="shared" si="4"/>
        <v>1541685.02</v>
      </c>
      <c r="G47" s="55">
        <f t="shared" si="3"/>
        <v>-0.03</v>
      </c>
    </row>
    <row r="48" spans="1:7" ht="12.75">
      <c r="A48" s="59" t="s">
        <v>11</v>
      </c>
      <c r="B48" s="60" t="s">
        <v>16</v>
      </c>
      <c r="C48" s="64">
        <v>7788789</v>
      </c>
      <c r="D48" s="64"/>
      <c r="E48" s="64">
        <f t="shared" si="2"/>
        <v>1158858.518703024</v>
      </c>
      <c r="F48" s="64">
        <f t="shared" si="4"/>
        <v>8947647.518703025</v>
      </c>
      <c r="G48" s="55">
        <f t="shared" si="3"/>
        <v>0.14878545544153576</v>
      </c>
    </row>
    <row r="49" spans="1:7" ht="12.75">
      <c r="A49" s="59" t="s">
        <v>20</v>
      </c>
      <c r="C49" s="65">
        <v>6291644</v>
      </c>
      <c r="D49" s="65"/>
      <c r="E49" s="65">
        <f t="shared" si="2"/>
        <v>-188749.32</v>
      </c>
      <c r="F49" s="65">
        <f t="shared" si="4"/>
        <v>6102894.68</v>
      </c>
      <c r="G49" s="58">
        <f t="shared" si="3"/>
        <v>-0.030000000000000002</v>
      </c>
    </row>
    <row r="50" spans="1:7" ht="12.75">
      <c r="A50" s="59" t="s">
        <v>12</v>
      </c>
      <c r="C50" s="68">
        <f>SUM(C39:C49)</f>
        <v>339752293</v>
      </c>
      <c r="D50" s="68"/>
      <c r="E50" s="68">
        <f>SUM(E39:E49)</f>
        <v>30885276.560000002</v>
      </c>
      <c r="F50" s="68">
        <f>SUM(F39:F49)</f>
        <v>370637569.56000006</v>
      </c>
      <c r="G50" s="55">
        <f t="shared" si="3"/>
        <v>0.0909052777459842</v>
      </c>
    </row>
  </sheetData>
  <sheetProtection/>
  <mergeCells count="4">
    <mergeCell ref="D6:G6"/>
    <mergeCell ref="D32:G32"/>
    <mergeCell ref="A1:G1"/>
    <mergeCell ref="A2:G2"/>
  </mergeCells>
  <printOptions horizontalCentered="1"/>
  <pageMargins left="0.7" right="0.7" top="1" bottom="0.75" header="0.5" footer="0.3"/>
  <pageSetup fitToHeight="1" fitToWidth="1" horizontalDpi="600" verticalDpi="600" orientation="portrait" scale="81" r:id="rId1"/>
  <headerFooter alignWithMargins="0">
    <oddHeader>&amp;R&amp;"Times New Roman,Bold"Nucor Exhibit No. ___ (KCH-3)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EJL</cp:lastModifiedBy>
  <cp:lastPrinted>2008-05-29T17:09:28Z</cp:lastPrinted>
  <dcterms:created xsi:type="dcterms:W3CDTF">2008-05-28T17:14:08Z</dcterms:created>
  <dcterms:modified xsi:type="dcterms:W3CDTF">2008-05-30T17:53:23Z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