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9.2020 Final Report\"/>
    </mc:Choice>
  </mc:AlternateContent>
  <bookViews>
    <workbookView xWindow="0" yWindow="0" windowWidth="20520" windowHeight="7448" tabRatio="796" activeTab="1"/>
  </bookViews>
  <sheets>
    <sheet name="Input Tab" sheetId="27" r:id="rId1"/>
    <sheet name="WA Summary " sheetId="10" r:id="rId2"/>
    <sheet name="WA Monthly" sheetId="6" r:id="rId3"/>
    <sheet name="WA RRC" sheetId="24" r:id="rId4"/>
    <sheet name="Solar Select" sheetId="28" r:id="rId5"/>
  </sheets>
  <definedNames>
    <definedName name="_xlnm._FilterDatabase" localSheetId="0" hidden="1">'Input Tab'!$M$1:$M$353</definedName>
    <definedName name="_xlnm._FilterDatabase" localSheetId="2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IDAVARpt">#REF!</definedName>
    <definedName name="IDRevRpt">#REF!</definedName>
    <definedName name="INputs">#REF!</definedName>
    <definedName name="_xlnm.Print_Area" localSheetId="2">'WA Monthly'!$A$1:$R$142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Monthly'!$A$6:$P$140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27" l="1"/>
  <c r="K39" i="27"/>
  <c r="K81" i="27"/>
  <c r="K54" i="27"/>
  <c r="K46" i="27"/>
  <c r="K47" i="27"/>
  <c r="K82" i="27" l="1"/>
  <c r="K55" i="27"/>
  <c r="K20" i="27"/>
  <c r="K11" i="28"/>
  <c r="K6" i="28"/>
  <c r="J82" i="27" l="1"/>
  <c r="J55" i="27"/>
  <c r="J54" i="27"/>
  <c r="J81" i="27"/>
  <c r="J47" i="27" l="1"/>
  <c r="J46" i="27"/>
  <c r="J39" i="27"/>
  <c r="J33" i="27"/>
  <c r="J20" i="27"/>
  <c r="J11" i="28"/>
  <c r="J6" i="28"/>
  <c r="I33" i="27" l="1"/>
  <c r="I39" i="27"/>
  <c r="I54" i="27"/>
  <c r="I81" i="27"/>
  <c r="I82" i="27" l="1"/>
  <c r="I55" i="27"/>
  <c r="I46" i="27" l="1"/>
  <c r="I47" i="27"/>
  <c r="I20" i="27"/>
  <c r="I11" i="28"/>
  <c r="I6" i="28"/>
  <c r="H33" i="27" l="1"/>
  <c r="H39" i="27"/>
  <c r="H20" i="27"/>
  <c r="H46" i="27" l="1"/>
  <c r="H47" i="27"/>
  <c r="H40" i="27"/>
  <c r="H82" i="27"/>
  <c r="H55" i="27"/>
  <c r="H54" i="27" l="1"/>
  <c r="H81" i="27"/>
  <c r="H11" i="28" l="1"/>
  <c r="H6" i="28"/>
  <c r="G33" i="27" l="1"/>
  <c r="G39" i="27"/>
  <c r="G34" i="27"/>
  <c r="G54" i="27" l="1"/>
  <c r="G81" i="27"/>
  <c r="G82" i="27"/>
  <c r="G55" i="27"/>
  <c r="G46" i="27" l="1"/>
  <c r="G47" i="27"/>
  <c r="G20" i="27"/>
  <c r="G11" i="28" l="1"/>
  <c r="G6" i="28"/>
  <c r="F11" i="28" l="1"/>
  <c r="F6" i="28"/>
  <c r="E11" i="28"/>
  <c r="E6" i="28"/>
  <c r="D11" i="28"/>
  <c r="D6" i="28"/>
  <c r="C11" i="28"/>
  <c r="C6" i="28"/>
  <c r="F54" i="27" l="1"/>
  <c r="F81" i="27" l="1"/>
  <c r="F46" i="27" l="1"/>
  <c r="F47" i="27"/>
  <c r="F33" i="27"/>
  <c r="F39" i="27"/>
  <c r="F22" i="27"/>
  <c r="F20" i="27" l="1"/>
  <c r="F55" i="27" l="1"/>
  <c r="F82" i="27"/>
  <c r="E33" i="27" l="1"/>
  <c r="E35" i="27"/>
  <c r="E39" i="27"/>
  <c r="E46" i="27" l="1"/>
  <c r="E47" i="27"/>
  <c r="E20" i="27"/>
  <c r="E82" i="27"/>
  <c r="E55" i="27"/>
  <c r="E54" i="27" l="1"/>
  <c r="E81" i="27"/>
  <c r="D82" i="27" l="1"/>
  <c r="D81" i="27"/>
  <c r="D55" i="27"/>
  <c r="D54" i="27"/>
  <c r="D33" i="27" l="1"/>
  <c r="D39" i="27"/>
  <c r="D47" i="27"/>
  <c r="D46" i="27"/>
  <c r="D20" i="27" l="1"/>
  <c r="C55" i="27" l="1"/>
  <c r="C82" i="27"/>
  <c r="C81" i="27"/>
  <c r="C54" i="27"/>
  <c r="C46" i="27" l="1"/>
  <c r="C47" i="27"/>
  <c r="C33" i="27" l="1"/>
  <c r="C39" i="27"/>
  <c r="C20" i="27"/>
  <c r="C38" i="27"/>
  <c r="C19" i="27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H43" i="28" s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B41" i="28" l="1"/>
  <c r="B43" i="28"/>
  <c r="M25" i="27" l="1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D25" i="27"/>
  <c r="E25" i="27"/>
  <c r="F25" i="27"/>
  <c r="G25" i="27"/>
  <c r="H25" i="27"/>
  <c r="I25" i="27"/>
  <c r="J25" i="27"/>
  <c r="K25" i="27"/>
  <c r="L25" i="27"/>
  <c r="N25" i="27"/>
  <c r="A23" i="27"/>
  <c r="A24" i="27" l="1"/>
  <c r="A5" i="27"/>
  <c r="A64" i="27" l="1"/>
  <c r="A63" i="27"/>
  <c r="A6" i="27"/>
  <c r="A25" i="27"/>
  <c r="A65" i="27" l="1"/>
  <c r="A35" i="27"/>
  <c r="A7" i="27"/>
  <c r="A36" i="27" l="1"/>
  <c r="A8" i="27"/>
  <c r="A66" i="27"/>
  <c r="A67" i="27" l="1"/>
  <c r="A9" i="27"/>
  <c r="A37" i="27"/>
  <c r="A10" i="27" l="1"/>
  <c r="A38" i="27"/>
  <c r="A68" i="27"/>
  <c r="A69" i="27" l="1"/>
  <c r="A39" i="27"/>
  <c r="A11" i="27"/>
  <c r="A41" i="27" l="1"/>
  <c r="A71" i="27"/>
  <c r="A70" i="27"/>
  <c r="A40" i="27"/>
  <c r="A12" i="27"/>
  <c r="A72" i="27" l="1"/>
  <c r="A74" i="27"/>
  <c r="A13" i="27"/>
  <c r="A45" i="27"/>
  <c r="A46" i="27" l="1"/>
  <c r="A47" i="27" l="1"/>
  <c r="A50" i="27" l="1"/>
  <c r="A51" i="27" l="1"/>
</calcChain>
</file>

<file path=xl/comments1.xml><?xml version="1.0" encoding="utf-8"?>
<comments xmlns="http://schemas.openxmlformats.org/spreadsheetml/2006/main">
  <authors>
    <author>CKettner</author>
    <author>tmm8381</author>
    <author>Kettner, Cheryl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2019 True-up of $(166,085.04)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C38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Capital Credit of $1,788.48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K41" authorId="2" shapeId="0">
      <text>
        <r>
          <rPr>
            <b/>
            <sz val="9"/>
            <color indexed="81"/>
            <rFont val="Tahoma"/>
            <charset val="1"/>
          </rPr>
          <t>Kettner, Cheryl:</t>
        </r>
        <r>
          <rPr>
            <sz val="9"/>
            <color indexed="81"/>
            <rFont val="Tahoma"/>
            <charset val="1"/>
          </rPr>
          <t xml:space="preserve">
Test Power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Contract no longer in effect as of spring 2019.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47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Enter as negative number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3" authorId="2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Deal number278613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Kettner, Cheryl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N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Kettner, Cheryl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<sst xmlns="http://schemas.openxmlformats.org/spreadsheetml/2006/main" count="373" uniqueCount="235">
  <si>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</si>
  <si>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</si>
  <si>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</si>
  <si>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</si>
  <si>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</si>
  <si>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</si>
  <si>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</si>
  <si>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</si>
  <si>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</si>
  <si>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</si>
  <si>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</si>
  <si>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</si>
  <si>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</si>
  <si>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</si>
  <si>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</si>
  <si>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</si>
  <si>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</si>
  <si>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</si>
  <si>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</si>
  <si>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</si>
  <si>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</si>
  <si>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</si>
  <si>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</si>
  <si>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</si>
  <si>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</si>
  <si>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</si>
  <si>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</si>
  <si>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</si>
  <si>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</si>
  <si>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</si>
  <si>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</si>
  <si>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</si>
  <si>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</si>
  <si>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</si>
  <si>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</si>
  <si>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</si>
  <si>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</si>
  <si>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</si>
  <si>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</si>
  <si>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</si>
  <si>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</si>
  <si>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</si>
  <si>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</si>
  <si>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</si>
  <si>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</si>
  <si>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</si>
  <si>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</si>
  <si>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</si>
  <si>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</si>
  <si>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</si>
  <si>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</si>
  <si>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</si>
  <si>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</si>
  <si>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</si>
  <si>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</si>
  <si>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</si>
  <si>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</si>
  <si>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</si>
  <si>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</si>
  <si>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</si>
  <si>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</si>
  <si>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</si>
  <si>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</si>
  <si>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</si>
  <si>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</si>
  <si>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</si>
  <si>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</si>
  <si>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</si>
  <si>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</si>
  <si>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</si>
  <si>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</si>
  <si>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</si>
  <si>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</si>
  <si>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</si>
  <si>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</si>
  <si>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</si>
  <si>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</si>
  <si>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</si>
  <si>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</si>
  <si>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</si>
  <si>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</si>
  <si>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</si>
  <si>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</si>
  <si>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</si>
  <si>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</si>
  <si>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</si>
  <si>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</si>
  <si>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</si>
  <si>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</si>
  <si>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</si>
  <si>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</si>
  <si>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</si>
  <si>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</si>
  <si>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</si>
  <si>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</si>
  <si>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</si>
  <si>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</si>
  <si>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</si>
  <si>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</si>
  <si>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</si>
  <si>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</si>
  <si>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</si>
  <si>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</si>
  <si>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</si>
  <si>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</si>
  <si>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</si>
  <si>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</si>
  <si>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</si>
  <si>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</si>
  <si>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</si>
  <si>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</si>
  <si>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</si>
  <si>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</si>
  <si>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</si>
  <si>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</si>
  <si>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</si>
  <si>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</si>
  <si>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</si>
  <si>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</si>
  <si>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</si>
  <si>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</si>
  <si>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</si>
  <si>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</si>
  <si>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</si>
  <si>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</si>
  <si>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</si>
  <si>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</si>
  <si>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</si>
  <si>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</si>
  <si>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</si>
  <si>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</si>
  <si>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</si>
  <si>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</si>
  <si>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</si>
  <si>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</si>
  <si>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</si>
  <si>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</si>
  <si>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</si>
  <si>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</si>
  <si>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</si>
  <si>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</si>
  <si>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</si>
  <si>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</si>
  <si>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</si>
  <si>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</si>
  <si>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</si>
  <si>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</si>
  <si>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</si>
  <si>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</si>
  <si>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</si>
  <si>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</si>
  <si>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</si>
  <si>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</si>
  <si>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</si>
  <si>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</si>
  <si>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</si>
  <si>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</si>
  <si>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</si>
  <si>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</si>
  <si>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</si>
  <si>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</si>
  <si>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</si>
  <si>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</si>
  <si>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</si>
  <si>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</si>
  <si>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</si>
  <si>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</si>
  <si>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</si>
  <si>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</si>
  <si>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</si>
  <si>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</si>
  <si>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</si>
  <si>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</si>
  <si>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</si>
  <si>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</si>
  <si>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</si>
  <si>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</si>
  <si>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</si>
  <si>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</si>
  <si>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</si>
  <si>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</si>
  <si>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</si>
  <si>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</si>
  <si>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</si>
  <si>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</si>
  <si>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</si>
  <si>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</si>
  <si>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</si>
  <si>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</si>
  <si>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</si>
  <si>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 xml:space="preserve">On WA Summary Tab, these #'s are divided by 65.73% </t>
  </si>
  <si>
    <t>Deduct Revenue From Solar Select</t>
  </si>
  <si>
    <t>Douglas County PUD (Wells) - Fixed Amount</t>
  </si>
  <si>
    <t>Solar Select Adjustment</t>
  </si>
  <si>
    <t>456030 ED AN - Clearwater Trans</t>
  </si>
  <si>
    <t>Deduct Current Month Clearwater Gen</t>
  </si>
  <si>
    <t>The City of Cove - 273436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</si>
  <si>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</si>
  <si>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</si>
  <si>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</si>
  <si>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</si>
  <si>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</si>
  <si>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</si>
  <si>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</si>
  <si>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</si>
  <si>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</si>
  <si>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</si>
  <si>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</si>
  <si>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</si>
  <si>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Gas Liquids Revenue</t>
  </si>
  <si>
    <t>Montana Invasive Species Expense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</si>
  <si>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</si>
  <si>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</si>
  <si>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</si>
  <si>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</si>
  <si>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</si>
  <si>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</si>
  <si>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</si>
  <si>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</si>
  <si>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</si>
  <si>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Updated for 01.31.20 from $24.84 for 2019 to $22.00 for 2020.</t>
  </si>
  <si>
    <t>Updated for Dec 2019 through Dec 2020 per Case No. AVU-E-19-04 Settlement Stipulation Appendix A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</si>
  <si>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</si>
  <si>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</si>
  <si>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</si>
  <si>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</si>
  <si>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</si>
  <si>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City of Spokane-Upriver - 290392</t>
  </si>
  <si>
    <t>=Capital X11.92%/12 (Updated for 2020)</t>
  </si>
  <si>
    <t>Total through September</t>
  </si>
  <si>
    <t>Rattlesnake Flat, LLC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</si>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</sst>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1" formatCode="0_);\(0\)"/>
    <numFmt numFmtId="172" formatCode="mmmm\ yyyy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0" borderId="0" xfId="0" applyFont="1"/>
    <xf numFmtId="164" fontId="0" fillId="0" borderId="0" xfId="0" applyNumberFormat="1"/>
    <xf numFmtId="17" fontId="3" fillId="0" borderId="1" xfId="0" applyNumberFormat="1" applyFont="1" applyBorder="1" applyAlignment="1">
      <alignment horizontal="center"/>
    </xf>
    <xf numFmtId="5" fontId="0" fillId="0" borderId="0" xfId="0" applyNumberFormat="1"/>
    <xf numFmtId="166" fontId="0" fillId="0" borderId="0" xfId="3" applyNumberFormat="1" applyFont="1"/>
    <xf numFmtId="0" fontId="4" fillId="0" borderId="0" xfId="0" applyFont="1"/>
    <xf numFmtId="0" fontId="4" fillId="0" borderId="0" xfId="0" applyFont="1" applyBorder="1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2" fillId="0" borderId="0" xfId="0" applyFont="1"/>
    <xf numFmtId="0" fontId="17" fillId="0" borderId="0" xfId="0" applyFont="1"/>
    <xf numFmtId="0" fontId="7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0" fillId="0" borderId="0" xfId="3" applyNumberFormat="1" applyFont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0" fontId="3" fillId="0" borderId="0" xfId="0" applyFont="1" applyAlignment="1">
      <alignment horizontal="left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2" fillId="0" borderId="1" xfId="6" applyNumberFormat="1" applyFill="1" applyBorder="1"/>
    <xf numFmtId="0" fontId="0" fillId="3" borderId="0" xfId="0" applyFill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4" fillId="3" borderId="0" xfId="0" applyFont="1" applyFill="1"/>
    <xf numFmtId="0" fontId="14" fillId="0" borderId="0" xfId="0" applyFont="1" applyFill="1" applyBorder="1"/>
    <xf numFmtId="0" fontId="3" fillId="0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3" fillId="0" borderId="0" xfId="3" applyFont="1" applyBorder="1" applyAlignment="1">
      <alignment horizontal="center"/>
    </xf>
    <xf numFmtId="43" fontId="4" fillId="0" borderId="1" xfId="3" applyFont="1" applyFill="1" applyBorder="1"/>
    <xf numFmtId="43" fontId="0" fillId="0" borderId="0" xfId="3" applyFont="1" applyFill="1"/>
    <xf numFmtId="43" fontId="29" fillId="4" borderId="0" xfId="3" applyFont="1" applyFill="1"/>
    <xf numFmtId="0" fontId="4" fillId="0" borderId="0" xfId="0" applyFont="1" applyAlignment="1">
      <alignment vertical="center" wrapText="1"/>
    </xf>
    <xf numFmtId="166" fontId="29" fillId="3" borderId="0" xfId="3" applyNumberFormat="1" applyFont="1" applyFill="1"/>
    <xf numFmtId="165" fontId="0" fillId="3" borderId="0" xfId="0" applyNumberFormat="1" applyFill="1"/>
    <xf numFmtId="43" fontId="29" fillId="0" borderId="0" xfId="3" applyFont="1" applyFill="1"/>
    <xf numFmtId="10" fontId="4" fillId="3" borderId="0" xfId="19" applyNumberFormat="1" applyFont="1" applyFill="1" applyBorder="1"/>
    <xf numFmtId="5" fontId="2" fillId="0" borderId="2" xfId="6" applyNumberFormat="1" applyFill="1" applyBorder="1"/>
    <xf numFmtId="43" fontId="30" fillId="0" borderId="0" xfId="3" applyFont="1" applyFill="1"/>
    <xf numFmtId="43" fontId="4" fillId="3" borderId="0" xfId="4" applyFont="1" applyFill="1" applyBorder="1"/>
    <xf numFmtId="43" fontId="4" fillId="3" borderId="0" xfId="4" applyFont="1" applyFill="1" applyBorder="1" applyAlignment="1">
      <alignment horizontal="center"/>
    </xf>
    <xf numFmtId="166" fontId="4" fillId="3" borderId="0" xfId="4" applyNumberFormat="1" applyFont="1" applyFill="1"/>
    <xf numFmtId="43" fontId="4" fillId="3" borderId="0" xfId="4" applyFont="1" applyFill="1"/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5" borderId="0" xfId="0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43" fontId="2" fillId="0" borderId="0" xfId="3" applyFont="1" applyFill="1"/>
    <xf numFmtId="10" fontId="0" fillId="3" borderId="0" xfId="18" applyNumberFormat="1" applyFont="1" applyFill="1"/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7" fontId="7" fillId="0" borderId="0" xfId="0" applyNumberFormat="1" applyFont="1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2" fillId="0" borderId="0" xfId="0" quotePrefix="1" applyFont="1" applyAlignment="1">
      <alignment wrapText="1"/>
    </xf>
    <xf numFmtId="0" fontId="3" fillId="0" borderId="0" xfId="0" applyFont="1" applyAlignment="1">
      <alignment wrapText="1"/>
    </xf>
    <xf numFmtId="4" fontId="0" fillId="0" borderId="0" xfId="0" applyNumberFormat="1"/>
    <xf numFmtId="43" fontId="0" fillId="0" borderId="5" xfId="0" applyNumberFormat="1" applyBorder="1"/>
    <xf numFmtId="44" fontId="2" fillId="0" borderId="0" xfId="6" quotePrefix="1" applyFont="1" applyBorder="1"/>
    <xf numFmtId="44" fontId="0" fillId="0" borderId="0" xfId="6" applyFont="1" applyBorder="1"/>
    <xf numFmtId="44" fontId="0" fillId="0" borderId="0" xfId="0" applyNumberFormat="1" applyBorder="1"/>
    <xf numFmtId="43" fontId="0" fillId="0" borderId="0" xfId="0" applyNumberFormat="1"/>
    <xf numFmtId="0" fontId="2" fillId="0" borderId="0" xfId="0" applyFont="1" applyAlignment="1">
      <alignment wrapText="1"/>
    </xf>
    <xf numFmtId="164" fontId="0" fillId="3" borderId="0" xfId="0" applyNumberFormat="1" applyFill="1"/>
    <xf numFmtId="43" fontId="0" fillId="3" borderId="0" xfId="3" applyFont="1" applyFill="1"/>
    <xf numFmtId="5" fontId="0" fillId="0" borderId="0" xfId="3" applyNumberFormat="1" applyFont="1" applyFill="1"/>
    <xf numFmtId="44" fontId="0" fillId="3" borderId="0" xfId="0" applyNumberFormat="1" applyFill="1"/>
    <xf numFmtId="43" fontId="0" fillId="6" borderId="0" xfId="3" applyFont="1" applyFill="1"/>
    <xf numFmtId="43" fontId="29" fillId="6" borderId="0" xfId="3" applyFont="1" applyFill="1"/>
    <xf numFmtId="43" fontId="31" fillId="6" borderId="0" xfId="3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6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24" fillId="0" borderId="0" xfId="0" applyFont="1" applyFill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1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5" fontId="4" fillId="0" borderId="0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38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2 3" xfId="22"/>
    <cellStyle name="Normal 2 3" xfId="13"/>
    <cellStyle name="Normal 3" xfId="14"/>
    <cellStyle name="Normal 4" xfId="15"/>
    <cellStyle name="Normal 4 2" xfId="23"/>
    <cellStyle name="Normal 5" xfId="16"/>
    <cellStyle name="Normal 5 2" xfId="21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3"/>
  <sheetViews>
    <sheetView topLeftCell="A16" workbookViewId="0">
      <selection activeCell="A55" sqref="A55"/>
    </sheetView>
  </sheetViews>
  <sheetFormatPr defaultRowHeight="12.75"/>
  <cols>
    <col min="2" max="2" width="39.265625" bestFit="1" customWidth="1"/>
    <col min="3" max="6" width="14" bestFit="1" customWidth="1"/>
    <col min="7" max="12" width="13.59765625" bestFit="1" customWidth="1"/>
    <col min="13" max="14" width="14" bestFit="1" customWidth="1"/>
    <col min="15" max="15" width="78.86328125" bestFit="1" customWidth="1"/>
    <col min="16" max="16" width="174" bestFit="1" customWidth="1"/>
  </cols>
  <sheetData>
    <row r="1" spans="1:17">
      <c r="O1" s="93" t="s">
        <v>159</v>
      </c>
      <c r="P1" s="14"/>
      <c r="Q1" s="64"/>
    </row>
    <row r="2" spans="1:17" ht="13.15">
      <c r="C2" s="6">
        <v>43861</v>
      </c>
      <c r="D2" s="6">
        <f>EOMONTH(C2,1)</f>
        <v>43890</v>
      </c>
      <c r="E2" s="6">
        <f t="shared" ref="E2:N2" si="0">EOMONTH(D2,1)</f>
        <v>43921</v>
      </c>
      <c r="F2" s="6">
        <f t="shared" si="0"/>
        <v>43951</v>
      </c>
      <c r="G2" s="6">
        <f t="shared" si="0"/>
        <v>43982</v>
      </c>
      <c r="H2" s="6">
        <f t="shared" si="0"/>
        <v>44012</v>
      </c>
      <c r="I2" s="6">
        <f t="shared" si="0"/>
        <v>44043</v>
      </c>
      <c r="J2" s="6">
        <f t="shared" si="0"/>
        <v>44074</v>
      </c>
      <c r="K2" s="6">
        <f t="shared" si="0"/>
        <v>44104</v>
      </c>
      <c r="L2" s="6">
        <f t="shared" si="0"/>
        <v>44135</v>
      </c>
      <c r="M2" s="6">
        <f t="shared" si="0"/>
        <v>44165</v>
      </c>
      <c r="N2" s="6">
        <f t="shared" si="0"/>
        <v>44196</v>
      </c>
      <c r="O2" s="117"/>
      <c r="P2" s="14"/>
    </row>
    <row r="3" spans="1:17" ht="13.15">
      <c r="A3" s="2" t="s">
        <v>166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7" ht="13.15">
      <c r="B4" s="95" t="s">
        <v>12</v>
      </c>
      <c r="C4" s="101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7">
      <c r="A5" s="118">
        <f>'WA Summary '!A15</f>
        <v>9</v>
      </c>
      <c r="B5" s="12" t="s">
        <v>3</v>
      </c>
      <c r="C5" s="111">
        <v>11810646.23</v>
      </c>
      <c r="D5" s="112">
        <v>10948943.210000001</v>
      </c>
      <c r="E5" s="112">
        <v>10208755.66</v>
      </c>
      <c r="F5" s="112">
        <v>9754466.1899999995</v>
      </c>
      <c r="G5" s="112">
        <v>7204007.3300000001</v>
      </c>
      <c r="H5" s="112">
        <v>6832768.3600000003</v>
      </c>
      <c r="I5" s="112">
        <v>7367141.2599999998</v>
      </c>
      <c r="J5" s="112">
        <v>8064915.6600000001</v>
      </c>
      <c r="K5" s="112">
        <v>7448796.1699999999</v>
      </c>
      <c r="L5" s="112">
        <v>7999787.46</v>
      </c>
      <c r="M5" s="112">
        <v>11642227.199999999</v>
      </c>
      <c r="N5" s="112">
        <v>12112599.34</v>
      </c>
    </row>
    <row r="6" spans="1:17">
      <c r="A6" s="118">
        <f>'WA Summary '!A16</f>
        <v>10</v>
      </c>
      <c r="B6" s="12" t="s">
        <v>6</v>
      </c>
      <c r="C6" s="111">
        <v>-5410854.46</v>
      </c>
      <c r="D6" s="112">
        <v>-3688134.45</v>
      </c>
      <c r="E6" s="112">
        <v>-4363040.83</v>
      </c>
      <c r="F6" s="112">
        <v>-6216671.5899999999</v>
      </c>
      <c r="G6" s="112">
        <v>-3992970.36</v>
      </c>
      <c r="H6" s="112">
        <v>-3782255.59</v>
      </c>
      <c r="I6" s="112">
        <v>-5325599.3499999996</v>
      </c>
      <c r="J6" s="112">
        <v>-3215250.64</v>
      </c>
      <c r="K6" s="112">
        <v>-4016772.06</v>
      </c>
      <c r="L6" s="112">
        <v>-3304258.83</v>
      </c>
      <c r="M6" s="112">
        <v>-4468024.59</v>
      </c>
      <c r="N6" s="112">
        <v>-6320022.7000000002</v>
      </c>
    </row>
    <row r="7" spans="1:17">
      <c r="A7" s="118">
        <f>'WA Summary '!A17</f>
        <v>11</v>
      </c>
      <c r="B7" s="12" t="s">
        <v>4</v>
      </c>
      <c r="C7" s="111">
        <v>2892906.32</v>
      </c>
      <c r="D7" s="112">
        <v>2671552.1800000002</v>
      </c>
      <c r="E7" s="112">
        <v>2768328.21</v>
      </c>
      <c r="F7" s="112">
        <v>2491504.9500000002</v>
      </c>
      <c r="G7" s="112">
        <v>1551263.17</v>
      </c>
      <c r="H7" s="112">
        <v>1358750.78</v>
      </c>
      <c r="I7" s="112">
        <v>2219592.2200000002</v>
      </c>
      <c r="J7" s="112">
        <v>2478124.66</v>
      </c>
      <c r="K7" s="112">
        <v>2578207.41</v>
      </c>
      <c r="L7" s="112">
        <v>2592986.98</v>
      </c>
      <c r="M7" s="112">
        <v>2566832.77</v>
      </c>
      <c r="N7" s="112">
        <v>2703883.73</v>
      </c>
    </row>
    <row r="8" spans="1:17">
      <c r="A8" s="118">
        <f>'WA Summary '!A18</f>
        <v>12</v>
      </c>
      <c r="B8" s="12" t="s">
        <v>5</v>
      </c>
      <c r="C8" s="111">
        <v>8800466.8599999994</v>
      </c>
      <c r="D8" s="112">
        <v>7046200.3099999996</v>
      </c>
      <c r="E8" s="112">
        <v>6405716.6299999999</v>
      </c>
      <c r="F8" s="112">
        <v>4139184.54</v>
      </c>
      <c r="G8" s="112">
        <v>1426182.27</v>
      </c>
      <c r="H8" s="112">
        <v>1698326.77</v>
      </c>
      <c r="I8" s="112">
        <v>5653252.0099999998</v>
      </c>
      <c r="J8" s="112">
        <v>7341418.3399999999</v>
      </c>
      <c r="K8" s="112">
        <v>6493557.54</v>
      </c>
      <c r="L8" s="112">
        <v>6103470.4500000002</v>
      </c>
      <c r="M8" s="112">
        <v>6561954.4000000004</v>
      </c>
      <c r="N8" s="112">
        <v>8397560.5700000003</v>
      </c>
    </row>
    <row r="9" spans="1:17">
      <c r="A9" s="118">
        <f>'WA Summary '!A19</f>
        <v>13</v>
      </c>
      <c r="B9" s="12" t="s">
        <v>43</v>
      </c>
      <c r="C9" s="111">
        <v>-1062694.25</v>
      </c>
      <c r="D9" s="112">
        <v>-1178480.71</v>
      </c>
      <c r="E9" s="112">
        <v>-1177115.3999999999</v>
      </c>
      <c r="F9" s="112">
        <v>-1141305.3700000001</v>
      </c>
      <c r="G9" s="112">
        <v>-1253487.52</v>
      </c>
      <c r="H9" s="112">
        <v>-1398528.7</v>
      </c>
      <c r="I9" s="112">
        <v>-1450378.42</v>
      </c>
      <c r="J9" s="112">
        <v>-1346818.86</v>
      </c>
      <c r="K9" s="112">
        <v>-1372212.68</v>
      </c>
      <c r="L9" s="112">
        <v>-1319316.33</v>
      </c>
      <c r="M9" s="112">
        <v>-1257650.3400000001</v>
      </c>
      <c r="N9" s="112">
        <v>-1191496.26</v>
      </c>
    </row>
    <row r="10" spans="1:17">
      <c r="A10" s="118">
        <f>'WA Summary '!A20</f>
        <v>14</v>
      </c>
      <c r="B10" s="12" t="s">
        <v>37</v>
      </c>
      <c r="C10" s="111">
        <v>1386858.05</v>
      </c>
      <c r="D10" s="112">
        <v>1618473.12</v>
      </c>
      <c r="E10" s="112">
        <v>1456728.23</v>
      </c>
      <c r="F10" s="112">
        <v>1423781.13</v>
      </c>
      <c r="G10" s="112">
        <v>1394142.28</v>
      </c>
      <c r="H10" s="112">
        <v>1391307.66</v>
      </c>
      <c r="I10" s="112">
        <v>1452951.07</v>
      </c>
      <c r="J10" s="112">
        <v>1443201.71</v>
      </c>
      <c r="K10" s="112">
        <v>1567440.78</v>
      </c>
      <c r="L10" s="112">
        <v>1406860.96</v>
      </c>
      <c r="M10" s="112">
        <v>1416448.5</v>
      </c>
      <c r="N10" s="112">
        <v>1446134.29</v>
      </c>
    </row>
    <row r="11" spans="1:17">
      <c r="A11" s="118">
        <f>'WA Summary '!A21</f>
        <v>15</v>
      </c>
      <c r="B11" s="12" t="s">
        <v>38</v>
      </c>
      <c r="C11" s="111">
        <v>34250</v>
      </c>
      <c r="D11" s="112">
        <v>34250</v>
      </c>
      <c r="E11" s="112">
        <v>34250</v>
      </c>
      <c r="F11" s="112">
        <v>34250</v>
      </c>
      <c r="G11" s="112">
        <v>34250</v>
      </c>
      <c r="H11" s="112">
        <v>34250</v>
      </c>
      <c r="I11" s="112">
        <v>34250</v>
      </c>
      <c r="J11" s="112">
        <v>34250</v>
      </c>
      <c r="K11" s="112">
        <v>34250</v>
      </c>
      <c r="L11" s="112">
        <v>34250</v>
      </c>
      <c r="M11" s="112">
        <v>34250</v>
      </c>
      <c r="N11" s="112">
        <v>34250</v>
      </c>
    </row>
    <row r="12" spans="1:17">
      <c r="A12" s="119">
        <f>'WA Summary '!A22</f>
        <v>16</v>
      </c>
      <c r="B12" s="9" t="s">
        <v>174</v>
      </c>
      <c r="C12" s="112">
        <v>-165583.32999999999</v>
      </c>
      <c r="D12" s="112">
        <v>-165583.32999999999</v>
      </c>
      <c r="E12" s="112">
        <v>-165583.32999999999</v>
      </c>
      <c r="F12" s="112">
        <v>-165583.32999999999</v>
      </c>
      <c r="G12" s="112">
        <v>-165583.32999999999</v>
      </c>
      <c r="H12" s="112">
        <v>-165583.32999999999</v>
      </c>
      <c r="I12" s="112">
        <v>-165583.32999999999</v>
      </c>
      <c r="J12" s="112">
        <v>-165583.32999999999</v>
      </c>
      <c r="K12" s="112">
        <v>-165583.32999999999</v>
      </c>
      <c r="L12" s="112">
        <v>-165583.32999999999</v>
      </c>
      <c r="M12" s="112">
        <v>-165583.32999999999</v>
      </c>
      <c r="N12" s="112">
        <v>-165583.32999999999</v>
      </c>
      <c r="O12" s="17" t="s">
        <v>190</v>
      </c>
    </row>
    <row r="13" spans="1:17">
      <c r="A13" s="119">
        <f>'WA Summary '!A27</f>
        <v>21</v>
      </c>
      <c r="B13" s="12" t="s">
        <v>72</v>
      </c>
      <c r="C13" s="108">
        <v>0.6573</v>
      </c>
      <c r="D13" s="108">
        <v>0.6573</v>
      </c>
      <c r="E13" s="108">
        <v>0.6573</v>
      </c>
      <c r="F13" s="108">
        <v>0.6573</v>
      </c>
      <c r="G13" s="122">
        <v>0.6573</v>
      </c>
      <c r="H13" s="122">
        <v>0.6573</v>
      </c>
      <c r="I13" s="122">
        <v>0.6573</v>
      </c>
      <c r="J13" s="122">
        <v>0.6573</v>
      </c>
      <c r="K13" s="122">
        <v>0.6573</v>
      </c>
      <c r="L13" s="122">
        <v>0.6573</v>
      </c>
      <c r="M13" s="122">
        <v>0.6573</v>
      </c>
      <c r="N13" s="122">
        <v>0.6573</v>
      </c>
    </row>
    <row r="14" spans="1:17" ht="13.15"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6" spans="1:17" ht="13.15"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6" ht="13.15">
      <c r="A17" s="2" t="s">
        <v>158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6" ht="13.15">
      <c r="B18" s="18" t="s"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6">
      <c r="A19" s="1">
        <f>'WA Monthly'!A8</f>
        <v>2</v>
      </c>
      <c r="B19" s="12" t="s">
        <v>109</v>
      </c>
      <c r="C19" s="99">
        <f>1399478.7-0.39</f>
        <v>1399478.31</v>
      </c>
      <c r="D19" s="99">
        <v>1399478.7</v>
      </c>
      <c r="E19" s="99">
        <v>1399478.7</v>
      </c>
      <c r="F19" s="99">
        <v>1399478.7</v>
      </c>
      <c r="G19" s="99">
        <v>1399478.7</v>
      </c>
      <c r="H19" s="99">
        <v>1399478.7</v>
      </c>
      <c r="I19" s="99">
        <v>1399478.7</v>
      </c>
      <c r="J19" s="99">
        <v>1399478.7</v>
      </c>
      <c r="K19" s="99">
        <v>1399478.7</v>
      </c>
      <c r="L19" s="99"/>
      <c r="M19" s="99"/>
      <c r="N19" s="99"/>
    </row>
    <row r="20" spans="1:16">
      <c r="A20" s="1">
        <f>'WA Monthly'!A9</f>
        <v>3</v>
      </c>
      <c r="B20" s="12" t="s">
        <v>110</v>
      </c>
      <c r="C20" s="102">
        <f>128229.09-3.36+186</f>
        <v>128411.73</v>
      </c>
      <c r="D20" s="99">
        <f>137329.9+1.03</f>
        <v>137330.93</v>
      </c>
      <c r="E20" s="99">
        <f>81844.87-1.07</f>
        <v>81843.8</v>
      </c>
      <c r="F20" s="99">
        <f>0.03+41212.21+58833.42</f>
        <v>100045.66</v>
      </c>
      <c r="G20" s="99">
        <f>109453.11+25241.38</f>
        <v>134694.49</v>
      </c>
      <c r="H20" s="99">
        <f>108368.24+23539.74-2.09+10.09+73.85+34.64</f>
        <v>132024.47</v>
      </c>
      <c r="I20" s="99">
        <f>242404.13+44160.73-4.82+5.35</f>
        <v>286565.39</v>
      </c>
      <c r="J20" s="99">
        <f>0.01+1.89+84004.23+206565.1</f>
        <v>290571.23</v>
      </c>
      <c r="K20" s="99">
        <f>68853.35+82354.14+0.01+5.02</f>
        <v>151212.51999999999</v>
      </c>
      <c r="L20" s="121"/>
      <c r="M20" s="99"/>
      <c r="N20" s="99"/>
    </row>
    <row r="21" spans="1:16">
      <c r="A21" s="1">
        <f>'WA Monthly'!A10</f>
        <v>4</v>
      </c>
      <c r="B21" s="123" t="s">
        <v>192</v>
      </c>
      <c r="C21" s="99">
        <v>207000</v>
      </c>
      <c r="D21" s="99">
        <v>207000</v>
      </c>
      <c r="E21" s="99">
        <v>207000</v>
      </c>
      <c r="F21" s="99">
        <v>207000</v>
      </c>
      <c r="G21" s="99">
        <v>207000</v>
      </c>
      <c r="H21" s="99">
        <v>207000</v>
      </c>
      <c r="I21" s="99">
        <v>207000</v>
      </c>
      <c r="J21" s="99">
        <v>207000</v>
      </c>
      <c r="K21" s="99">
        <v>207000</v>
      </c>
      <c r="L21" s="99"/>
      <c r="M21" s="99"/>
      <c r="N21" s="99"/>
    </row>
    <row r="22" spans="1:16">
      <c r="A22" s="1">
        <f>'WA Monthly'!A11</f>
        <v>5</v>
      </c>
      <c r="B22" s="12" t="s">
        <v>111</v>
      </c>
      <c r="C22" s="99">
        <v>845499.03</v>
      </c>
      <c r="D22" s="99">
        <v>845499.03</v>
      </c>
      <c r="E22" s="99">
        <v>845499.03</v>
      </c>
      <c r="F22" s="99">
        <f>845499.03-166085.04</f>
        <v>679413.99</v>
      </c>
      <c r="G22" s="99">
        <v>845499.03</v>
      </c>
      <c r="H22" s="99">
        <v>845499.03</v>
      </c>
      <c r="I22" s="99">
        <v>845499.03</v>
      </c>
      <c r="J22" s="99">
        <v>845499.03</v>
      </c>
      <c r="K22" s="99">
        <v>845499.03</v>
      </c>
      <c r="L22" s="99"/>
      <c r="M22" s="99"/>
      <c r="N22" s="99"/>
    </row>
    <row r="23" spans="1:16" ht="14.25">
      <c r="A23" s="1">
        <f>'WA Monthly'!A12</f>
        <v>6</v>
      </c>
      <c r="B23" s="9" t="s">
        <v>112</v>
      </c>
      <c r="C23" s="142"/>
      <c r="D23" s="142"/>
      <c r="E23" s="142"/>
      <c r="F23" s="142"/>
      <c r="G23" s="143"/>
      <c r="H23" s="143"/>
      <c r="I23" s="143"/>
      <c r="J23" s="143"/>
      <c r="K23" s="143"/>
      <c r="L23" s="143"/>
      <c r="M23" s="142"/>
      <c r="N23" s="142"/>
    </row>
    <row r="24" spans="1:16">
      <c r="A24" s="1">
        <f>'WA Monthly'!A13</f>
        <v>7</v>
      </c>
      <c r="B24" t="s">
        <v>106</v>
      </c>
      <c r="C24" s="99">
        <v>968.55</v>
      </c>
      <c r="D24" s="99">
        <v>1161.75</v>
      </c>
      <c r="E24" s="99">
        <v>1170.1500000000001</v>
      </c>
      <c r="F24" s="99">
        <v>1074.55</v>
      </c>
      <c r="G24" s="99">
        <v>1120.75</v>
      </c>
      <c r="H24" s="99">
        <v>931.75</v>
      </c>
      <c r="I24" s="99">
        <v>839.35</v>
      </c>
      <c r="J24" s="99">
        <v>919.15</v>
      </c>
      <c r="K24" s="99">
        <v>851.95</v>
      </c>
      <c r="L24" s="99"/>
      <c r="M24" s="99"/>
      <c r="N24" s="99"/>
    </row>
    <row r="25" spans="1:16" ht="13.15">
      <c r="A25" s="1">
        <f>'WA Monthly'!A14</f>
        <v>8</v>
      </c>
      <c r="B25" s="2" t="s">
        <v>165</v>
      </c>
      <c r="C25" s="103">
        <f>SUM(C26:C34)</f>
        <v>135480.57999999999</v>
      </c>
      <c r="D25" s="103">
        <f t="shared" ref="D25:N25" si="1">SUM(D26:D34)</f>
        <v>178167.95</v>
      </c>
      <c r="E25" s="103">
        <f t="shared" si="1"/>
        <v>136054.45000000001</v>
      </c>
      <c r="F25" s="103">
        <f t="shared" si="1"/>
        <v>148758.28</v>
      </c>
      <c r="G25" s="103">
        <f t="shared" si="1"/>
        <v>128742.88</v>
      </c>
      <c r="H25" s="103">
        <f t="shared" si="1"/>
        <v>142915.95000000001</v>
      </c>
      <c r="I25" s="103">
        <f t="shared" si="1"/>
        <v>177518.57</v>
      </c>
      <c r="J25" s="103">
        <f t="shared" si="1"/>
        <v>94180.56</v>
      </c>
      <c r="K25" s="103">
        <f t="shared" si="1"/>
        <v>63439.91</v>
      </c>
      <c r="L25" s="103">
        <f t="shared" si="1"/>
        <v>0</v>
      </c>
      <c r="M25" s="103">
        <f t="shared" si="1"/>
        <v>0</v>
      </c>
      <c r="N25" s="103">
        <f t="shared" si="1"/>
        <v>0</v>
      </c>
      <c r="P25" s="21"/>
    </row>
    <row r="26" spans="1:16">
      <c r="A26" s="1"/>
      <c r="B26" s="20" t="s">
        <v>161</v>
      </c>
      <c r="C26" s="99">
        <v>38805.410000000003</v>
      </c>
      <c r="D26" s="99">
        <v>72897.77</v>
      </c>
      <c r="E26" s="99">
        <v>40608.03</v>
      </c>
      <c r="F26" s="99">
        <v>32987.360000000001</v>
      </c>
      <c r="G26" s="99">
        <v>34801</v>
      </c>
      <c r="H26" s="99">
        <v>11959.73</v>
      </c>
      <c r="I26" s="99">
        <v>3436.21</v>
      </c>
      <c r="J26" s="99">
        <v>0</v>
      </c>
      <c r="K26" s="99">
        <v>0</v>
      </c>
      <c r="L26" s="99"/>
      <c r="M26" s="99"/>
      <c r="N26" s="99"/>
    </row>
    <row r="27" spans="1:16">
      <c r="A27" s="1"/>
      <c r="B27" s="20" t="s">
        <v>162</v>
      </c>
      <c r="C27" s="99">
        <v>13740.48</v>
      </c>
      <c r="D27" s="99">
        <v>11595.28</v>
      </c>
      <c r="E27" s="99">
        <v>20321.330000000002</v>
      </c>
      <c r="F27" s="99">
        <v>30474.35</v>
      </c>
      <c r="G27" s="99">
        <v>10850.08</v>
      </c>
      <c r="H27" s="99">
        <v>34457.49</v>
      </c>
      <c r="I27" s="99">
        <v>42981.69</v>
      </c>
      <c r="J27" s="99">
        <v>23679.69</v>
      </c>
      <c r="K27" s="99">
        <v>20198.13</v>
      </c>
      <c r="L27" s="99"/>
      <c r="M27" s="99"/>
      <c r="N27" s="99"/>
    </row>
    <row r="28" spans="1:16">
      <c r="A28" s="1"/>
      <c r="B28" s="20" t="s">
        <v>179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465.7</v>
      </c>
      <c r="I28" s="99">
        <v>0</v>
      </c>
      <c r="J28" s="99">
        <v>0</v>
      </c>
      <c r="K28" s="99">
        <v>331.19</v>
      </c>
      <c r="L28" s="99"/>
      <c r="M28" s="99"/>
      <c r="N28" s="99"/>
    </row>
    <row r="29" spans="1:16">
      <c r="A29" s="1"/>
      <c r="B29" s="20" t="s">
        <v>163</v>
      </c>
      <c r="C29" s="99">
        <v>17334.23</v>
      </c>
      <c r="D29" s="99">
        <v>12691.55</v>
      </c>
      <c r="E29" s="99">
        <v>6316.97</v>
      </c>
      <c r="F29" s="99">
        <v>6006.21</v>
      </c>
      <c r="G29" s="99">
        <v>0</v>
      </c>
      <c r="H29" s="99">
        <v>6273.91</v>
      </c>
      <c r="I29" s="99">
        <v>18749.16</v>
      </c>
      <c r="J29" s="99">
        <v>16106.4</v>
      </c>
      <c r="K29" s="99">
        <v>1091.1099999999999</v>
      </c>
      <c r="L29" s="99"/>
      <c r="M29" s="99"/>
      <c r="N29" s="99"/>
    </row>
    <row r="30" spans="1:16">
      <c r="A30" s="1"/>
      <c r="B30" s="115" t="s">
        <v>182</v>
      </c>
      <c r="C30" s="99">
        <v>3742.45</v>
      </c>
      <c r="D30" s="99">
        <v>6636.86</v>
      </c>
      <c r="E30" s="99">
        <v>2717.1</v>
      </c>
      <c r="F30" s="99">
        <v>5949.09</v>
      </c>
      <c r="G30" s="99">
        <v>10439.530000000001</v>
      </c>
      <c r="H30" s="99">
        <v>10722.81</v>
      </c>
      <c r="I30" s="99">
        <v>10124.56</v>
      </c>
      <c r="J30" s="99">
        <v>5124.5200000000004</v>
      </c>
      <c r="K30" s="99">
        <v>2610.2399999999998</v>
      </c>
      <c r="L30" s="99"/>
      <c r="M30" s="99"/>
      <c r="N30" s="99"/>
    </row>
    <row r="31" spans="1:16">
      <c r="A31" s="1"/>
      <c r="B31" s="115" t="s">
        <v>183</v>
      </c>
      <c r="C31" s="99">
        <v>55181.48</v>
      </c>
      <c r="D31" s="99">
        <v>63304.66</v>
      </c>
      <c r="E31" s="99">
        <v>53315.89</v>
      </c>
      <c r="F31" s="99">
        <v>52622.87</v>
      </c>
      <c r="G31" s="99">
        <v>53682.68</v>
      </c>
      <c r="H31" s="99">
        <v>52242.559999999998</v>
      </c>
      <c r="I31" s="99">
        <v>65122.82</v>
      </c>
      <c r="J31" s="99">
        <v>39296.07</v>
      </c>
      <c r="K31" s="99">
        <v>33192.089999999997</v>
      </c>
      <c r="L31" s="99"/>
      <c r="M31" s="99"/>
      <c r="N31" s="99"/>
    </row>
    <row r="32" spans="1:16">
      <c r="A32" s="1"/>
      <c r="B32" s="20" t="s">
        <v>164</v>
      </c>
      <c r="C32" s="99">
        <v>4308.4799999999996</v>
      </c>
      <c r="D32" s="99">
        <v>5505.38</v>
      </c>
      <c r="E32" s="99">
        <v>4227.84</v>
      </c>
      <c r="F32" s="99">
        <v>3907.82</v>
      </c>
      <c r="G32" s="99">
        <v>3579.57</v>
      </c>
      <c r="H32" s="99">
        <v>3079.88</v>
      </c>
      <c r="I32" s="99">
        <v>4870.3100000000004</v>
      </c>
      <c r="J32" s="99">
        <v>2551.46</v>
      </c>
      <c r="K32" s="99">
        <v>4107.45</v>
      </c>
      <c r="L32" s="99"/>
      <c r="M32" s="99"/>
      <c r="N32" s="99"/>
    </row>
    <row r="33" spans="1:14">
      <c r="A33" s="1"/>
      <c r="B33" s="115" t="s">
        <v>196</v>
      </c>
      <c r="C33" s="99">
        <f>2649.96-368.7</f>
        <v>2281.2600000000002</v>
      </c>
      <c r="D33" s="99">
        <f>3065.64+216.26</f>
        <v>3281.9</v>
      </c>
      <c r="E33" s="99">
        <f>6263.55+111.41</f>
        <v>6374.96</v>
      </c>
      <c r="F33" s="99">
        <f>14911.29-348.38</f>
        <v>14562.91</v>
      </c>
      <c r="G33" s="99">
        <f>23599.44-10055.27</f>
        <v>13544.17</v>
      </c>
      <c r="H33" s="99">
        <f>23033.7-514.3</f>
        <v>22519.4</v>
      </c>
      <c r="I33" s="99">
        <f>28837.8-438.94</f>
        <v>28398.86</v>
      </c>
      <c r="J33" s="99">
        <f>12990-5775.48</f>
        <v>7214.52</v>
      </c>
      <c r="K33" s="99">
        <f>4572.48+89.76-2752.54</f>
        <v>1909.7</v>
      </c>
      <c r="L33" s="99"/>
      <c r="M33" s="99"/>
      <c r="N33" s="99"/>
    </row>
    <row r="34" spans="1:14">
      <c r="A34" s="1"/>
      <c r="B34" s="115" t="s">
        <v>184</v>
      </c>
      <c r="C34" s="99">
        <v>86.79</v>
      </c>
      <c r="D34" s="99">
        <v>2254.5500000000002</v>
      </c>
      <c r="E34" s="99">
        <v>2172.33</v>
      </c>
      <c r="F34" s="99">
        <v>2247.67</v>
      </c>
      <c r="G34" s="99">
        <f>1811.32+34.53</f>
        <v>1845.85</v>
      </c>
      <c r="H34" s="99">
        <v>1194.47</v>
      </c>
      <c r="I34" s="99">
        <v>3834.96</v>
      </c>
      <c r="J34" s="99">
        <v>207.9</v>
      </c>
      <c r="K34" s="99">
        <v>0</v>
      </c>
      <c r="L34" s="99"/>
      <c r="M34" s="99"/>
      <c r="N34" s="99"/>
    </row>
    <row r="35" spans="1:14">
      <c r="A35" s="1">
        <f>'WA Monthly'!A15</f>
        <v>9</v>
      </c>
      <c r="B35" s="17" t="s">
        <v>185</v>
      </c>
      <c r="C35" s="99">
        <v>160535.57999999999</v>
      </c>
      <c r="D35" s="99">
        <v>132053.53</v>
      </c>
      <c r="E35" s="99">
        <f>109927.94-359.84-485.1</f>
        <v>109083</v>
      </c>
      <c r="F35" s="99">
        <v>75548.62</v>
      </c>
      <c r="G35" s="99">
        <v>149166.75</v>
      </c>
      <c r="H35" s="99">
        <v>140831.19</v>
      </c>
      <c r="I35" s="99">
        <v>196042.7</v>
      </c>
      <c r="J35" s="99">
        <v>106038.75</v>
      </c>
      <c r="K35" s="99">
        <v>188824.99</v>
      </c>
      <c r="L35" s="99"/>
      <c r="M35" s="99"/>
      <c r="N35" s="99"/>
    </row>
    <row r="36" spans="1:14">
      <c r="A36" s="1">
        <f>'WA Monthly'!A16</f>
        <v>10</v>
      </c>
      <c r="B36" s="17" t="s">
        <v>227</v>
      </c>
      <c r="C36" s="99">
        <v>220402.28</v>
      </c>
      <c r="D36" s="99">
        <v>348736.64</v>
      </c>
      <c r="E36" s="99">
        <v>173787.24</v>
      </c>
      <c r="F36" s="99">
        <v>254261.04</v>
      </c>
      <c r="G36" s="99">
        <v>196120.98</v>
      </c>
      <c r="H36" s="99">
        <v>212728.12</v>
      </c>
      <c r="I36" s="99">
        <v>56660.66</v>
      </c>
      <c r="J36" s="99">
        <v>0</v>
      </c>
      <c r="K36" s="99">
        <v>90.44</v>
      </c>
      <c r="L36" s="99"/>
      <c r="M36" s="99"/>
      <c r="N36" s="99"/>
    </row>
    <row r="37" spans="1:14">
      <c r="A37" s="1">
        <f>'WA Monthly'!A17</f>
        <v>11</v>
      </c>
      <c r="B37" s="17" t="s">
        <v>186</v>
      </c>
      <c r="C37" s="99">
        <v>539215.56000000006</v>
      </c>
      <c r="D37" s="99">
        <v>522866.52</v>
      </c>
      <c r="E37" s="99">
        <v>444785.4</v>
      </c>
      <c r="F37" s="99">
        <v>423831.24</v>
      </c>
      <c r="G37" s="99">
        <v>339112.08</v>
      </c>
      <c r="H37" s="99">
        <v>470134.44</v>
      </c>
      <c r="I37" s="99">
        <v>573175.14</v>
      </c>
      <c r="J37" s="99">
        <v>483558.18</v>
      </c>
      <c r="K37" s="99">
        <v>500664.12</v>
      </c>
      <c r="L37" s="99"/>
      <c r="M37" s="99"/>
      <c r="N37" s="99"/>
    </row>
    <row r="38" spans="1:14">
      <c r="A38" s="1">
        <f>'WA Monthly'!A18</f>
        <v>12</v>
      </c>
      <c r="B38" s="17" t="s">
        <v>187</v>
      </c>
      <c r="C38" s="99">
        <f>1477.81-1788.48</f>
        <v>-310.67</v>
      </c>
      <c r="D38" s="99">
        <v>1667.01</v>
      </c>
      <c r="E38" s="99">
        <v>1578.6</v>
      </c>
      <c r="F38" s="99">
        <v>1431.24</v>
      </c>
      <c r="G38" s="99">
        <v>1519.65</v>
      </c>
      <c r="H38" s="99">
        <v>1309.6600000000001</v>
      </c>
      <c r="I38" s="99">
        <v>1309.6600000000001</v>
      </c>
      <c r="J38" s="99">
        <v>1324.4</v>
      </c>
      <c r="K38" s="99">
        <v>1490.18</v>
      </c>
      <c r="L38" s="99"/>
      <c r="M38" s="99"/>
      <c r="N38" s="99"/>
    </row>
    <row r="39" spans="1:14">
      <c r="A39" s="1">
        <f>'WA Monthly'!A19</f>
        <v>13</v>
      </c>
      <c r="B39" s="13" t="s">
        <v>107</v>
      </c>
      <c r="C39" s="99">
        <f>2407481.68+167.54+7091.73</f>
        <v>2414740.9500000002</v>
      </c>
      <c r="D39" s="99">
        <f>2311087.43+1124.92+4278.98+11394</f>
        <v>2327885.33</v>
      </c>
      <c r="E39" s="99">
        <f>2420195.83+155.26+6768.92</f>
        <v>2427120.0099999998</v>
      </c>
      <c r="F39" s="99">
        <f>2394855.7+4960.34+2803.52</f>
        <v>2402619.56</v>
      </c>
      <c r="G39" s="99">
        <f>2095471.8+1124.92+175.55+13155.62</f>
        <v>2109927.89</v>
      </c>
      <c r="H39" s="99">
        <f>2044369.86+78.3+12039.98</f>
        <v>2056488.14</v>
      </c>
      <c r="I39" s="99">
        <f>2222678.48-1003.4-378.59+43.53+3284.31</f>
        <v>2224624.33</v>
      </c>
      <c r="J39" s="99">
        <f>2381610.31+354.86+24591.82</f>
        <v>2406556.9900000002</v>
      </c>
      <c r="K39" s="99">
        <f>2380718.28+45636.48+186.56</f>
        <v>2426541.3199999998</v>
      </c>
      <c r="L39" s="121"/>
      <c r="M39" s="99"/>
      <c r="N39" s="99"/>
    </row>
    <row r="40" spans="1:14">
      <c r="A40" s="1">
        <f>'WA Monthly'!A20</f>
        <v>14</v>
      </c>
      <c r="B40" s="13" t="s">
        <v>118</v>
      </c>
      <c r="C40" s="99">
        <v>3334132.48</v>
      </c>
      <c r="D40" s="99">
        <v>2160327.6800000002</v>
      </c>
      <c r="E40" s="99">
        <v>2406190.0800000001</v>
      </c>
      <c r="F40" s="99">
        <v>1890255.36</v>
      </c>
      <c r="G40" s="99">
        <v>1607701.76</v>
      </c>
      <c r="H40" s="99">
        <f>1548995.84</f>
        <v>1548995.84</v>
      </c>
      <c r="I40" s="99">
        <v>1461187.84</v>
      </c>
      <c r="J40" s="99">
        <v>1087063.04</v>
      </c>
      <c r="K40" s="99">
        <v>1207861.76</v>
      </c>
      <c r="L40" s="99"/>
      <c r="M40" s="99"/>
      <c r="N40" s="99"/>
    </row>
    <row r="41" spans="1:14">
      <c r="A41" s="1">
        <f>'WA Monthly'!A21</f>
        <v>15</v>
      </c>
      <c r="B41" s="120" t="s">
        <v>230</v>
      </c>
      <c r="C41" s="99"/>
      <c r="D41" s="99"/>
      <c r="E41" s="99"/>
      <c r="F41" s="99"/>
      <c r="G41" s="99"/>
      <c r="H41" s="99"/>
      <c r="I41" s="99"/>
      <c r="J41" s="99"/>
      <c r="K41" s="99">
        <v>7981.09</v>
      </c>
      <c r="L41" s="99"/>
      <c r="M41" s="99"/>
      <c r="N41" s="99"/>
    </row>
    <row r="42" spans="1:14">
      <c r="A42" s="1"/>
      <c r="B42" s="98" t="s">
        <v>49</v>
      </c>
      <c r="C42" s="144"/>
      <c r="D42" s="144"/>
      <c r="E42" s="144"/>
      <c r="F42" s="144"/>
      <c r="G42" s="143"/>
      <c r="H42" s="143"/>
      <c r="I42" s="143"/>
      <c r="J42" s="143"/>
      <c r="K42" s="143"/>
      <c r="L42" s="143"/>
      <c r="M42" s="144"/>
      <c r="N42" s="144"/>
    </row>
    <row r="43" spans="1:14"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ht="13.15">
      <c r="B44" s="68" t="s">
        <v>22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>
      <c r="A45" s="1">
        <f>'WA Monthly'!A43</f>
        <v>20</v>
      </c>
      <c r="B45" s="14" t="s">
        <v>28</v>
      </c>
      <c r="C45" s="99">
        <v>-114195.96</v>
      </c>
      <c r="D45" s="99">
        <v>-57978.06</v>
      </c>
      <c r="E45" s="99">
        <v>-77242.25</v>
      </c>
      <c r="F45" s="99">
        <v>-67203.78</v>
      </c>
      <c r="G45" s="99">
        <v>-32500.65</v>
      </c>
      <c r="H45" s="99">
        <v>-15887.4</v>
      </c>
      <c r="I45" s="99">
        <v>-53470.2</v>
      </c>
      <c r="J45" s="99">
        <v>-112902.3</v>
      </c>
      <c r="K45" s="99">
        <v>-106143.78</v>
      </c>
      <c r="L45" s="99"/>
      <c r="M45" s="99"/>
      <c r="N45" s="99"/>
    </row>
    <row r="46" spans="1:14">
      <c r="A46" s="1">
        <f>'WA Monthly'!A44</f>
        <v>21</v>
      </c>
      <c r="B46" s="13" t="s">
        <v>171</v>
      </c>
      <c r="C46" s="99">
        <f>-SUM(1045.5+5766+3065.18+3065.18)</f>
        <v>-12941.86</v>
      </c>
      <c r="D46" s="110">
        <f>-SUM(1016.25+5394+2884.61+2884.61)</f>
        <v>-12179.47</v>
      </c>
      <c r="E46" s="99">
        <f>-SUM(887+5758.25+2990.36+2990.36)</f>
        <v>-12625.97</v>
      </c>
      <c r="F46" s="99">
        <f>-SUM(801.25+5580+2871.56+2871.56)</f>
        <v>-12124.37</v>
      </c>
      <c r="G46" s="99">
        <f>-SUM(674.25+5766+2898.11+2898.11)</f>
        <v>-12236.47</v>
      </c>
      <c r="H46" s="99">
        <f>-SUM(-24+5580+2500.2+2500.2)</f>
        <v>-10556.4</v>
      </c>
      <c r="I46" s="99">
        <f>-SUM(5766+2155.16+2155.16-976.75)</f>
        <v>-9099.57</v>
      </c>
      <c r="J46" s="99">
        <f>-SUM(5766+2166.19+2166.19-952.25)</f>
        <v>-9146.1299999999992</v>
      </c>
      <c r="K46" s="99">
        <f>-SUM(5580+2214.68+2214.68+385.11-264.78)</f>
        <v>-10129.69</v>
      </c>
      <c r="L46" s="102"/>
      <c r="M46" s="99"/>
      <c r="N46" s="99"/>
    </row>
    <row r="47" spans="1:14">
      <c r="A47" s="1">
        <f>'WA Monthly'!A45</f>
        <v>22</v>
      </c>
      <c r="B47" s="14" t="s">
        <v>32</v>
      </c>
      <c r="C47" s="99">
        <f>-SUM(9420.08+9420.08+23445.52+4860.45+4860.45+5580)</f>
        <v>-57586.58</v>
      </c>
      <c r="D47" s="110">
        <f>-SUM(7447.28+7447.28+18535.44+4470.64+4470.64+5220)</f>
        <v>-47591.28</v>
      </c>
      <c r="E47" s="99">
        <f>-SUM(9300.15+9300.15+23147.04+3852.68+3852.68+5572.5)</f>
        <v>-55025.2</v>
      </c>
      <c r="F47" s="99">
        <f>-SUM(8629.99+8629.99+21479.08+4020.98+4020.98+5400)</f>
        <v>-52181.02</v>
      </c>
      <c r="G47" s="99">
        <f>-SUM(6134.4+6134.4+15267.84+3609.68+3609.68+5580)</f>
        <v>-40336</v>
      </c>
      <c r="H47" s="99">
        <f>-SUM(3007.91+3007.91+7486.36+3082.39+3082.39+5400)</f>
        <v>-25066.959999999999</v>
      </c>
      <c r="I47" s="99">
        <f>-SUM(1827+1827+4547.2+5389.88+5389.88+5580)</f>
        <v>-24560.959999999999</v>
      </c>
      <c r="J47" s="99">
        <f>-SUM(1956.6+1956.6+4869.76+3358.35+3358.35+5580)</f>
        <v>-21079.66</v>
      </c>
      <c r="K47" s="99">
        <f>-SUM(1845.34+1845.34+4592.84+2977.2+2977.2+5400)</f>
        <v>-19637.919999999998</v>
      </c>
      <c r="L47" s="102"/>
      <c r="M47" s="99"/>
      <c r="N47" s="99"/>
    </row>
    <row r="48" spans="1:14">
      <c r="A48" s="1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ht="13.15">
      <c r="A49" s="1"/>
      <c r="B49" s="68" t="s">
        <v>24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>
      <c r="A50" s="1">
        <f>'WA Monthly'!A68</f>
        <v>30</v>
      </c>
      <c r="B50" s="14" t="s">
        <v>17</v>
      </c>
      <c r="C50" s="8">
        <v>53540</v>
      </c>
      <c r="D50" s="8">
        <v>47910</v>
      </c>
      <c r="E50" s="8">
        <v>43672</v>
      </c>
      <c r="F50" s="8">
        <v>49482</v>
      </c>
      <c r="G50" s="8">
        <v>0</v>
      </c>
      <c r="H50" s="8">
        <v>372</v>
      </c>
      <c r="I50" s="8">
        <v>26216</v>
      </c>
      <c r="J50" s="8">
        <v>50160</v>
      </c>
      <c r="K50" s="8">
        <v>58138</v>
      </c>
      <c r="L50" s="8"/>
      <c r="M50" s="8"/>
      <c r="N50" s="8"/>
    </row>
    <row r="51" spans="1:14">
      <c r="A51" s="1">
        <f>'WA Monthly'!A69</f>
        <v>31</v>
      </c>
      <c r="B51" s="14" t="s">
        <v>26</v>
      </c>
      <c r="C51" s="8">
        <v>94106</v>
      </c>
      <c r="D51" s="8">
        <v>71708</v>
      </c>
      <c r="E51" s="8">
        <v>82836</v>
      </c>
      <c r="F51" s="8">
        <v>78696</v>
      </c>
      <c r="G51" s="8">
        <v>25604</v>
      </c>
      <c r="H51" s="8">
        <v>28502</v>
      </c>
      <c r="I51" s="8">
        <v>62875</v>
      </c>
      <c r="J51" s="8">
        <v>88085</v>
      </c>
      <c r="K51" s="8">
        <v>51780</v>
      </c>
      <c r="L51" s="8"/>
      <c r="M51" s="8"/>
      <c r="N51" s="8"/>
    </row>
    <row r="52" spans="1:14"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ht="13.15">
      <c r="A53" s="2" t="s">
        <v>173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>
      <c r="A54" s="1">
        <v>8</v>
      </c>
      <c r="B54" s="4" t="s">
        <v>169</v>
      </c>
      <c r="C54" s="8">
        <f>537508770/1000</f>
        <v>537509</v>
      </c>
      <c r="D54" s="8">
        <f>504891976/1000</f>
        <v>504892</v>
      </c>
      <c r="E54" s="8">
        <f>472624763/1000</f>
        <v>472625</v>
      </c>
      <c r="F54" s="8">
        <f>438638970/1000</f>
        <v>438639</v>
      </c>
      <c r="G54" s="8">
        <f>380707801/1000</f>
        <v>380708</v>
      </c>
      <c r="H54" s="8">
        <f>388252203/1000</f>
        <v>388252</v>
      </c>
      <c r="I54" s="8">
        <f>401727151/1000</f>
        <v>401727</v>
      </c>
      <c r="J54" s="8">
        <f>478012532/1000</f>
        <v>478013</v>
      </c>
      <c r="K54" s="8">
        <f>471185969/1000</f>
        <v>471186</v>
      </c>
      <c r="L54" s="8"/>
      <c r="M54" s="8"/>
      <c r="N54" s="8"/>
    </row>
    <row r="55" spans="1:14">
      <c r="A55" s="1">
        <v>10</v>
      </c>
      <c r="B55" s="4" t="s">
        <v>170</v>
      </c>
      <c r="C55" s="8">
        <f>299486124/1000</f>
        <v>299486</v>
      </c>
      <c r="D55" s="8">
        <f>269928387/1000</f>
        <v>269928</v>
      </c>
      <c r="E55" s="8">
        <f>266976274/1000</f>
        <v>266976</v>
      </c>
      <c r="F55" s="8">
        <f>231126868/1000</f>
        <v>231127</v>
      </c>
      <c r="G55" s="8">
        <f>236447635/1000</f>
        <v>236448</v>
      </c>
      <c r="H55" s="8">
        <f>231908799/1000</f>
        <v>231909</v>
      </c>
      <c r="I55" s="8">
        <f>287179477/1000</f>
        <v>287179</v>
      </c>
      <c r="J55" s="8">
        <f>289870297/1000</f>
        <v>289870</v>
      </c>
      <c r="K55" s="8">
        <f>247708134/1000</f>
        <v>247708</v>
      </c>
      <c r="L55" s="8"/>
      <c r="M55" s="8"/>
      <c r="N55" s="8"/>
    </row>
    <row r="56" spans="1:14">
      <c r="A56" s="1">
        <v>12</v>
      </c>
      <c r="B56" s="4" t="s">
        <v>135</v>
      </c>
      <c r="C56" s="113">
        <v>556117</v>
      </c>
      <c r="D56" s="113">
        <v>486363</v>
      </c>
      <c r="E56" s="113">
        <v>477535</v>
      </c>
      <c r="F56" s="113">
        <v>431246</v>
      </c>
      <c r="G56" s="113">
        <v>432473</v>
      </c>
      <c r="H56" s="113">
        <v>424693</v>
      </c>
      <c r="I56" s="113">
        <v>490670</v>
      </c>
      <c r="J56" s="113">
        <v>464617</v>
      </c>
      <c r="K56" s="113">
        <v>435934</v>
      </c>
      <c r="L56" s="113">
        <v>436959</v>
      </c>
      <c r="M56" s="113">
        <v>468856</v>
      </c>
      <c r="N56" s="113">
        <v>553150</v>
      </c>
    </row>
    <row r="57" spans="1:14">
      <c r="A57" s="1">
        <v>14</v>
      </c>
      <c r="B57" s="4" t="s">
        <v>136</v>
      </c>
      <c r="C57" s="114">
        <v>18.11</v>
      </c>
      <c r="D57" s="114">
        <v>18.11</v>
      </c>
      <c r="E57" s="114">
        <v>18.11</v>
      </c>
      <c r="F57" s="114">
        <v>18.11</v>
      </c>
      <c r="G57" s="114">
        <v>18.11</v>
      </c>
      <c r="H57" s="114">
        <v>18.11</v>
      </c>
      <c r="I57" s="114">
        <v>18.11</v>
      </c>
      <c r="J57" s="114">
        <v>18.11</v>
      </c>
      <c r="K57" s="114">
        <v>18.11</v>
      </c>
      <c r="L57" s="114">
        <v>18.11</v>
      </c>
      <c r="M57" s="114">
        <v>18.11</v>
      </c>
      <c r="N57" s="114">
        <v>18.11</v>
      </c>
    </row>
    <row r="58" spans="1:14">
      <c r="A58" s="1"/>
      <c r="B58" s="4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>
      <c r="A59" s="1"/>
      <c r="B59" s="4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14"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ht="13.15">
      <c r="A61" s="2" t="s">
        <v>160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ht="13.15">
      <c r="B62" s="3" t="s">
        <v>11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>
      <c r="A63" s="1" t="e">
        <f>#REF!</f>
        <v>#REF!</v>
      </c>
      <c r="B63" s="14" t="s">
        <v>3</v>
      </c>
      <c r="C63" s="105">
        <v>6656472</v>
      </c>
      <c r="D63" s="105">
        <v>6714560</v>
      </c>
      <c r="E63" s="105">
        <v>6376335</v>
      </c>
      <c r="F63" s="105">
        <v>6174902</v>
      </c>
      <c r="G63" s="105">
        <v>6066290</v>
      </c>
      <c r="H63" s="105">
        <v>5885835</v>
      </c>
      <c r="I63" s="105">
        <v>6873649</v>
      </c>
      <c r="J63" s="105">
        <v>7493752</v>
      </c>
      <c r="K63" s="105">
        <v>5812287</v>
      </c>
      <c r="L63" s="105">
        <v>5858969</v>
      </c>
      <c r="M63" s="105">
        <v>6095603</v>
      </c>
      <c r="N63" s="105">
        <v>6285056</v>
      </c>
    </row>
    <row r="64" spans="1:14">
      <c r="A64" s="1" t="e">
        <f>#REF!</f>
        <v>#REF!</v>
      </c>
      <c r="B64" s="14" t="s">
        <v>6</v>
      </c>
      <c r="C64" s="105">
        <v>-3058364</v>
      </c>
      <c r="D64" s="105">
        <v>-3072028</v>
      </c>
      <c r="E64" s="105">
        <v>-4566884</v>
      </c>
      <c r="F64" s="105">
        <v>-5980611</v>
      </c>
      <c r="G64" s="105">
        <v>-3814582</v>
      </c>
      <c r="H64" s="105">
        <v>-3585099</v>
      </c>
      <c r="I64" s="105">
        <v>-4383497</v>
      </c>
      <c r="J64" s="105">
        <v>-3207858</v>
      </c>
      <c r="K64" s="105">
        <v>-5796167</v>
      </c>
      <c r="L64" s="105">
        <v>-4809854</v>
      </c>
      <c r="M64" s="105">
        <v>-3282986</v>
      </c>
      <c r="N64" s="105">
        <v>-4385610</v>
      </c>
    </row>
    <row r="65" spans="1:14">
      <c r="A65" s="1" t="e">
        <f>#REF!</f>
        <v>#REF!</v>
      </c>
      <c r="B65" s="14" t="s">
        <v>4</v>
      </c>
      <c r="C65" s="105">
        <v>2626073</v>
      </c>
      <c r="D65" s="105">
        <v>2508793</v>
      </c>
      <c r="E65" s="105">
        <v>2598458</v>
      </c>
      <c r="F65" s="105">
        <v>2294629</v>
      </c>
      <c r="G65" s="105">
        <v>1616919</v>
      </c>
      <c r="H65" s="105">
        <v>1641106</v>
      </c>
      <c r="I65" s="105">
        <v>2296839</v>
      </c>
      <c r="J65" s="105">
        <v>2529061</v>
      </c>
      <c r="K65" s="105">
        <v>2596434</v>
      </c>
      <c r="L65" s="105">
        <v>2643241</v>
      </c>
      <c r="M65" s="105">
        <v>2568771</v>
      </c>
      <c r="N65" s="105">
        <v>2658469</v>
      </c>
    </row>
    <row r="66" spans="1:14">
      <c r="A66" s="1" t="e">
        <f>#REF!</f>
        <v>#REF!</v>
      </c>
      <c r="B66" s="14" t="s">
        <v>5</v>
      </c>
      <c r="C66" s="105">
        <v>7913114</v>
      </c>
      <c r="D66" s="105">
        <v>6814051</v>
      </c>
      <c r="E66" s="105">
        <v>6109768</v>
      </c>
      <c r="F66" s="105">
        <v>3778713</v>
      </c>
      <c r="G66" s="105">
        <v>1270638</v>
      </c>
      <c r="H66" s="105">
        <v>1329074</v>
      </c>
      <c r="I66" s="105">
        <v>3622194</v>
      </c>
      <c r="J66" s="105">
        <v>6001181</v>
      </c>
      <c r="K66" s="105">
        <v>6718588</v>
      </c>
      <c r="L66" s="105">
        <v>6093306</v>
      </c>
      <c r="M66" s="105">
        <v>5933976</v>
      </c>
      <c r="N66" s="105">
        <v>7575488</v>
      </c>
    </row>
    <row r="67" spans="1:14">
      <c r="A67" s="1" t="e">
        <f>#REF!</f>
        <v>#REF!</v>
      </c>
      <c r="B67" s="14" t="s">
        <v>43</v>
      </c>
      <c r="C67" s="105">
        <v>-1350696</v>
      </c>
      <c r="D67" s="105">
        <v>-1404488</v>
      </c>
      <c r="E67" s="105">
        <v>-1090019</v>
      </c>
      <c r="F67" s="105">
        <v>-1075655</v>
      </c>
      <c r="G67" s="105">
        <v>-1442603</v>
      </c>
      <c r="H67" s="105">
        <v>-1667688</v>
      </c>
      <c r="I67" s="105">
        <v>-1893836</v>
      </c>
      <c r="J67" s="105">
        <v>-1745852</v>
      </c>
      <c r="K67" s="105">
        <v>-1207426</v>
      </c>
      <c r="L67" s="105">
        <v>-1243178</v>
      </c>
      <c r="M67" s="105">
        <v>-1250663</v>
      </c>
      <c r="N67" s="105">
        <v>-1271088</v>
      </c>
    </row>
    <row r="68" spans="1:14">
      <c r="A68" s="1" t="e">
        <f>#REF!</f>
        <v>#REF!</v>
      </c>
      <c r="B68" s="14" t="s">
        <v>37</v>
      </c>
      <c r="C68" s="105">
        <v>1382417</v>
      </c>
      <c r="D68" s="105">
        <v>1382417</v>
      </c>
      <c r="E68" s="105">
        <v>1382417</v>
      </c>
      <c r="F68" s="105">
        <v>1382417</v>
      </c>
      <c r="G68" s="105">
        <v>1382417</v>
      </c>
      <c r="H68" s="105">
        <v>1382417</v>
      </c>
      <c r="I68" s="105">
        <v>1382417</v>
      </c>
      <c r="J68" s="105">
        <v>1382417</v>
      </c>
      <c r="K68" s="105">
        <v>1382417</v>
      </c>
      <c r="L68" s="105">
        <v>1382417</v>
      </c>
      <c r="M68" s="105">
        <v>1382417</v>
      </c>
      <c r="N68" s="105">
        <v>1382417</v>
      </c>
    </row>
    <row r="69" spans="1:14">
      <c r="A69" s="1" t="e">
        <f>#REF!</f>
        <v>#REF!</v>
      </c>
      <c r="B69" s="10" t="s">
        <v>175</v>
      </c>
      <c r="C69" s="105">
        <v>-101917</v>
      </c>
      <c r="D69" s="105">
        <v>-101917</v>
      </c>
      <c r="E69" s="105">
        <v>-101917</v>
      </c>
      <c r="F69" s="105">
        <v>-101917</v>
      </c>
      <c r="G69" s="105">
        <v>-101917</v>
      </c>
      <c r="H69" s="105">
        <v>-101917</v>
      </c>
      <c r="I69" s="105">
        <v>-101917</v>
      </c>
      <c r="J69" s="105">
        <v>-101917</v>
      </c>
      <c r="K69" s="105">
        <v>-101917</v>
      </c>
      <c r="L69" s="105">
        <v>-101917</v>
      </c>
      <c r="M69" s="105">
        <v>-101917</v>
      </c>
      <c r="N69" s="105">
        <v>-101917</v>
      </c>
    </row>
    <row r="70" spans="1:14">
      <c r="A70" s="1" t="e">
        <f>#REF!</f>
        <v>#REF!</v>
      </c>
      <c r="B70" s="123" t="s">
        <v>209</v>
      </c>
      <c r="C70" s="105">
        <v>-43583</v>
      </c>
      <c r="D70" s="105">
        <v>-43583</v>
      </c>
      <c r="E70" s="105">
        <v>-43583</v>
      </c>
      <c r="F70" s="105">
        <v>-43583</v>
      </c>
      <c r="G70" s="105">
        <v>-43583</v>
      </c>
      <c r="H70" s="105">
        <v>-43583</v>
      </c>
      <c r="I70" s="105">
        <v>-43583</v>
      </c>
      <c r="J70" s="105">
        <v>-43583</v>
      </c>
      <c r="K70" s="105">
        <v>-43583</v>
      </c>
      <c r="L70" s="105">
        <v>-43583</v>
      </c>
      <c r="M70" s="105">
        <v>-43583</v>
      </c>
      <c r="N70" s="105">
        <v>-43583</v>
      </c>
    </row>
    <row r="71" spans="1:14">
      <c r="A71" s="1" t="e">
        <f>#REF!</f>
        <v>#REF!</v>
      </c>
      <c r="B71" s="123" t="s">
        <v>210</v>
      </c>
      <c r="C71" s="105">
        <v>134167</v>
      </c>
      <c r="D71" s="105">
        <v>134167</v>
      </c>
      <c r="E71" s="105">
        <v>134167</v>
      </c>
      <c r="F71" s="105">
        <v>134167</v>
      </c>
      <c r="G71" s="105">
        <v>134167</v>
      </c>
      <c r="H71" s="105">
        <v>134167</v>
      </c>
      <c r="I71" s="105">
        <v>134167</v>
      </c>
      <c r="J71" s="105">
        <v>134167</v>
      </c>
      <c r="K71" s="105">
        <v>134167</v>
      </c>
      <c r="L71" s="105">
        <v>134167</v>
      </c>
      <c r="M71" s="105">
        <v>134167</v>
      </c>
      <c r="N71" s="105">
        <v>134167</v>
      </c>
    </row>
    <row r="72" spans="1:14">
      <c r="A72" s="1" t="e">
        <f>#REF!</f>
        <v>#REF!</v>
      </c>
      <c r="B72" s="123" t="s">
        <v>176</v>
      </c>
      <c r="C72" s="105">
        <v>229921</v>
      </c>
      <c r="D72" s="105">
        <v>-71932</v>
      </c>
      <c r="E72" s="105">
        <v>-7545</v>
      </c>
      <c r="F72" s="105">
        <v>2378</v>
      </c>
      <c r="G72" s="105">
        <v>-164615</v>
      </c>
      <c r="H72" s="105">
        <v>-122794</v>
      </c>
      <c r="I72" s="105">
        <v>36545</v>
      </c>
      <c r="J72" s="105">
        <v>52387</v>
      </c>
      <c r="K72" s="105">
        <v>-17283</v>
      </c>
      <c r="L72" s="105">
        <v>17595</v>
      </c>
      <c r="M72" s="105">
        <v>88374</v>
      </c>
      <c r="N72" s="105">
        <v>156333</v>
      </c>
    </row>
    <row r="73" spans="1:14">
      <c r="A73" s="1"/>
      <c r="B73" s="14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102"/>
    </row>
    <row r="74" spans="1:14">
      <c r="A74" s="1" t="e">
        <f>#REF!</f>
        <v>#REF!</v>
      </c>
      <c r="B74" s="10" t="s">
        <v>88</v>
      </c>
      <c r="C74" s="108">
        <v>0.34610000000000002</v>
      </c>
      <c r="D74" s="108">
        <v>0.34610000000000002</v>
      </c>
      <c r="E74" s="108">
        <v>0.34610000000000002</v>
      </c>
      <c r="F74" s="108">
        <v>0.34610000000000002</v>
      </c>
      <c r="G74" s="108">
        <v>0.34610000000000002</v>
      </c>
      <c r="H74" s="108">
        <v>0.34610000000000002</v>
      </c>
      <c r="I74" s="108">
        <v>0.34610000000000002</v>
      </c>
      <c r="J74" s="108">
        <v>0.34610000000000002</v>
      </c>
      <c r="K74" s="108">
        <v>0.34610000000000002</v>
      </c>
      <c r="L74" s="108">
        <v>0.34610000000000002</v>
      </c>
      <c r="M74" s="108">
        <v>0.34610000000000002</v>
      </c>
      <c r="N74" s="108">
        <v>0.34610000000000002</v>
      </c>
    </row>
    <row r="75" spans="1:14">
      <c r="A75" s="1"/>
      <c r="B75" s="10"/>
      <c r="C75" s="102" t="s">
        <v>221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1:14" ht="13.15">
      <c r="A76" s="38" t="s">
        <v>168</v>
      </c>
      <c r="B76" s="10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</row>
    <row r="77" spans="1:14">
      <c r="A77" s="1"/>
      <c r="B77" s="10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>
      <c r="A78" s="1"/>
      <c r="B78" s="10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  <row r="80" spans="1:14" ht="13.15">
      <c r="A80" s="2" t="s">
        <v>167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>
      <c r="A81" s="1">
        <v>8</v>
      </c>
      <c r="B81" s="96" t="s">
        <v>169</v>
      </c>
      <c r="C81" s="8">
        <f>327696703/1000</f>
        <v>327697</v>
      </c>
      <c r="D81" s="8">
        <f>307045201/1000</f>
        <v>307045</v>
      </c>
      <c r="E81" s="8">
        <f>292551585/1000</f>
        <v>292552</v>
      </c>
      <c r="F81" s="8">
        <f>282662570/1000</f>
        <v>282663</v>
      </c>
      <c r="G81" s="8">
        <f>248500667/1000</f>
        <v>248501</v>
      </c>
      <c r="H81" s="8">
        <f>252457975/1000</f>
        <v>252458</v>
      </c>
      <c r="I81" s="8">
        <f>261546465/1000</f>
        <v>261546</v>
      </c>
      <c r="J81" s="8">
        <f>285434858/1000</f>
        <v>285435</v>
      </c>
      <c r="K81" s="8">
        <f>281657841/1000</f>
        <v>281658</v>
      </c>
      <c r="L81" s="8"/>
      <c r="M81" s="8"/>
      <c r="N81" s="8"/>
    </row>
    <row r="82" spans="1:14">
      <c r="A82" s="1">
        <v>10</v>
      </c>
      <c r="B82" s="96" t="s">
        <v>170</v>
      </c>
      <c r="C82" s="8">
        <f>199495574/1000</f>
        <v>199496</v>
      </c>
      <c r="D82" s="8">
        <f>190106871/1000</f>
        <v>190107</v>
      </c>
      <c r="E82" s="8">
        <f>192127894/1000</f>
        <v>192128</v>
      </c>
      <c r="F82" s="8">
        <f>176852160/1000</f>
        <v>176852</v>
      </c>
      <c r="G82" s="8">
        <f>178273123/1000</f>
        <v>178273</v>
      </c>
      <c r="H82" s="8">
        <f>180038552/1000</f>
        <v>180039</v>
      </c>
      <c r="I82" s="8">
        <f>197653970/1000</f>
        <v>197654</v>
      </c>
      <c r="J82" s="8">
        <f>214357121/1000</f>
        <v>214357</v>
      </c>
      <c r="K82" s="8">
        <f>174532610/1000</f>
        <v>174533</v>
      </c>
      <c r="L82" s="8"/>
      <c r="M82" s="8"/>
      <c r="N82" s="8"/>
    </row>
    <row r="83" spans="1:14">
      <c r="A83" s="1">
        <v>11</v>
      </c>
      <c r="B83" s="124" t="s">
        <v>195</v>
      </c>
      <c r="C83" s="8">
        <v>38011</v>
      </c>
      <c r="D83" s="8">
        <v>36416</v>
      </c>
      <c r="E83" s="8">
        <v>38238</v>
      </c>
      <c r="F83" s="8">
        <v>37145</v>
      </c>
      <c r="G83" s="8">
        <v>35052</v>
      </c>
      <c r="H83" s="8">
        <v>26039</v>
      </c>
      <c r="I83" s="8">
        <v>18414</v>
      </c>
      <c r="J83" s="8">
        <v>39813</v>
      </c>
      <c r="K83" s="8">
        <v>41740</v>
      </c>
      <c r="L83" s="8"/>
      <c r="M83" s="8"/>
      <c r="N83" s="8"/>
    </row>
    <row r="84" spans="1:14">
      <c r="A84" s="1">
        <v>12</v>
      </c>
      <c r="B84" s="97" t="s">
        <v>139</v>
      </c>
      <c r="C84" s="105">
        <v>291519</v>
      </c>
      <c r="D84" s="105">
        <v>255432</v>
      </c>
      <c r="E84" s="105">
        <v>263479</v>
      </c>
      <c r="F84" s="105">
        <v>232405</v>
      </c>
      <c r="G84" s="105">
        <v>217175</v>
      </c>
      <c r="H84" s="105">
        <v>214774</v>
      </c>
      <c r="I84" s="105">
        <v>248508</v>
      </c>
      <c r="J84" s="105">
        <v>267545</v>
      </c>
      <c r="K84" s="105">
        <v>222188</v>
      </c>
      <c r="L84" s="105">
        <v>233573</v>
      </c>
      <c r="M84" s="105">
        <v>258867</v>
      </c>
      <c r="N84" s="105">
        <v>300596</v>
      </c>
    </row>
    <row r="85" spans="1:14">
      <c r="A85" s="1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>
      <c r="A86" s="1">
        <v>14</v>
      </c>
      <c r="B86" s="104" t="s">
        <v>131</v>
      </c>
      <c r="C86" s="106">
        <v>22</v>
      </c>
      <c r="D86" s="106">
        <v>22</v>
      </c>
      <c r="E86" s="106">
        <v>22</v>
      </c>
      <c r="F86" s="106">
        <v>22</v>
      </c>
      <c r="G86" s="106">
        <v>22</v>
      </c>
      <c r="H86" s="106">
        <v>22</v>
      </c>
      <c r="I86" s="106">
        <v>22</v>
      </c>
      <c r="J86" s="106">
        <v>22</v>
      </c>
      <c r="K86" s="106">
        <v>22</v>
      </c>
      <c r="L86" s="106">
        <v>22</v>
      </c>
      <c r="M86" s="106">
        <v>22</v>
      </c>
      <c r="N86" s="106">
        <v>22</v>
      </c>
    </row>
    <row r="87" spans="1:14">
      <c r="C87" t="s">
        <v>220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</row>
    <row r="97" spans="3:14"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</row>
    <row r="98" spans="3:14"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3:14"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3:14"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</row>
    <row r="101" spans="3:14"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3:14"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</row>
    <row r="103" spans="3:14"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</row>
    <row r="104" spans="3:14"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3:14"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</row>
    <row r="106" spans="3:14"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</row>
    <row r="107" spans="3:14"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3:14"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</row>
    <row r="109" spans="3:14"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3:14"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3:14"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3:14"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3:14"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</row>
    <row r="114" spans="3:14"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3:14"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</row>
    <row r="116" spans="3:14"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3:14"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3:14"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</row>
    <row r="119" spans="3:14"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</row>
    <row r="120" spans="3:14"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</row>
    <row r="121" spans="3:14"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</row>
    <row r="122" spans="3:14"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</row>
    <row r="123" spans="3:14"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</row>
    <row r="124" spans="3:14"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</row>
    <row r="125" spans="3:14"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</row>
    <row r="126" spans="3:14"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</row>
    <row r="127" spans="3:14"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3:14"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</row>
    <row r="129" spans="3:14"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3:14"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3:14"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3:14"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3:14"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  <row r="134" spans="3:14"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</row>
    <row r="135" spans="3:14"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3:14"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3:14"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</row>
    <row r="138" spans="3:14"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3:14"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</row>
    <row r="140" spans="3:14"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3:14"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3:14"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</row>
    <row r="143" spans="3:14"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</row>
    <row r="144" spans="3:14"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</row>
    <row r="145" spans="3:14"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</row>
    <row r="146" spans="3:14"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</row>
    <row r="147" spans="3:14"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</row>
    <row r="148" spans="3:14"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</row>
    <row r="149" spans="3:14"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</row>
    <row r="150" spans="3:14"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</row>
    <row r="151" spans="3:14"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</row>
    <row r="152" spans="3:14"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</row>
    <row r="153" spans="3:14"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</row>
    <row r="154" spans="3:14"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</row>
    <row r="155" spans="3:14"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</row>
    <row r="156" spans="3:14"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</row>
    <row r="157" spans="3:14"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</row>
    <row r="158" spans="3:14"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</row>
    <row r="159" spans="3:14"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3:14"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3:14"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</row>
    <row r="162" spans="3:14"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</row>
    <row r="163" spans="3:14"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</row>
    <row r="164" spans="3:14"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</row>
    <row r="165" spans="3:14"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</row>
    <row r="166" spans="3:14"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3:14"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</row>
    <row r="168" spans="3:14"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</row>
    <row r="169" spans="3:14"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</row>
    <row r="170" spans="3:14"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</row>
    <row r="171" spans="3:14"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</row>
    <row r="172" spans="3:14"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</row>
    <row r="173" spans="3:14"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</row>
    <row r="174" spans="3:14"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</row>
    <row r="175" spans="3:14"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</row>
    <row r="176" spans="3:14"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</row>
    <row r="177" spans="3:14"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</row>
    <row r="178" spans="3:14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</row>
    <row r="179" spans="3:14"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</row>
    <row r="180" spans="3:14"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3:14"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</row>
    <row r="182" spans="3:14"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</row>
    <row r="183" spans="3:14"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</row>
    <row r="184" spans="3:14"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</row>
    <row r="185" spans="3:14"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</row>
    <row r="186" spans="3:14"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</row>
    <row r="187" spans="3:14"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</row>
    <row r="188" spans="3:14"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</row>
    <row r="189" spans="3:14"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</row>
    <row r="190" spans="3:14"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</row>
    <row r="191" spans="3:14"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</row>
    <row r="192" spans="3:14"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</row>
    <row r="193" spans="3:14"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</row>
    <row r="194" spans="3:14"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</row>
    <row r="195" spans="3:14"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</row>
    <row r="196" spans="3:14"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</row>
    <row r="197" spans="3:14"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</row>
    <row r="198" spans="3:14"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</row>
    <row r="199" spans="3:14"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</row>
    <row r="200" spans="3:14"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</row>
    <row r="201" spans="3:14"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</row>
    <row r="202" spans="3:14"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</row>
    <row r="203" spans="3:14"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</row>
    <row r="204" spans="3:14"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</row>
    <row r="205" spans="3:14"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</row>
    <row r="206" spans="3:14"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</row>
    <row r="207" spans="3:14"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</row>
    <row r="208" spans="3:14"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</row>
    <row r="209" spans="3:14"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</row>
    <row r="210" spans="3:14"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</row>
    <row r="211" spans="3:14"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</row>
    <row r="212" spans="3:14"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</row>
    <row r="213" spans="3:14"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</row>
    <row r="214" spans="3:14"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</row>
    <row r="215" spans="3:14"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</row>
    <row r="216" spans="3:14"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</row>
    <row r="217" spans="3:14"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</row>
    <row r="218" spans="3:14"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</row>
    <row r="219" spans="3:14"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</row>
    <row r="220" spans="3:14"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</row>
    <row r="221" spans="3:14"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</row>
    <row r="222" spans="3:14"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</row>
    <row r="223" spans="3:14"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</row>
    <row r="224" spans="3:14"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</row>
    <row r="225" spans="3:14"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</row>
    <row r="226" spans="3:14"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</row>
    <row r="227" spans="3:14"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</row>
    <row r="228" spans="3:14"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</row>
    <row r="229" spans="3:14"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</row>
    <row r="230" spans="3:14"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</row>
    <row r="231" spans="3:14"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</row>
    <row r="232" spans="3:14"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</row>
    <row r="233" spans="3:14"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</row>
    <row r="234" spans="3:14"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</row>
    <row r="235" spans="3:14"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</row>
    <row r="236" spans="3:14"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</row>
    <row r="237" spans="3:14"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</row>
    <row r="238" spans="3:14"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</row>
    <row r="239" spans="3:14"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</row>
    <row r="240" spans="3:14"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</row>
    <row r="241" spans="3:14"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</row>
    <row r="242" spans="3:14"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</row>
    <row r="243" spans="3:14"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</row>
    <row r="244" spans="3:14"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  <row r="245" spans="3:14"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</row>
    <row r="246" spans="3:14"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</row>
    <row r="247" spans="3:14"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</row>
    <row r="248" spans="3:14"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</row>
    <row r="249" spans="3:14"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</row>
    <row r="250" spans="3:14"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</row>
    <row r="251" spans="3:14"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</row>
    <row r="252" spans="3:14"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</row>
    <row r="253" spans="3:14"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</row>
    <row r="254" spans="3:14"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</row>
    <row r="255" spans="3:14"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</row>
    <row r="256" spans="3:14"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</row>
    <row r="257" spans="3:14"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</row>
    <row r="258" spans="3:14"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</row>
    <row r="259" spans="3:14"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</row>
    <row r="260" spans="3:14"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</row>
    <row r="261" spans="3:14"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</row>
    <row r="262" spans="3:14"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</row>
    <row r="263" spans="3:14"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</row>
    <row r="264" spans="3:14"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</row>
    <row r="265" spans="3:14"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</row>
    <row r="266" spans="3:14"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</row>
    <row r="267" spans="3:14"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</row>
    <row r="268" spans="3:14"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</row>
    <row r="269" spans="3:14"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</row>
    <row r="270" spans="3:14"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</row>
    <row r="271" spans="3:14"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</row>
    <row r="272" spans="3:14"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</row>
    <row r="273" spans="3:14"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</row>
    <row r="274" spans="3:14"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</row>
    <row r="275" spans="3:14"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</row>
    <row r="276" spans="3:14"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</row>
    <row r="277" spans="3:14"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</row>
    <row r="278" spans="3:14"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</row>
    <row r="279" spans="3:14"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</row>
    <row r="280" spans="3:14"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</row>
    <row r="281" spans="3:14"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</row>
    <row r="282" spans="3:14"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</row>
    <row r="283" spans="3:14"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</row>
    <row r="284" spans="3:14"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</row>
    <row r="285" spans="3:14"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</row>
    <row r="286" spans="3:14"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</row>
    <row r="287" spans="3:14"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</row>
    <row r="288" spans="3:14"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</row>
    <row r="289" spans="3:14"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</row>
    <row r="290" spans="3:14"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</row>
    <row r="291" spans="3:14"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</row>
    <row r="292" spans="3:14"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</row>
    <row r="293" spans="3:14"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</row>
    <row r="294" spans="3:14"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</row>
    <row r="295" spans="3:14"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</row>
    <row r="296" spans="3:14"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</row>
    <row r="297" spans="3:14"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</row>
    <row r="298" spans="3:14"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</row>
    <row r="299" spans="3:14"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</row>
    <row r="300" spans="3:14"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</row>
    <row r="301" spans="3:14"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</row>
    <row r="302" spans="3:14"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</row>
    <row r="303" spans="3:14"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</row>
    <row r="304" spans="3:14"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</row>
    <row r="305" spans="3:14"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</row>
    <row r="306" spans="3:14"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</row>
    <row r="307" spans="3:14"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</row>
    <row r="308" spans="3:14"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</row>
    <row r="309" spans="3:14"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</row>
    <row r="310" spans="3:14"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</row>
    <row r="311" spans="3:14"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</row>
    <row r="312" spans="3:14"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</row>
    <row r="313" spans="3:14"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</row>
    <row r="314" spans="3:14"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</row>
    <row r="315" spans="3:14"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</row>
    <row r="316" spans="3:14"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</row>
    <row r="317" spans="3:14"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</row>
    <row r="318" spans="3:14"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</row>
    <row r="319" spans="3:14"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</row>
    <row r="320" spans="3:14"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</row>
    <row r="321" spans="3:14"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</row>
    <row r="322" spans="3:14"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</row>
    <row r="323" spans="3:14"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</row>
    <row r="324" spans="3:14"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</row>
    <row r="325" spans="3:14"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</row>
    <row r="326" spans="3:14"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</row>
    <row r="327" spans="3:14"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</row>
    <row r="328" spans="3:14"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</row>
    <row r="329" spans="3:14"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</row>
    <row r="330" spans="3:14"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</row>
    <row r="331" spans="3:14"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</row>
    <row r="332" spans="3:14"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</row>
    <row r="333" spans="3:14"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</row>
    <row r="334" spans="3:14"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</row>
    <row r="335" spans="3:14"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</row>
    <row r="336" spans="3:14"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</row>
    <row r="337" spans="3:14"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</row>
    <row r="338" spans="3:14"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</row>
    <row r="339" spans="3:14"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</row>
    <row r="340" spans="3:14"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</row>
    <row r="341" spans="3:14"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</row>
    <row r="342" spans="3:14"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</row>
    <row r="343" spans="3:14"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</row>
    <row r="344" spans="3:14"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</row>
    <row r="345" spans="3:14"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</row>
    <row r="346" spans="3:14"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</row>
    <row r="347" spans="3:14"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</row>
    <row r="348" spans="3:14"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</row>
    <row r="349" spans="3:14"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</row>
    <row r="350" spans="3:14"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</row>
    <row r="351" spans="3:14"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</row>
    <row r="352" spans="3:14"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</row>
    <row r="353" spans="3:14"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</row>
  </sheetData>
  <pageMargins left="0" right="0" top="0.75" bottom="0.75" header="0.3" footer="0.3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24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22" customWidth="1"/>
    <col min="2" max="2" width="10.73046875" style="12" customWidth="1"/>
    <col min="3" max="3" width="24.265625" style="12" customWidth="1"/>
    <col min="4" max="4" width="9" style="12" customWidth="1" outlineLevel="1"/>
    <col min="5" max="5" width="5.265625" style="12" customWidth="1" outlineLevel="1"/>
    <col min="6" max="6" width="14.59765625" style="12" bestFit="1" customWidth="1"/>
    <col min="7" max="10" width="15.73046875" style="12" bestFit="1" customWidth="1"/>
    <col min="11" max="11" width="12.73046875" style="12" customWidth="1"/>
    <col min="12" max="17" width="15.73046875" style="12" bestFit="1" customWidth="1"/>
    <col min="18" max="18" width="13.1328125" style="12" customWidth="1"/>
    <col min="19" max="19" width="13.86328125" style="12" customWidth="1"/>
    <col min="20" max="20" width="13.1328125" style="12" customWidth="1"/>
    <col min="21" max="16384" width="9.1328125" style="12"/>
  </cols>
  <sheetData>
    <row r="1" spans="1:19" ht="13.15">
      <c r="A1" s="253" t="s">
        <v>74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9" ht="15">
      <c r="A2" s="254" t="s">
        <v>31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9">
      <c r="A3" s="78" t="s">
        <v>0</v>
      </c>
    </row>
    <row r="4" spans="1:19" ht="13.15">
      <c r="A4" s="22" t="s">
        <v>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9" ht="13.15">
      <c r="B5" s="95" t="s">
        <v>75</v>
      </c>
      <c r="C5" s="77"/>
      <c r="D5" s="256" t="s">
        <v>9</v>
      </c>
      <c r="E5" s="256"/>
      <c r="F5" s="145">
        <v>43861</v>
      </c>
      <c r="G5" s="145">
        <v>43890</v>
      </c>
      <c r="H5" s="145">
        <v>43921</v>
      </c>
      <c r="I5" s="145">
        <v>43951</v>
      </c>
      <c r="J5" s="145">
        <v>43982</v>
      </c>
      <c r="K5" s="145">
        <v>44012</v>
      </c>
      <c r="L5" s="145">
        <v>44043</v>
      </c>
      <c r="M5" s="145">
        <v>44074</v>
      </c>
      <c r="N5" s="145">
        <v>44104</v>
      </c>
      <c r="O5" s="145">
        <v>44135</v>
      </c>
      <c r="P5" s="145">
        <v>44165</v>
      </c>
      <c r="Q5" s="145">
        <v>44196</v>
      </c>
    </row>
    <row r="6" spans="1:19" ht="15.95" customHeight="1">
      <c r="A6" s="22">
        <v>1</v>
      </c>
      <c r="B6" s="12" t="s">
        <v>3</v>
      </c>
      <c r="D6" s="257">
        <v>90579263</v>
      </c>
      <c r="E6" s="257"/>
      <c r="F6" s="28">
        <v>13017722</v>
      </c>
      <c r="G6" s="28">
        <v>11062158</v>
      </c>
      <c r="H6" s="28">
        <v>9087202</v>
      </c>
      <c r="I6" s="28">
        <v>9946840</v>
      </c>
      <c r="J6" s="28">
        <v>8799131</v>
      </c>
      <c r="K6" s="28">
        <v>8298962</v>
      </c>
      <c r="L6" s="28">
        <v>9869695</v>
      </c>
      <c r="M6" s="28">
        <v>10928100</v>
      </c>
      <c r="N6" s="28">
        <v>9569453</v>
      </c>
      <c r="O6" s="28">
        <v>0</v>
      </c>
      <c r="P6" s="28">
        <v>0</v>
      </c>
      <c r="Q6" s="28">
        <v>0</v>
      </c>
    </row>
    <row r="7" spans="1:19" ht="15.95" customHeight="1">
      <c r="A7" s="22">
        <v>2</v>
      </c>
      <c r="B7" s="12" t="s">
        <v>6</v>
      </c>
      <c r="D7" s="258">
        <v>-62998799</v>
      </c>
      <c r="E7" s="258"/>
      <c r="F7" s="28">
        <v>-7818222</v>
      </c>
      <c r="G7" s="28">
        <v>-6959624</v>
      </c>
      <c r="H7" s="28">
        <v>-7153299</v>
      </c>
      <c r="I7" s="28">
        <v>-8911921</v>
      </c>
      <c r="J7" s="28">
        <v>-6434480</v>
      </c>
      <c r="K7" s="28">
        <v>-6204608</v>
      </c>
      <c r="L7" s="28">
        <v>-6841567</v>
      </c>
      <c r="M7" s="28">
        <v>-7823003</v>
      </c>
      <c r="N7" s="28">
        <v>-4852075</v>
      </c>
      <c r="O7" s="28">
        <v>0</v>
      </c>
      <c r="P7" s="28">
        <v>0</v>
      </c>
      <c r="Q7" s="28">
        <v>0</v>
      </c>
    </row>
    <row r="8" spans="1:19" ht="15.95" customHeight="1">
      <c r="A8" s="22">
        <v>3</v>
      </c>
      <c r="B8" s="12" t="s">
        <v>4</v>
      </c>
      <c r="D8" s="255">
        <v>21399581</v>
      </c>
      <c r="E8" s="255"/>
      <c r="F8" s="28">
        <v>3239078</v>
      </c>
      <c r="G8" s="28">
        <v>3399540</v>
      </c>
      <c r="H8" s="28">
        <v>2878210</v>
      </c>
      <c r="I8" s="28">
        <v>2804144</v>
      </c>
      <c r="J8" s="28">
        <v>738421</v>
      </c>
      <c r="K8" s="28">
        <v>830465</v>
      </c>
      <c r="L8" s="28">
        <v>2120045</v>
      </c>
      <c r="M8" s="28">
        <v>3116082</v>
      </c>
      <c r="N8" s="28">
        <v>2273596</v>
      </c>
      <c r="O8" s="28">
        <v>0</v>
      </c>
      <c r="P8" s="28">
        <v>0</v>
      </c>
      <c r="Q8" s="28">
        <v>0</v>
      </c>
    </row>
    <row r="9" spans="1:19" ht="15.95" customHeight="1">
      <c r="A9" s="22">
        <v>4</v>
      </c>
      <c r="B9" s="12" t="s">
        <v>5</v>
      </c>
      <c r="D9" s="255">
        <v>35373420</v>
      </c>
      <c r="E9" s="255"/>
      <c r="F9" s="28">
        <v>4925752</v>
      </c>
      <c r="G9" s="28">
        <v>4098939</v>
      </c>
      <c r="H9" s="28">
        <v>5475241</v>
      </c>
      <c r="I9" s="28">
        <v>4372539</v>
      </c>
      <c r="J9" s="28">
        <v>1216784</v>
      </c>
      <c r="K9" s="28">
        <v>1098993</v>
      </c>
      <c r="L9" s="28">
        <v>3030971</v>
      </c>
      <c r="M9" s="28">
        <v>5587553</v>
      </c>
      <c r="N9" s="28">
        <v>5566648</v>
      </c>
      <c r="O9" s="28">
        <v>0</v>
      </c>
      <c r="P9" s="28">
        <v>0</v>
      </c>
      <c r="Q9" s="28">
        <v>0</v>
      </c>
    </row>
    <row r="10" spans="1:19" ht="15.95" customHeight="1">
      <c r="A10" s="22">
        <v>5</v>
      </c>
      <c r="B10" s="12" t="s">
        <v>43</v>
      </c>
      <c r="C10" s="11"/>
      <c r="D10" s="258">
        <v>-15273634</v>
      </c>
      <c r="E10" s="258"/>
      <c r="F10" s="28">
        <v>-1243451</v>
      </c>
      <c r="G10" s="28">
        <v>-1543693</v>
      </c>
      <c r="H10" s="28">
        <v>-1301455</v>
      </c>
      <c r="I10" s="28">
        <v>-1234355</v>
      </c>
      <c r="J10" s="28">
        <v>-1770551</v>
      </c>
      <c r="K10" s="28">
        <v>-1863759</v>
      </c>
      <c r="L10" s="28">
        <v>-2093088</v>
      </c>
      <c r="M10" s="28">
        <v>-2276333</v>
      </c>
      <c r="N10" s="28">
        <v>-1946949</v>
      </c>
      <c r="O10" s="28">
        <v>0</v>
      </c>
      <c r="P10" s="28">
        <v>0</v>
      </c>
      <c r="Q10" s="28">
        <v>0</v>
      </c>
    </row>
    <row r="11" spans="1:19" ht="15.95" customHeight="1">
      <c r="A11" s="22">
        <v>6</v>
      </c>
      <c r="B11" s="12" t="s">
        <v>37</v>
      </c>
      <c r="C11" s="11"/>
      <c r="D11" s="255">
        <v>12376646</v>
      </c>
      <c r="E11" s="255"/>
      <c r="F11" s="28">
        <v>1402067</v>
      </c>
      <c r="G11" s="28">
        <v>1376344</v>
      </c>
      <c r="H11" s="28">
        <v>1401845</v>
      </c>
      <c r="I11" s="28">
        <v>1362596</v>
      </c>
      <c r="J11" s="28">
        <v>1328690</v>
      </c>
      <c r="K11" s="28">
        <v>1327383</v>
      </c>
      <c r="L11" s="28">
        <v>1407838</v>
      </c>
      <c r="M11" s="28">
        <v>1374950</v>
      </c>
      <c r="N11" s="28">
        <v>1394933</v>
      </c>
      <c r="O11" s="28">
        <v>0</v>
      </c>
      <c r="P11" s="28">
        <v>0</v>
      </c>
      <c r="Q11" s="28">
        <v>0</v>
      </c>
    </row>
    <row r="12" spans="1:19" ht="15.95" customHeight="1">
      <c r="A12" s="22">
        <v>7</v>
      </c>
      <c r="B12" s="12" t="s">
        <v>38</v>
      </c>
      <c r="C12" s="11"/>
      <c r="D12" s="255">
        <v>393236</v>
      </c>
      <c r="E12" s="255"/>
      <c r="F12" s="28">
        <v>38542</v>
      </c>
      <c r="G12" s="28">
        <v>36423</v>
      </c>
      <c r="H12" s="28">
        <v>45505</v>
      </c>
      <c r="I12" s="28">
        <v>50069</v>
      </c>
      <c r="J12" s="28">
        <v>44758</v>
      </c>
      <c r="K12" s="28">
        <v>38119</v>
      </c>
      <c r="L12" s="28">
        <v>47733</v>
      </c>
      <c r="M12" s="28">
        <v>20949</v>
      </c>
      <c r="N12" s="28">
        <v>71138</v>
      </c>
      <c r="O12" s="28">
        <v>0</v>
      </c>
      <c r="P12" s="28">
        <v>0</v>
      </c>
      <c r="Q12" s="28">
        <v>0</v>
      </c>
    </row>
    <row r="13" spans="1:19" ht="15.95" customHeight="1">
      <c r="A13" s="22">
        <v>8</v>
      </c>
      <c r="B13" s="146" t="s">
        <v>10</v>
      </c>
      <c r="C13" s="146"/>
      <c r="D13" s="259">
        <v>81849713</v>
      </c>
      <c r="E13" s="259"/>
      <c r="F13" s="147">
        <v>13561488</v>
      </c>
      <c r="G13" s="147">
        <v>11470087</v>
      </c>
      <c r="H13" s="147">
        <v>10433249</v>
      </c>
      <c r="I13" s="147">
        <v>8389912</v>
      </c>
      <c r="J13" s="147">
        <v>3922753</v>
      </c>
      <c r="K13" s="147">
        <v>3525555</v>
      </c>
      <c r="L13" s="147">
        <v>7541627</v>
      </c>
      <c r="M13" s="147">
        <v>10928298</v>
      </c>
      <c r="N13" s="147">
        <v>12076744</v>
      </c>
      <c r="O13" s="147">
        <v>0</v>
      </c>
      <c r="P13" s="147">
        <v>0</v>
      </c>
      <c r="Q13" s="147">
        <v>0</v>
      </c>
    </row>
    <row r="14" spans="1:19" ht="37.5" customHeight="1">
      <c r="B14" s="95" t="s">
        <v>12</v>
      </c>
      <c r="C14" s="77"/>
      <c r="D14" s="261" t="s">
        <v>229</v>
      </c>
      <c r="E14" s="262"/>
      <c r="F14" s="148">
        <v>43861</v>
      </c>
      <c r="G14" s="148">
        <v>43890</v>
      </c>
      <c r="H14" s="148">
        <v>43921</v>
      </c>
      <c r="I14" s="148">
        <v>43951</v>
      </c>
      <c r="J14" s="148">
        <v>43982</v>
      </c>
      <c r="K14" s="148">
        <v>44012</v>
      </c>
      <c r="L14" s="148">
        <v>44043</v>
      </c>
      <c r="M14" s="148">
        <v>44074</v>
      </c>
      <c r="N14" s="148">
        <v>44104</v>
      </c>
      <c r="O14" s="148">
        <v>44135</v>
      </c>
      <c r="P14" s="148">
        <v>44165</v>
      </c>
      <c r="Q14" s="148">
        <v>44196</v>
      </c>
    </row>
    <row r="15" spans="1:19" ht="15.95" customHeight="1">
      <c r="A15" s="22">
        <v>9</v>
      </c>
      <c r="B15" s="12" t="s">
        <v>3</v>
      </c>
      <c r="C15" s="11"/>
      <c r="D15" s="260">
        <v>79640439</v>
      </c>
      <c r="E15" s="260"/>
      <c r="F15" s="62">
        <v>11810646</v>
      </c>
      <c r="G15" s="62">
        <v>10948943</v>
      </c>
      <c r="H15" s="62">
        <v>10208756</v>
      </c>
      <c r="I15" s="62">
        <v>9754466</v>
      </c>
      <c r="J15" s="62">
        <v>7204007</v>
      </c>
      <c r="K15" s="62">
        <v>6832768</v>
      </c>
      <c r="L15" s="62">
        <v>7367141</v>
      </c>
      <c r="M15" s="62">
        <v>8064916</v>
      </c>
      <c r="N15" s="62">
        <v>7448796</v>
      </c>
      <c r="O15" s="62">
        <v>7999787</v>
      </c>
      <c r="P15" s="62">
        <v>11642227</v>
      </c>
      <c r="Q15" s="62">
        <v>12112599</v>
      </c>
      <c r="R15" s="58"/>
      <c r="S15" s="16"/>
    </row>
    <row r="16" spans="1:19" ht="15.95" customHeight="1">
      <c r="A16" s="22">
        <v>10</v>
      </c>
      <c r="B16" s="12" t="s">
        <v>6</v>
      </c>
      <c r="C16" s="11"/>
      <c r="D16" s="260">
        <v>-40011549</v>
      </c>
      <c r="E16" s="260"/>
      <c r="F16" s="149">
        <v>-5410854</v>
      </c>
      <c r="G16" s="149">
        <v>-3688134</v>
      </c>
      <c r="H16" s="149">
        <v>-4363041</v>
      </c>
      <c r="I16" s="149">
        <v>-6216672</v>
      </c>
      <c r="J16" s="149">
        <v>-3992970</v>
      </c>
      <c r="K16" s="149">
        <v>-3782256</v>
      </c>
      <c r="L16" s="149">
        <v>-5325599</v>
      </c>
      <c r="M16" s="149">
        <v>-3215251</v>
      </c>
      <c r="N16" s="149">
        <v>-4016772</v>
      </c>
      <c r="O16" s="149">
        <v>-3304259</v>
      </c>
      <c r="P16" s="149">
        <v>-4468025</v>
      </c>
      <c r="Q16" s="149">
        <v>-6320023</v>
      </c>
      <c r="R16" s="58"/>
      <c r="S16" s="16"/>
    </row>
    <row r="17" spans="1:19" ht="15.95" customHeight="1">
      <c r="A17" s="22">
        <v>11</v>
      </c>
      <c r="B17" s="12" t="s">
        <v>4</v>
      </c>
      <c r="C17" s="11"/>
      <c r="D17" s="260">
        <v>21010229</v>
      </c>
      <c r="E17" s="260"/>
      <c r="F17" s="62">
        <v>2892906</v>
      </c>
      <c r="G17" s="62">
        <v>2671552</v>
      </c>
      <c r="H17" s="62">
        <v>2768328</v>
      </c>
      <c r="I17" s="62">
        <v>2491505</v>
      </c>
      <c r="J17" s="62">
        <v>1551263</v>
      </c>
      <c r="K17" s="62">
        <v>1358751</v>
      </c>
      <c r="L17" s="62">
        <v>2219592</v>
      </c>
      <c r="M17" s="62">
        <v>2478125</v>
      </c>
      <c r="N17" s="62">
        <v>2578207</v>
      </c>
      <c r="O17" s="62">
        <v>2592987</v>
      </c>
      <c r="P17" s="62">
        <v>2566833</v>
      </c>
      <c r="Q17" s="62">
        <v>2703884</v>
      </c>
      <c r="R17" s="58"/>
      <c r="S17" s="16"/>
    </row>
    <row r="18" spans="1:19" ht="15.95" customHeight="1">
      <c r="A18" s="22">
        <v>12</v>
      </c>
      <c r="B18" s="12" t="s">
        <v>5</v>
      </c>
      <c r="C18" s="11"/>
      <c r="D18" s="260">
        <v>49004306</v>
      </c>
      <c r="E18" s="260"/>
      <c r="F18" s="62">
        <v>8800467</v>
      </c>
      <c r="G18" s="62">
        <v>7046200</v>
      </c>
      <c r="H18" s="62">
        <v>6405717</v>
      </c>
      <c r="I18" s="62">
        <v>4139185</v>
      </c>
      <c r="J18" s="62">
        <v>1426182</v>
      </c>
      <c r="K18" s="62">
        <v>1698327</v>
      </c>
      <c r="L18" s="62">
        <v>5653252</v>
      </c>
      <c r="M18" s="62">
        <v>7341418</v>
      </c>
      <c r="N18" s="62">
        <v>6493558</v>
      </c>
      <c r="O18" s="62">
        <v>6103470</v>
      </c>
      <c r="P18" s="62">
        <v>6561954</v>
      </c>
      <c r="Q18" s="62">
        <v>8397561</v>
      </c>
      <c r="R18" s="58"/>
    </row>
    <row r="19" spans="1:19" ht="15.95" customHeight="1">
      <c r="A19" s="22">
        <v>13</v>
      </c>
      <c r="B19" s="12" t="s">
        <v>43</v>
      </c>
      <c r="C19" s="11"/>
      <c r="D19" s="260">
        <v>-11381022</v>
      </c>
      <c r="E19" s="260"/>
      <c r="F19" s="149">
        <v>-1062694</v>
      </c>
      <c r="G19" s="149">
        <v>-1178481</v>
      </c>
      <c r="H19" s="149">
        <v>-1177115</v>
      </c>
      <c r="I19" s="149">
        <v>-1141305</v>
      </c>
      <c r="J19" s="149">
        <v>-1253488</v>
      </c>
      <c r="K19" s="149">
        <v>-1398529</v>
      </c>
      <c r="L19" s="149">
        <v>-1450378</v>
      </c>
      <c r="M19" s="149">
        <v>-1346819</v>
      </c>
      <c r="N19" s="149">
        <v>-1372213</v>
      </c>
      <c r="O19" s="149">
        <v>-1319316</v>
      </c>
      <c r="P19" s="149">
        <v>-1257650</v>
      </c>
      <c r="Q19" s="149">
        <v>-1191496</v>
      </c>
      <c r="R19" s="58"/>
    </row>
    <row r="20" spans="1:19" ht="15.95" customHeight="1">
      <c r="A20" s="22">
        <v>14</v>
      </c>
      <c r="B20" s="12" t="s">
        <v>37</v>
      </c>
      <c r="C20" s="11"/>
      <c r="D20" s="260">
        <v>13134884</v>
      </c>
      <c r="E20" s="260"/>
      <c r="F20" s="150">
        <v>1386858</v>
      </c>
      <c r="G20" s="150">
        <v>1618473</v>
      </c>
      <c r="H20" s="150">
        <v>1456728</v>
      </c>
      <c r="I20" s="150">
        <v>1423781</v>
      </c>
      <c r="J20" s="150">
        <v>1394142</v>
      </c>
      <c r="K20" s="150">
        <v>1391308</v>
      </c>
      <c r="L20" s="150">
        <v>1452951</v>
      </c>
      <c r="M20" s="150">
        <v>1443202</v>
      </c>
      <c r="N20" s="150">
        <v>1567441</v>
      </c>
      <c r="O20" s="150">
        <v>1406861</v>
      </c>
      <c r="P20" s="150">
        <v>1416449</v>
      </c>
      <c r="Q20" s="150">
        <v>1446134</v>
      </c>
      <c r="R20" s="58"/>
    </row>
    <row r="21" spans="1:19" ht="15.95" customHeight="1">
      <c r="A21" s="22">
        <v>15</v>
      </c>
      <c r="B21" s="12" t="s">
        <v>38</v>
      </c>
      <c r="D21" s="260">
        <v>308250</v>
      </c>
      <c r="E21" s="260"/>
      <c r="F21" s="62">
        <v>34250</v>
      </c>
      <c r="G21" s="62">
        <v>34250</v>
      </c>
      <c r="H21" s="62">
        <v>34250</v>
      </c>
      <c r="I21" s="62">
        <v>34250</v>
      </c>
      <c r="J21" s="62">
        <v>34250</v>
      </c>
      <c r="K21" s="62">
        <v>34250</v>
      </c>
      <c r="L21" s="62">
        <v>34250</v>
      </c>
      <c r="M21" s="62">
        <v>34250</v>
      </c>
      <c r="N21" s="62">
        <v>34250</v>
      </c>
      <c r="O21" s="62">
        <v>34250</v>
      </c>
      <c r="P21" s="62">
        <v>34250</v>
      </c>
      <c r="Q21" s="62">
        <v>34250</v>
      </c>
      <c r="R21" s="58"/>
    </row>
    <row r="22" spans="1:19" ht="15.95" customHeight="1">
      <c r="A22" s="22">
        <v>16</v>
      </c>
      <c r="B22" s="12" t="s">
        <v>176</v>
      </c>
      <c r="D22" s="260">
        <v>-2267226</v>
      </c>
      <c r="E22" s="260"/>
      <c r="F22" s="62">
        <v>-251914</v>
      </c>
      <c r="G22" s="62">
        <v>-251914</v>
      </c>
      <c r="H22" s="62">
        <v>-251914</v>
      </c>
      <c r="I22" s="62">
        <v>-251914</v>
      </c>
      <c r="J22" s="62">
        <v>-251914</v>
      </c>
      <c r="K22" s="62">
        <v>-251914</v>
      </c>
      <c r="L22" s="62">
        <v>-251914</v>
      </c>
      <c r="M22" s="62">
        <v>-251914</v>
      </c>
      <c r="N22" s="62">
        <v>-251914</v>
      </c>
      <c r="O22" s="62">
        <v>-251914</v>
      </c>
      <c r="P22" s="62">
        <v>-251914</v>
      </c>
      <c r="Q22" s="62">
        <v>-251914</v>
      </c>
      <c r="R22" s="58"/>
    </row>
    <row r="23" spans="1:19" ht="20.25" customHeight="1">
      <c r="A23" s="22">
        <v>17</v>
      </c>
      <c r="B23" s="146" t="s">
        <v>7</v>
      </c>
      <c r="C23" s="146"/>
      <c r="D23" s="259">
        <v>109438311</v>
      </c>
      <c r="E23" s="259"/>
      <c r="F23" s="151">
        <v>18199665</v>
      </c>
      <c r="G23" s="151">
        <v>17200889</v>
      </c>
      <c r="H23" s="151">
        <v>15081709</v>
      </c>
      <c r="I23" s="151">
        <v>10233296</v>
      </c>
      <c r="J23" s="151">
        <v>6111472</v>
      </c>
      <c r="K23" s="151">
        <v>5882705</v>
      </c>
      <c r="L23" s="151">
        <v>9699295</v>
      </c>
      <c r="M23" s="151">
        <v>14547927</v>
      </c>
      <c r="N23" s="151">
        <v>12481353</v>
      </c>
      <c r="O23" s="151">
        <v>13261866</v>
      </c>
      <c r="P23" s="151">
        <v>16244124</v>
      </c>
      <c r="Q23" s="151">
        <v>16930995</v>
      </c>
      <c r="R23" s="58"/>
    </row>
    <row r="24" spans="1:19" ht="28.5" customHeight="1">
      <c r="A24" s="22">
        <v>18</v>
      </c>
      <c r="B24" s="146" t="s">
        <v>8</v>
      </c>
      <c r="C24" s="146"/>
      <c r="D24" s="271">
        <v>-27588598</v>
      </c>
      <c r="E24" s="271" t="s">
        <v>25</v>
      </c>
      <c r="F24" s="151">
        <v>-4638177</v>
      </c>
      <c r="G24" s="151">
        <v>-5730802</v>
      </c>
      <c r="H24" s="151">
        <v>-4648460</v>
      </c>
      <c r="I24" s="151">
        <v>-1843384</v>
      </c>
      <c r="J24" s="151">
        <v>-2188719</v>
      </c>
      <c r="K24" s="151">
        <v>-2357150</v>
      </c>
      <c r="L24" s="151">
        <v>-2157668</v>
      </c>
      <c r="M24" s="151">
        <v>-3619629</v>
      </c>
      <c r="N24" s="151">
        <v>-404609</v>
      </c>
      <c r="O24" s="151" t="s">
        <v>25</v>
      </c>
      <c r="P24" s="151" t="s">
        <v>25</v>
      </c>
      <c r="Q24" s="151" t="s">
        <v>25</v>
      </c>
    </row>
    <row r="25" spans="1:19" ht="26.25" customHeight="1">
      <c r="A25" s="22">
        <v>19</v>
      </c>
      <c r="B25" s="44" t="s">
        <v>125</v>
      </c>
      <c r="C25" s="44"/>
      <c r="D25" s="267">
        <v>1949719</v>
      </c>
      <c r="E25" s="267"/>
      <c r="F25" s="45">
        <v>490080</v>
      </c>
      <c r="G25" s="45">
        <v>92925</v>
      </c>
      <c r="H25" s="45">
        <v>148644</v>
      </c>
      <c r="I25" s="45">
        <v>236539</v>
      </c>
      <c r="J25" s="45">
        <v>-13337</v>
      </c>
      <c r="K25" s="45">
        <v>94577</v>
      </c>
      <c r="L25" s="45">
        <v>699050</v>
      </c>
      <c r="M25" s="45">
        <v>100288</v>
      </c>
      <c r="N25" s="45">
        <v>100953</v>
      </c>
      <c r="O25" s="45" t="s">
        <v>25</v>
      </c>
      <c r="P25" s="45" t="s">
        <v>25</v>
      </c>
      <c r="Q25" s="45" t="s">
        <v>25</v>
      </c>
      <c r="S25" s="23"/>
    </row>
    <row r="26" spans="1:19" ht="19.5" customHeight="1">
      <c r="A26" s="22">
        <v>20</v>
      </c>
      <c r="B26" s="44" t="s">
        <v>40</v>
      </c>
      <c r="C26" s="44"/>
      <c r="D26" s="267">
        <v>-25638879</v>
      </c>
      <c r="E26" s="267"/>
      <c r="F26" s="45">
        <v>-4148097</v>
      </c>
      <c r="G26" s="45">
        <v>-5637877</v>
      </c>
      <c r="H26" s="45">
        <v>-4499816</v>
      </c>
      <c r="I26" s="45">
        <v>-1606845</v>
      </c>
      <c r="J26" s="45">
        <v>-2202056</v>
      </c>
      <c r="K26" s="45">
        <v>-2262573</v>
      </c>
      <c r="L26" s="45">
        <v>-1458618</v>
      </c>
      <c r="M26" s="45">
        <v>-3519341</v>
      </c>
      <c r="N26" s="45">
        <v>-303656</v>
      </c>
      <c r="O26" s="45">
        <v>0</v>
      </c>
      <c r="P26" s="45">
        <v>0</v>
      </c>
      <c r="Q26" s="45">
        <v>0</v>
      </c>
    </row>
    <row r="27" spans="1:19" ht="18.75" customHeight="1">
      <c r="A27" s="22">
        <v>21</v>
      </c>
      <c r="B27" s="12" t="s">
        <v>72</v>
      </c>
      <c r="D27" s="27"/>
      <c r="E27" s="27"/>
      <c r="F27" s="152">
        <v>0.6573</v>
      </c>
      <c r="G27" s="152">
        <v>0.6573</v>
      </c>
      <c r="H27" s="152">
        <v>0.6573</v>
      </c>
      <c r="I27" s="152">
        <v>0.6573</v>
      </c>
      <c r="J27" s="152">
        <v>0.6573</v>
      </c>
      <c r="K27" s="152">
        <v>0.6573</v>
      </c>
      <c r="L27" s="152">
        <v>0.6573</v>
      </c>
      <c r="M27" s="152">
        <v>0.6573</v>
      </c>
      <c r="N27" s="152">
        <v>0.6573</v>
      </c>
      <c r="O27" s="152">
        <v>0.6573</v>
      </c>
      <c r="P27" s="152">
        <v>0.6573</v>
      </c>
      <c r="Q27" s="152">
        <v>0.6573</v>
      </c>
    </row>
    <row r="28" spans="1:19" ht="20.25" customHeight="1">
      <c r="A28" s="22">
        <v>22</v>
      </c>
      <c r="B28" s="12" t="s">
        <v>73</v>
      </c>
      <c r="D28" s="263">
        <v>-16852435</v>
      </c>
      <c r="E28" s="263"/>
      <c r="F28" s="153">
        <v>-2726544</v>
      </c>
      <c r="G28" s="153">
        <v>-3705777</v>
      </c>
      <c r="H28" s="153">
        <v>-2957729</v>
      </c>
      <c r="I28" s="153">
        <v>-1056179</v>
      </c>
      <c r="J28" s="153">
        <v>-1447411</v>
      </c>
      <c r="K28" s="153">
        <v>-1487189</v>
      </c>
      <c r="L28" s="153">
        <v>-958750</v>
      </c>
      <c r="M28" s="153">
        <v>-2313263</v>
      </c>
      <c r="N28" s="153">
        <v>-199593</v>
      </c>
      <c r="O28" s="153">
        <v>0</v>
      </c>
      <c r="P28" s="153">
        <v>0</v>
      </c>
      <c r="Q28" s="153">
        <v>0</v>
      </c>
    </row>
    <row r="29" spans="1:19" ht="20.25" customHeight="1">
      <c r="A29" s="22">
        <v>23</v>
      </c>
      <c r="B29" s="12" t="s">
        <v>154</v>
      </c>
      <c r="D29" s="263">
        <v>0</v>
      </c>
      <c r="E29" s="263"/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</row>
    <row r="30" spans="1:19" ht="29.25" customHeight="1">
      <c r="A30" s="22">
        <v>24</v>
      </c>
      <c r="B30" s="265" t="s">
        <v>101</v>
      </c>
      <c r="C30" s="265"/>
      <c r="D30" s="269">
        <v>3253715</v>
      </c>
      <c r="E30" s="269"/>
      <c r="F30" s="154">
        <v>369390</v>
      </c>
      <c r="G30" s="154">
        <v>199735</v>
      </c>
      <c r="H30" s="154">
        <v>142381</v>
      </c>
      <c r="I30" s="154">
        <v>515338</v>
      </c>
      <c r="J30" s="154">
        <v>841101</v>
      </c>
      <c r="K30" s="154">
        <v>742148</v>
      </c>
      <c r="L30" s="154">
        <v>609818</v>
      </c>
      <c r="M30" s="154">
        <v>-291336</v>
      </c>
      <c r="N30" s="154">
        <v>125140</v>
      </c>
      <c r="O30" s="154" t="s">
        <v>25</v>
      </c>
      <c r="P30" s="154" t="s">
        <v>25</v>
      </c>
      <c r="Q30" s="154" t="s">
        <v>25</v>
      </c>
    </row>
    <row r="31" spans="1:19" ht="27" customHeight="1">
      <c r="A31" s="22">
        <v>25</v>
      </c>
      <c r="B31" s="268" t="s">
        <v>63</v>
      </c>
      <c r="C31" s="268"/>
      <c r="D31" s="270">
        <v>-13598720</v>
      </c>
      <c r="E31" s="270"/>
      <c r="F31" s="42">
        <v>-2357154</v>
      </c>
      <c r="G31" s="42">
        <v>-3506042</v>
      </c>
      <c r="H31" s="42">
        <v>-2815348</v>
      </c>
      <c r="I31" s="42">
        <v>-540841</v>
      </c>
      <c r="J31" s="42">
        <v>-606310</v>
      </c>
      <c r="K31" s="42">
        <v>-745041</v>
      </c>
      <c r="L31" s="42">
        <v>-348932</v>
      </c>
      <c r="M31" s="42">
        <v>-2604599</v>
      </c>
      <c r="N31" s="42">
        <v>-74453</v>
      </c>
      <c r="O31" s="42" t="s">
        <v>25</v>
      </c>
      <c r="P31" s="42" t="s">
        <v>25</v>
      </c>
      <c r="Q31" s="42" t="s">
        <v>25</v>
      </c>
    </row>
    <row r="32" spans="1:19" ht="21" hidden="1" customHeight="1">
      <c r="A32" s="22">
        <v>26</v>
      </c>
      <c r="B32" s="266" t="s">
        <v>124</v>
      </c>
      <c r="C32" s="266"/>
      <c r="D32" s="56"/>
      <c r="E32" s="56"/>
      <c r="F32" s="42"/>
      <c r="G32" s="42"/>
      <c r="H32" s="42"/>
      <c r="I32" s="42"/>
      <c r="J32" s="42"/>
      <c r="K32" s="42"/>
      <c r="L32" s="155">
        <v>0</v>
      </c>
      <c r="M32" s="42"/>
      <c r="N32" s="42"/>
      <c r="O32" s="42"/>
      <c r="P32" s="42"/>
      <c r="Q32" s="42"/>
    </row>
    <row r="33" spans="1:19" ht="28.5" customHeight="1">
      <c r="A33" s="22">
        <v>27</v>
      </c>
      <c r="B33" s="146" t="s">
        <v>117</v>
      </c>
      <c r="C33" s="146"/>
      <c r="D33" s="86"/>
      <c r="E33" s="86"/>
      <c r="F33" s="26">
        <v>-2357154</v>
      </c>
      <c r="G33" s="26">
        <v>-5863196</v>
      </c>
      <c r="H33" s="26">
        <v>-8678544</v>
      </c>
      <c r="I33" s="26">
        <v>-9219385</v>
      </c>
      <c r="J33" s="26">
        <v>-9825695</v>
      </c>
      <c r="K33" s="26">
        <v>-10570736</v>
      </c>
      <c r="L33" s="26">
        <v>-10919668</v>
      </c>
      <c r="M33" s="26">
        <v>-13524267</v>
      </c>
      <c r="N33" s="26">
        <v>-13598720</v>
      </c>
      <c r="O33" s="26" t="s">
        <v>25</v>
      </c>
      <c r="P33" s="26" t="s">
        <v>25</v>
      </c>
      <c r="Q33" s="26" t="s">
        <v>25</v>
      </c>
      <c r="R33" s="23"/>
    </row>
    <row r="34" spans="1:19" ht="30.75" hidden="1" customHeight="1" outlineLevel="1">
      <c r="A34" s="12" t="s">
        <v>34</v>
      </c>
      <c r="B34" s="156">
        <v>10000000</v>
      </c>
      <c r="C34" s="157" t="s">
        <v>35</v>
      </c>
      <c r="D34" s="87">
        <v>0.9</v>
      </c>
      <c r="E34" s="87">
        <v>0.9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-570736</v>
      </c>
      <c r="L34" s="27">
        <v>-919668</v>
      </c>
      <c r="M34" s="27">
        <v>-3524267</v>
      </c>
      <c r="N34" s="27">
        <v>-3598720</v>
      </c>
      <c r="O34" s="27" t="s">
        <v>25</v>
      </c>
      <c r="P34" s="27" t="s">
        <v>25</v>
      </c>
      <c r="Q34" s="27" t="s">
        <v>25</v>
      </c>
      <c r="R34" s="24"/>
      <c r="S34" s="158"/>
    </row>
    <row r="35" spans="1:19" ht="19.5" hidden="1" customHeight="1" outlineLevel="1">
      <c r="A35" s="12" t="s">
        <v>34</v>
      </c>
      <c r="B35" s="156">
        <v>4000000</v>
      </c>
      <c r="C35" s="157" t="s">
        <v>231</v>
      </c>
      <c r="D35" s="87">
        <v>0.5</v>
      </c>
      <c r="E35" s="87">
        <v>0.75</v>
      </c>
      <c r="F35" s="27">
        <v>0</v>
      </c>
      <c r="G35" s="27">
        <v>-1863196</v>
      </c>
      <c r="H35" s="27">
        <v>-4678544</v>
      </c>
      <c r="I35" s="27">
        <v>-5219385</v>
      </c>
      <c r="J35" s="27">
        <v>-5825695</v>
      </c>
      <c r="K35" s="27">
        <v>-6000000</v>
      </c>
      <c r="L35" s="27">
        <v>-6000000</v>
      </c>
      <c r="M35" s="27">
        <v>-6000000</v>
      </c>
      <c r="N35" s="27">
        <v>-6000000</v>
      </c>
      <c r="O35" s="27" t="s">
        <v>25</v>
      </c>
      <c r="P35" s="27" t="s">
        <v>25</v>
      </c>
      <c r="Q35" s="27" t="s">
        <v>25</v>
      </c>
      <c r="R35" s="24"/>
      <c r="S35" s="158"/>
    </row>
    <row r="36" spans="1:19" ht="21.75" hidden="1" customHeight="1" outlineLevel="1">
      <c r="A36" s="12" t="s">
        <v>34</v>
      </c>
      <c r="B36" s="156">
        <v>0</v>
      </c>
      <c r="C36" s="157" t="s">
        <v>232</v>
      </c>
      <c r="D36" s="87">
        <v>0</v>
      </c>
      <c r="E36" s="87">
        <v>0</v>
      </c>
      <c r="F36" s="27">
        <v>-2357154</v>
      </c>
      <c r="G36" s="27">
        <v>-4000000</v>
      </c>
      <c r="H36" s="27">
        <v>-4000000</v>
      </c>
      <c r="I36" s="27">
        <v>-4000000</v>
      </c>
      <c r="J36" s="27">
        <v>-4000000</v>
      </c>
      <c r="K36" s="27">
        <v>-4000000</v>
      </c>
      <c r="L36" s="27">
        <v>-4000000</v>
      </c>
      <c r="M36" s="27">
        <v>-4000000</v>
      </c>
      <c r="N36" s="27">
        <v>-4000000</v>
      </c>
      <c r="O36" s="27" t="s">
        <v>25</v>
      </c>
      <c r="P36" s="27" t="s">
        <v>25</v>
      </c>
      <c r="Q36" s="27" t="s">
        <v>25</v>
      </c>
      <c r="R36" s="24"/>
    </row>
    <row r="37" spans="1:19" ht="15.95" hidden="1" customHeight="1" outlineLevel="1">
      <c r="A37" s="12"/>
      <c r="B37" s="159"/>
      <c r="C37" s="12" t="s">
        <v>36</v>
      </c>
      <c r="D37" s="88"/>
      <c r="E37" s="88"/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 t="s">
        <v>25</v>
      </c>
      <c r="P37" s="89" t="s">
        <v>25</v>
      </c>
      <c r="Q37" s="89" t="s">
        <v>25</v>
      </c>
      <c r="R37" s="25"/>
    </row>
    <row r="38" spans="1:19" ht="23.25" customHeight="1" collapsed="1">
      <c r="A38" s="12" t="s">
        <v>102</v>
      </c>
      <c r="D38" s="90"/>
      <c r="E38" s="90"/>
      <c r="F38" s="27">
        <v>0</v>
      </c>
      <c r="G38" s="27">
        <v>-1397397</v>
      </c>
      <c r="H38" s="27">
        <v>-3508908</v>
      </c>
      <c r="I38" s="27">
        <v>-3914539</v>
      </c>
      <c r="J38" s="27">
        <v>-4369271</v>
      </c>
      <c r="K38" s="27">
        <v>-5013662</v>
      </c>
      <c r="L38" s="27">
        <v>-5327701</v>
      </c>
      <c r="M38" s="27">
        <v>-7671840</v>
      </c>
      <c r="N38" s="27">
        <v>-7738848</v>
      </c>
      <c r="O38" s="27" t="s">
        <v>25</v>
      </c>
      <c r="P38" s="27" t="s">
        <v>25</v>
      </c>
      <c r="Q38" s="27" t="s">
        <v>25</v>
      </c>
      <c r="R38" s="24" t="s">
        <v>103</v>
      </c>
    </row>
    <row r="39" spans="1:19" ht="20.25" customHeight="1">
      <c r="A39" s="12" t="s">
        <v>155</v>
      </c>
      <c r="D39" s="91"/>
      <c r="E39" s="91"/>
      <c r="F39" s="27">
        <v>0</v>
      </c>
      <c r="G39" s="27">
        <v>-1397397</v>
      </c>
      <c r="H39" s="27">
        <v>-2111511</v>
      </c>
      <c r="I39" s="27">
        <v>-405631</v>
      </c>
      <c r="J39" s="27">
        <v>-454732</v>
      </c>
      <c r="K39" s="27">
        <v>-644391</v>
      </c>
      <c r="L39" s="27">
        <v>-314039</v>
      </c>
      <c r="M39" s="27">
        <v>-2344139</v>
      </c>
      <c r="N39" s="27">
        <v>-67008</v>
      </c>
      <c r="O39" s="27" t="s">
        <v>25</v>
      </c>
      <c r="P39" s="27" t="s">
        <v>25</v>
      </c>
      <c r="Q39" s="27" t="s">
        <v>25</v>
      </c>
      <c r="R39" s="25"/>
    </row>
    <row r="40" spans="1:19" ht="24.75" customHeight="1">
      <c r="A40" s="266" t="s">
        <v>105</v>
      </c>
      <c r="B40" s="266"/>
      <c r="C40" s="266"/>
      <c r="D40" s="270">
        <v>7738848</v>
      </c>
      <c r="E40" s="270"/>
      <c r="F40" s="29">
        <v>0</v>
      </c>
      <c r="G40" s="29">
        <v>1397397</v>
      </c>
      <c r="H40" s="29">
        <v>2111511</v>
      </c>
      <c r="I40" s="29">
        <v>405631</v>
      </c>
      <c r="J40" s="29">
        <v>454732</v>
      </c>
      <c r="K40" s="29">
        <v>644391</v>
      </c>
      <c r="L40" s="29">
        <v>314039</v>
      </c>
      <c r="M40" s="29">
        <v>2344139</v>
      </c>
      <c r="N40" s="29">
        <v>67008</v>
      </c>
      <c r="O40" s="29" t="s">
        <v>25</v>
      </c>
      <c r="P40" s="29" t="s">
        <v>25</v>
      </c>
      <c r="Q40" s="29" t="s">
        <v>25</v>
      </c>
      <c r="R40" s="24"/>
    </row>
    <row r="41" spans="1:19" ht="26.25" customHeight="1" thickBot="1">
      <c r="A41" s="264" t="s">
        <v>39</v>
      </c>
      <c r="B41" s="264"/>
      <c r="C41" s="264"/>
      <c r="D41" s="92"/>
      <c r="E41" s="92"/>
      <c r="F41" s="31">
        <v>-2357154</v>
      </c>
      <c r="G41" s="31">
        <v>-4465799</v>
      </c>
      <c r="H41" s="31">
        <v>-5169636</v>
      </c>
      <c r="I41" s="31">
        <v>-5304846</v>
      </c>
      <c r="J41" s="31">
        <v>-5456424</v>
      </c>
      <c r="K41" s="31">
        <v>-5557074</v>
      </c>
      <c r="L41" s="31">
        <v>-5591967</v>
      </c>
      <c r="M41" s="31">
        <v>-5852427</v>
      </c>
      <c r="N41" s="31">
        <v>-5859872</v>
      </c>
      <c r="O41" s="31" t="s">
        <v>25</v>
      </c>
      <c r="P41" s="31" t="s">
        <v>25</v>
      </c>
      <c r="Q41" s="31" t="s">
        <v>25</v>
      </c>
      <c r="R41" s="12" t="s">
        <v>42</v>
      </c>
    </row>
    <row r="42" spans="1:19" ht="13.5" thickTop="1">
      <c r="A42" s="160"/>
    </row>
    <row r="43" spans="1:19">
      <c r="E43" s="161"/>
      <c r="F43" s="162"/>
      <c r="Q43" s="27"/>
      <c r="R43" s="23"/>
    </row>
    <row r="44" spans="1:19" ht="13.15">
      <c r="E44" s="66"/>
      <c r="F44" s="14"/>
      <c r="H44" s="163"/>
      <c r="I44" s="163"/>
      <c r="J44" s="163"/>
      <c r="K44" s="163"/>
      <c r="Q44" s="54"/>
      <c r="R44" s="23"/>
    </row>
    <row r="45" spans="1:19" ht="13.15">
      <c r="E45" s="161"/>
      <c r="F45" s="164"/>
      <c r="H45" s="163"/>
      <c r="I45" s="163"/>
      <c r="J45" s="163"/>
      <c r="K45" s="163"/>
      <c r="Q45" s="54"/>
      <c r="R45" s="23"/>
    </row>
    <row r="46" spans="1:19">
      <c r="H46" s="163"/>
      <c r="I46" s="163"/>
      <c r="J46" s="163"/>
      <c r="K46" s="163"/>
    </row>
    <row r="47" spans="1:19">
      <c r="F47" s="165"/>
      <c r="H47" s="163"/>
      <c r="I47" s="163"/>
      <c r="J47" s="163"/>
      <c r="K47" s="163"/>
    </row>
    <row r="48" spans="1:19">
      <c r="F48" s="165"/>
      <c r="H48" s="163"/>
      <c r="I48" s="163"/>
      <c r="J48" s="163"/>
      <c r="K48" s="163"/>
      <c r="Q48" s="23"/>
    </row>
    <row r="49" spans="8:11">
      <c r="H49" s="163"/>
      <c r="I49" s="163"/>
      <c r="J49" s="163"/>
      <c r="K49" s="163"/>
    </row>
    <row r="50" spans="8:11">
      <c r="H50" s="163"/>
      <c r="I50" s="163"/>
      <c r="J50" s="163"/>
      <c r="K50" s="163"/>
    </row>
    <row r="51" spans="8:11">
      <c r="H51" s="163"/>
      <c r="I51" s="163"/>
      <c r="J51" s="163"/>
      <c r="K51" s="163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501"/>
  <sheetViews>
    <sheetView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98" customWidth="1"/>
    <col min="2" max="2" width="46.1328125" style="14" customWidth="1"/>
    <col min="3" max="3" width="33.59765625" style="14" hidden="1" customWidth="1" outlineLevel="1"/>
    <col min="4" max="4" width="13.3984375" style="14" bestFit="1" customWidth="1" collapsed="1"/>
    <col min="5" max="5" width="13.73046875" style="14" customWidth="1"/>
    <col min="6" max="6" width="12.73046875" style="14" customWidth="1"/>
    <col min="7" max="7" width="12.3984375" style="14" customWidth="1"/>
    <col min="8" max="8" width="12.59765625" style="14" customWidth="1"/>
    <col min="9" max="9" width="12.1328125" style="14" customWidth="1"/>
    <col min="10" max="10" width="12.59765625" style="14" customWidth="1"/>
    <col min="11" max="16" width="12.73046875" style="14" customWidth="1"/>
    <col min="17" max="17" width="2.73046875" style="15" hidden="1" customWidth="1" outlineLevel="1"/>
    <col min="18" max="18" width="14.265625" style="14" hidden="1" customWidth="1" outlineLevel="1"/>
    <col min="19" max="19" width="11.3984375" style="14" collapsed="1"/>
    <col min="20" max="20" width="13.265625" style="14" bestFit="1" customWidth="1"/>
    <col min="21" max="16384" width="11.3984375" style="14"/>
  </cols>
  <sheetData>
    <row r="1" spans="1:18" ht="13.15">
      <c r="A1" s="272" t="s">
        <v>74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ht="13.15">
      <c r="A2" s="272" t="s">
        <v>87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 ht="38.25" customHeight="1">
      <c r="A3" s="14"/>
    </row>
    <row r="4" spans="1:18">
      <c r="A4" s="84" t="s">
        <v>0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8" ht="13.15">
      <c r="A5" s="199" t="s">
        <v>1</v>
      </c>
      <c r="C5" s="14" t="s">
        <v>92</v>
      </c>
      <c r="D5" s="200" t="s">
        <v>9</v>
      </c>
      <c r="E5" s="145">
        <v>43861</v>
      </c>
      <c r="F5" s="145">
        <v>43890</v>
      </c>
      <c r="G5" s="145">
        <v>43921</v>
      </c>
      <c r="H5" s="145">
        <v>43951</v>
      </c>
      <c r="I5" s="145">
        <v>43982</v>
      </c>
      <c r="J5" s="145">
        <v>44012</v>
      </c>
      <c r="K5" s="145">
        <v>44043</v>
      </c>
      <c r="L5" s="145">
        <v>44074</v>
      </c>
      <c r="M5" s="145">
        <v>44104</v>
      </c>
      <c r="N5" s="145">
        <v>44135</v>
      </c>
      <c r="O5" s="145">
        <v>44165</v>
      </c>
      <c r="P5" s="145">
        <v>44196</v>
      </c>
      <c r="Q5" s="201"/>
      <c r="R5" s="145" t="s">
        <v>68</v>
      </c>
    </row>
    <row r="6" spans="1:18" ht="13.15">
      <c r="A6" s="84"/>
      <c r="B6" s="68" t="s">
        <v>13</v>
      </c>
      <c r="C6" s="74"/>
    </row>
    <row r="7" spans="1:18">
      <c r="A7" s="84">
        <v>1</v>
      </c>
      <c r="B7" s="13" t="s">
        <v>104</v>
      </c>
      <c r="C7" s="43"/>
      <c r="D7" s="32">
        <v>19424694</v>
      </c>
      <c r="E7" s="32">
        <v>3386200</v>
      </c>
      <c r="F7" s="32">
        <v>2505205</v>
      </c>
      <c r="G7" s="32">
        <v>663858</v>
      </c>
      <c r="H7" s="32">
        <v>2142585</v>
      </c>
      <c r="I7" s="32">
        <v>1517506</v>
      </c>
      <c r="J7" s="32">
        <v>945253</v>
      </c>
      <c r="K7" s="32">
        <v>2235891</v>
      </c>
      <c r="L7" s="32">
        <v>3781312</v>
      </c>
      <c r="M7" s="32">
        <v>2246884</v>
      </c>
      <c r="N7" s="32">
        <v>0</v>
      </c>
      <c r="O7" s="32">
        <v>0</v>
      </c>
      <c r="P7" s="32">
        <v>0</v>
      </c>
      <c r="Q7" s="59"/>
      <c r="R7" s="140">
        <v>19424694</v>
      </c>
    </row>
    <row r="8" spans="1:18">
      <c r="A8" s="84">
        <v>2</v>
      </c>
      <c r="B8" s="202" t="s">
        <v>109</v>
      </c>
      <c r="C8" s="203">
        <v>100096</v>
      </c>
      <c r="D8" s="32">
        <v>12595310</v>
      </c>
      <c r="E8" s="204">
        <v>1399478</v>
      </c>
      <c r="F8" s="204">
        <v>1399479</v>
      </c>
      <c r="G8" s="204">
        <v>1399479</v>
      </c>
      <c r="H8" s="204">
        <v>1399479</v>
      </c>
      <c r="I8" s="204">
        <v>1399479</v>
      </c>
      <c r="J8" s="204">
        <v>1399479</v>
      </c>
      <c r="K8" s="204">
        <v>1399479</v>
      </c>
      <c r="L8" s="204">
        <v>1399479</v>
      </c>
      <c r="M8" s="204">
        <v>1399479</v>
      </c>
      <c r="N8" s="204">
        <v>0</v>
      </c>
      <c r="O8" s="204">
        <v>0</v>
      </c>
      <c r="P8" s="204">
        <v>0</v>
      </c>
      <c r="Q8" s="59"/>
      <c r="R8" s="140">
        <v>12595310</v>
      </c>
    </row>
    <row r="9" spans="1:18">
      <c r="A9" s="84">
        <v>3</v>
      </c>
      <c r="B9" s="202" t="s">
        <v>110</v>
      </c>
      <c r="C9" s="203">
        <v>107240</v>
      </c>
      <c r="D9" s="32">
        <v>1442700</v>
      </c>
      <c r="E9" s="204">
        <v>128412</v>
      </c>
      <c r="F9" s="204">
        <v>137331</v>
      </c>
      <c r="G9" s="204">
        <v>81844</v>
      </c>
      <c r="H9" s="204">
        <v>100046</v>
      </c>
      <c r="I9" s="204">
        <v>134694</v>
      </c>
      <c r="J9" s="204">
        <v>132024</v>
      </c>
      <c r="K9" s="204">
        <v>286565</v>
      </c>
      <c r="L9" s="204">
        <v>290571</v>
      </c>
      <c r="M9" s="204">
        <v>151213</v>
      </c>
      <c r="N9" s="204">
        <v>0</v>
      </c>
      <c r="O9" s="204">
        <v>0</v>
      </c>
      <c r="P9" s="204">
        <v>0</v>
      </c>
      <c r="Q9" s="59"/>
      <c r="R9" s="140">
        <v>1442700</v>
      </c>
    </row>
    <row r="10" spans="1:18">
      <c r="A10" s="84">
        <v>4</v>
      </c>
      <c r="B10" s="13" t="s">
        <v>113</v>
      </c>
      <c r="C10" s="43">
        <v>100131</v>
      </c>
      <c r="D10" s="32">
        <v>1863000</v>
      </c>
      <c r="E10" s="204">
        <v>207000</v>
      </c>
      <c r="F10" s="204">
        <v>207000</v>
      </c>
      <c r="G10" s="204">
        <v>207000</v>
      </c>
      <c r="H10" s="204">
        <v>207000</v>
      </c>
      <c r="I10" s="204">
        <v>207000</v>
      </c>
      <c r="J10" s="204">
        <v>207000</v>
      </c>
      <c r="K10" s="204">
        <v>207000</v>
      </c>
      <c r="L10" s="204">
        <v>207000</v>
      </c>
      <c r="M10" s="204">
        <v>207000</v>
      </c>
      <c r="N10" s="204">
        <v>0</v>
      </c>
      <c r="O10" s="204">
        <v>0</v>
      </c>
      <c r="P10" s="204">
        <v>0</v>
      </c>
      <c r="Q10" s="59"/>
      <c r="R10" s="140">
        <v>1863000</v>
      </c>
    </row>
    <row r="11" spans="1:18" ht="13.5" customHeight="1">
      <c r="A11" s="84">
        <v>5</v>
      </c>
      <c r="B11" s="13" t="s">
        <v>111</v>
      </c>
      <c r="C11" s="43">
        <v>100085</v>
      </c>
      <c r="D11" s="32">
        <v>7443406</v>
      </c>
      <c r="E11" s="205">
        <v>845499</v>
      </c>
      <c r="F11" s="205">
        <v>845499</v>
      </c>
      <c r="G11" s="205">
        <v>845499</v>
      </c>
      <c r="H11" s="205">
        <v>679414</v>
      </c>
      <c r="I11" s="205">
        <v>845499</v>
      </c>
      <c r="J11" s="205">
        <v>845499</v>
      </c>
      <c r="K11" s="205">
        <v>845499</v>
      </c>
      <c r="L11" s="205">
        <v>845499</v>
      </c>
      <c r="M11" s="205">
        <v>845499</v>
      </c>
      <c r="N11" s="205">
        <v>0</v>
      </c>
      <c r="O11" s="205">
        <v>0</v>
      </c>
      <c r="P11" s="205">
        <v>0</v>
      </c>
      <c r="Q11" s="59"/>
      <c r="R11" s="140">
        <v>7443406</v>
      </c>
    </row>
    <row r="12" spans="1:18" ht="14.25">
      <c r="A12" s="84">
        <v>6</v>
      </c>
      <c r="B12" s="13" t="s">
        <v>112</v>
      </c>
      <c r="C12" s="98" t="s">
        <v>93</v>
      </c>
      <c r="D12" s="32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4">
        <v>0</v>
      </c>
      <c r="N12" s="204">
        <v>0</v>
      </c>
      <c r="O12" s="205">
        <v>0</v>
      </c>
      <c r="P12" s="205">
        <v>0</v>
      </c>
      <c r="Q12" s="59"/>
      <c r="R12" s="140">
        <v>0</v>
      </c>
    </row>
    <row r="13" spans="1:18">
      <c r="A13" s="84">
        <v>7</v>
      </c>
      <c r="B13" s="14" t="s">
        <v>106</v>
      </c>
      <c r="C13" s="98">
        <v>100137</v>
      </c>
      <c r="D13" s="32">
        <v>9039</v>
      </c>
      <c r="E13" s="205">
        <v>969</v>
      </c>
      <c r="F13" s="205">
        <v>1162</v>
      </c>
      <c r="G13" s="205">
        <v>1170</v>
      </c>
      <c r="H13" s="205">
        <v>1075</v>
      </c>
      <c r="I13" s="205">
        <v>1121</v>
      </c>
      <c r="J13" s="205">
        <v>932</v>
      </c>
      <c r="K13" s="205">
        <v>839</v>
      </c>
      <c r="L13" s="205">
        <v>919</v>
      </c>
      <c r="M13" s="205">
        <v>852</v>
      </c>
      <c r="N13" s="205">
        <v>0</v>
      </c>
      <c r="O13" s="205">
        <v>0</v>
      </c>
      <c r="P13" s="205">
        <v>0</v>
      </c>
      <c r="Q13" s="59"/>
      <c r="R13" s="140">
        <v>9039</v>
      </c>
    </row>
    <row r="14" spans="1:18">
      <c r="A14" s="84">
        <v>8</v>
      </c>
      <c r="B14" s="14" t="s">
        <v>14</v>
      </c>
      <c r="C14" s="43" t="s">
        <v>152</v>
      </c>
      <c r="D14" s="32">
        <v>1205260</v>
      </c>
      <c r="E14" s="205">
        <v>135481</v>
      </c>
      <c r="F14" s="205">
        <v>178168</v>
      </c>
      <c r="G14" s="205">
        <v>136054</v>
      </c>
      <c r="H14" s="205">
        <v>148758</v>
      </c>
      <c r="I14" s="205">
        <v>128743</v>
      </c>
      <c r="J14" s="205">
        <v>142916</v>
      </c>
      <c r="K14" s="205">
        <v>177519</v>
      </c>
      <c r="L14" s="205">
        <v>94181</v>
      </c>
      <c r="M14" s="205">
        <v>63440</v>
      </c>
      <c r="N14" s="205">
        <v>0</v>
      </c>
      <c r="O14" s="205">
        <v>0</v>
      </c>
      <c r="P14" s="205">
        <v>0</v>
      </c>
      <c r="Q14" s="59"/>
      <c r="R14" s="140">
        <v>1205260</v>
      </c>
    </row>
    <row r="15" spans="1:18">
      <c r="A15" s="84">
        <v>9</v>
      </c>
      <c r="B15" s="13" t="s">
        <v>41</v>
      </c>
      <c r="C15" s="43">
        <v>185895</v>
      </c>
      <c r="D15" s="32">
        <v>1258127</v>
      </c>
      <c r="E15" s="205">
        <v>160536</v>
      </c>
      <c r="F15" s="205">
        <v>132054</v>
      </c>
      <c r="G15" s="205">
        <v>109083</v>
      </c>
      <c r="H15" s="205">
        <v>75549</v>
      </c>
      <c r="I15" s="205">
        <v>149167</v>
      </c>
      <c r="J15" s="205">
        <v>140831</v>
      </c>
      <c r="K15" s="205">
        <v>196043</v>
      </c>
      <c r="L15" s="205">
        <v>106039</v>
      </c>
      <c r="M15" s="205">
        <v>188825</v>
      </c>
      <c r="N15" s="205">
        <v>0</v>
      </c>
      <c r="O15" s="205">
        <v>0</v>
      </c>
      <c r="P15" s="205">
        <v>0</v>
      </c>
      <c r="Q15" s="59"/>
      <c r="R15" s="140">
        <v>1258127</v>
      </c>
    </row>
    <row r="16" spans="1:18" ht="12.75" customHeight="1">
      <c r="A16" s="84">
        <v>10</v>
      </c>
      <c r="B16" s="14" t="s">
        <v>91</v>
      </c>
      <c r="C16" s="43">
        <v>186298</v>
      </c>
      <c r="D16" s="32">
        <v>1462787</v>
      </c>
      <c r="E16" s="205">
        <v>220402</v>
      </c>
      <c r="F16" s="205">
        <v>348737</v>
      </c>
      <c r="G16" s="205">
        <v>173787</v>
      </c>
      <c r="H16" s="205">
        <v>254261</v>
      </c>
      <c r="I16" s="205">
        <v>196121</v>
      </c>
      <c r="J16" s="205">
        <v>212728</v>
      </c>
      <c r="K16" s="205">
        <v>56661</v>
      </c>
      <c r="L16" s="205">
        <v>0</v>
      </c>
      <c r="M16" s="205">
        <v>90</v>
      </c>
      <c r="N16" s="205">
        <v>0</v>
      </c>
      <c r="O16" s="205">
        <v>0</v>
      </c>
      <c r="P16" s="205">
        <v>0</v>
      </c>
      <c r="Q16" s="59"/>
      <c r="R16" s="140">
        <v>1462787</v>
      </c>
    </row>
    <row r="17" spans="1:20">
      <c r="A17" s="84">
        <v>11</v>
      </c>
      <c r="B17" s="13" t="s">
        <v>119</v>
      </c>
      <c r="C17" s="43">
        <v>223063</v>
      </c>
      <c r="D17" s="32">
        <v>4297342</v>
      </c>
      <c r="E17" s="205">
        <v>539216</v>
      </c>
      <c r="F17" s="205">
        <v>522867</v>
      </c>
      <c r="G17" s="205">
        <v>444785</v>
      </c>
      <c r="H17" s="205">
        <v>423831</v>
      </c>
      <c r="I17" s="205">
        <v>339112</v>
      </c>
      <c r="J17" s="205">
        <v>470134</v>
      </c>
      <c r="K17" s="205">
        <v>573175</v>
      </c>
      <c r="L17" s="205">
        <v>483558</v>
      </c>
      <c r="M17" s="205">
        <v>500664</v>
      </c>
      <c r="N17" s="205">
        <v>0</v>
      </c>
      <c r="O17" s="205">
        <v>0</v>
      </c>
      <c r="P17" s="205">
        <v>0</v>
      </c>
      <c r="Q17" s="59"/>
      <c r="R17" s="140">
        <v>4297342</v>
      </c>
    </row>
    <row r="18" spans="1:20">
      <c r="A18" s="84">
        <v>12</v>
      </c>
      <c r="B18" s="120" t="s">
        <v>188</v>
      </c>
      <c r="C18" s="43">
        <v>102475</v>
      </c>
      <c r="D18" s="32">
        <v>11320</v>
      </c>
      <c r="E18" s="204">
        <v>-311</v>
      </c>
      <c r="F18" s="204">
        <v>1667</v>
      </c>
      <c r="G18" s="204">
        <v>1579</v>
      </c>
      <c r="H18" s="204">
        <v>1431</v>
      </c>
      <c r="I18" s="204">
        <v>1520</v>
      </c>
      <c r="J18" s="204">
        <v>1310</v>
      </c>
      <c r="K18" s="204">
        <v>1310</v>
      </c>
      <c r="L18" s="204">
        <v>1324</v>
      </c>
      <c r="M18" s="204">
        <v>1490</v>
      </c>
      <c r="N18" s="204">
        <v>0</v>
      </c>
      <c r="O18" s="204">
        <v>0</v>
      </c>
      <c r="P18" s="204">
        <v>0</v>
      </c>
      <c r="Q18" s="59"/>
      <c r="R18" s="140">
        <v>11320</v>
      </c>
    </row>
    <row r="19" spans="1:20">
      <c r="A19" s="84">
        <v>13</v>
      </c>
      <c r="B19" s="13" t="s">
        <v>107</v>
      </c>
      <c r="C19" s="43" t="s">
        <v>108</v>
      </c>
      <c r="D19" s="32">
        <v>20796504</v>
      </c>
      <c r="E19" s="204">
        <v>2414741</v>
      </c>
      <c r="F19" s="204">
        <v>2327885</v>
      </c>
      <c r="G19" s="204">
        <v>2427120</v>
      </c>
      <c r="H19" s="204">
        <v>2402620</v>
      </c>
      <c r="I19" s="204">
        <v>2109928</v>
      </c>
      <c r="J19" s="204">
        <v>2056488</v>
      </c>
      <c r="K19" s="204">
        <v>2224624</v>
      </c>
      <c r="L19" s="204">
        <v>2406557</v>
      </c>
      <c r="M19" s="204">
        <v>2426541</v>
      </c>
      <c r="N19" s="204">
        <v>0</v>
      </c>
      <c r="O19" s="204">
        <v>0</v>
      </c>
      <c r="P19" s="204">
        <v>0</v>
      </c>
      <c r="Q19" s="59"/>
      <c r="R19" s="140">
        <v>20796504</v>
      </c>
    </row>
    <row r="20" spans="1:20">
      <c r="A20" s="84">
        <v>14</v>
      </c>
      <c r="B20" s="13" t="s">
        <v>118</v>
      </c>
      <c r="C20" s="43">
        <v>181462</v>
      </c>
      <c r="D20" s="32">
        <v>16703716</v>
      </c>
      <c r="E20" s="204">
        <v>3334132</v>
      </c>
      <c r="F20" s="204">
        <v>2160328</v>
      </c>
      <c r="G20" s="204">
        <v>2406190</v>
      </c>
      <c r="H20" s="204">
        <v>1890255</v>
      </c>
      <c r="I20" s="204">
        <v>1607702</v>
      </c>
      <c r="J20" s="204">
        <v>1548996</v>
      </c>
      <c r="K20" s="204">
        <v>1461188</v>
      </c>
      <c r="L20" s="204">
        <v>1087063</v>
      </c>
      <c r="M20" s="204">
        <v>1207862</v>
      </c>
      <c r="N20" s="204">
        <v>0</v>
      </c>
      <c r="O20" s="204">
        <v>0</v>
      </c>
      <c r="P20" s="204">
        <v>0</v>
      </c>
      <c r="Q20" s="59"/>
      <c r="R20" s="140">
        <v>16703716</v>
      </c>
    </row>
    <row r="21" spans="1:20">
      <c r="A21" s="84">
        <v>15</v>
      </c>
      <c r="B21" s="120" t="s">
        <v>230</v>
      </c>
      <c r="C21" s="43"/>
      <c r="D21" s="32">
        <v>7981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7981</v>
      </c>
      <c r="N21" s="204">
        <v>0</v>
      </c>
      <c r="O21" s="204">
        <v>0</v>
      </c>
      <c r="P21" s="204">
        <v>0</v>
      </c>
      <c r="Q21" s="59"/>
      <c r="R21" s="140"/>
    </row>
    <row r="22" spans="1:20">
      <c r="A22" s="84">
        <v>16</v>
      </c>
      <c r="B22" s="14" t="s">
        <v>29</v>
      </c>
      <c r="C22" s="98"/>
      <c r="D22" s="32">
        <v>1938914</v>
      </c>
      <c r="E22" s="35">
        <v>230471</v>
      </c>
      <c r="F22" s="35">
        <v>284988</v>
      </c>
      <c r="G22" s="35">
        <v>217561</v>
      </c>
      <c r="H22" s="35">
        <v>192205</v>
      </c>
      <c r="I22" s="35">
        <v>174560</v>
      </c>
      <c r="J22" s="35">
        <v>188358</v>
      </c>
      <c r="K22" s="35">
        <v>220740</v>
      </c>
      <c r="L22" s="35">
        <v>226853</v>
      </c>
      <c r="M22" s="35">
        <v>203178</v>
      </c>
      <c r="N22" s="35">
        <v>0</v>
      </c>
      <c r="O22" s="35">
        <v>0</v>
      </c>
      <c r="P22" s="35">
        <v>0</v>
      </c>
      <c r="Q22" s="35"/>
      <c r="R22" s="140">
        <v>1938914</v>
      </c>
    </row>
    <row r="23" spans="1:20">
      <c r="A23" s="84">
        <v>17</v>
      </c>
      <c r="B23" s="120" t="s">
        <v>15</v>
      </c>
      <c r="C23" s="206"/>
      <c r="D23" s="32">
        <v>119163</v>
      </c>
      <c r="E23" s="36">
        <v>15496</v>
      </c>
      <c r="F23" s="36">
        <v>9788</v>
      </c>
      <c r="G23" s="36">
        <v>-27807</v>
      </c>
      <c r="H23" s="36">
        <v>28331</v>
      </c>
      <c r="I23" s="36">
        <v>-13021</v>
      </c>
      <c r="J23" s="36">
        <v>7014</v>
      </c>
      <c r="K23" s="36">
        <v>-16838</v>
      </c>
      <c r="L23" s="36">
        <v>-2255</v>
      </c>
      <c r="M23" s="36">
        <v>118455</v>
      </c>
      <c r="N23" s="36">
        <v>0</v>
      </c>
      <c r="O23" s="36">
        <v>0</v>
      </c>
      <c r="P23" s="36">
        <v>0</v>
      </c>
      <c r="Q23" s="36"/>
      <c r="R23" s="140">
        <v>119163</v>
      </c>
    </row>
    <row r="24" spans="1:20" s="41" customFormat="1" ht="13.5" thickBot="1">
      <c r="A24" s="84">
        <v>18</v>
      </c>
      <c r="B24" s="69" t="s">
        <v>81</v>
      </c>
      <c r="C24" s="69"/>
      <c r="D24" s="49">
        <v>90579263</v>
      </c>
      <c r="E24" s="207">
        <v>13017722</v>
      </c>
      <c r="F24" s="207">
        <v>11062158</v>
      </c>
      <c r="G24" s="207">
        <v>9087202</v>
      </c>
      <c r="H24" s="207">
        <v>9946840</v>
      </c>
      <c r="I24" s="207">
        <v>8799131</v>
      </c>
      <c r="J24" s="207">
        <v>8298962</v>
      </c>
      <c r="K24" s="207">
        <v>9869695</v>
      </c>
      <c r="L24" s="207">
        <v>10928100</v>
      </c>
      <c r="M24" s="207">
        <v>9569453</v>
      </c>
      <c r="N24" s="207">
        <v>0</v>
      </c>
      <c r="O24" s="207">
        <v>0</v>
      </c>
      <c r="P24" s="207">
        <v>0</v>
      </c>
      <c r="Q24" s="37"/>
      <c r="R24" s="208">
        <v>90452119</v>
      </c>
    </row>
    <row r="25" spans="1:20" ht="13.15" thickTop="1">
      <c r="A25" s="84"/>
      <c r="E25" s="48" t="s">
        <v>25</v>
      </c>
      <c r="F25" s="209" t="s">
        <v>25</v>
      </c>
      <c r="G25" s="209"/>
      <c r="H25" s="209"/>
      <c r="I25" s="209"/>
      <c r="J25" s="209"/>
      <c r="K25" s="209"/>
      <c r="L25" s="209"/>
      <c r="M25" s="209"/>
      <c r="N25" s="209"/>
      <c r="O25" s="209"/>
      <c r="P25" s="209"/>
    </row>
    <row r="26" spans="1:20">
      <c r="A26" s="84"/>
      <c r="B26" s="13" t="s">
        <v>82</v>
      </c>
      <c r="C26" s="13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T26" s="210"/>
    </row>
    <row r="27" spans="1:20" outlineLevel="1">
      <c r="A27" s="84"/>
      <c r="B27" s="65" t="s">
        <v>13</v>
      </c>
      <c r="C27" s="65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</row>
    <row r="28" spans="1:20" outlineLevel="1">
      <c r="A28" s="84"/>
      <c r="B28" s="14">
        <v>555000</v>
      </c>
      <c r="D28" s="209">
        <v>84261150</v>
      </c>
      <c r="E28" s="27">
        <v>11300933</v>
      </c>
      <c r="F28" s="27">
        <v>9783421</v>
      </c>
      <c r="G28" s="27">
        <v>9368374</v>
      </c>
      <c r="H28" s="27">
        <v>8891163</v>
      </c>
      <c r="I28" s="27">
        <v>8111978</v>
      </c>
      <c r="J28" s="27">
        <v>7524829</v>
      </c>
      <c r="K28" s="27">
        <v>9055084</v>
      </c>
      <c r="L28" s="27">
        <v>10551605</v>
      </c>
      <c r="M28" s="27">
        <v>9673763</v>
      </c>
      <c r="N28" s="27">
        <v>0</v>
      </c>
      <c r="O28" s="27">
        <v>0</v>
      </c>
      <c r="P28" s="27">
        <v>0</v>
      </c>
      <c r="Q28" s="59"/>
      <c r="R28" s="140">
        <v>84261150</v>
      </c>
    </row>
    <row r="29" spans="1:20" outlineLevel="1">
      <c r="A29" s="84"/>
      <c r="B29" s="14">
        <v>555030</v>
      </c>
      <c r="D29" s="209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59"/>
      <c r="R29" s="140"/>
    </row>
    <row r="30" spans="1:20" outlineLevel="1">
      <c r="A30" s="84"/>
      <c r="B30" s="14">
        <v>555100</v>
      </c>
      <c r="C30" s="14" t="s">
        <v>94</v>
      </c>
      <c r="D30" s="209">
        <v>2469394</v>
      </c>
      <c r="E30" s="27">
        <v>1256392</v>
      </c>
      <c r="F30" s="27">
        <v>900700</v>
      </c>
      <c r="G30" s="27">
        <v>-662984</v>
      </c>
      <c r="H30" s="27">
        <v>191488</v>
      </c>
      <c r="I30" s="27">
        <v>444892</v>
      </c>
      <c r="J30" s="27">
        <v>539968</v>
      </c>
      <c r="K30" s="27">
        <v>422966</v>
      </c>
      <c r="L30" s="27">
        <v>-6136</v>
      </c>
      <c r="M30" s="27">
        <v>-617892</v>
      </c>
      <c r="N30" s="27">
        <v>0</v>
      </c>
      <c r="O30" s="27">
        <v>0</v>
      </c>
      <c r="P30" s="27">
        <v>0</v>
      </c>
      <c r="Q30" s="59"/>
      <c r="R30" s="140">
        <v>2469394</v>
      </c>
    </row>
    <row r="31" spans="1:20" outlineLevel="1">
      <c r="A31" s="84"/>
      <c r="B31" s="13">
        <v>555312</v>
      </c>
      <c r="C31" s="13" t="s">
        <v>61</v>
      </c>
      <c r="D31" s="209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59"/>
      <c r="R31" s="140">
        <v>0</v>
      </c>
    </row>
    <row r="32" spans="1:20" outlineLevel="1">
      <c r="A32" s="84"/>
      <c r="B32" s="14">
        <v>555313</v>
      </c>
      <c r="C32" s="14" t="s">
        <v>61</v>
      </c>
      <c r="D32" s="209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59"/>
      <c r="R32" s="140">
        <v>0</v>
      </c>
    </row>
    <row r="33" spans="1:18" outlineLevel="1">
      <c r="A33" s="84"/>
      <c r="B33" s="14">
        <v>555380</v>
      </c>
      <c r="C33" s="14" t="s">
        <v>95</v>
      </c>
      <c r="D33" s="209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59"/>
      <c r="R33" s="140">
        <v>0</v>
      </c>
    </row>
    <row r="34" spans="1:18" outlineLevel="1">
      <c r="A34" s="84"/>
      <c r="B34" s="14">
        <v>555550</v>
      </c>
      <c r="C34" s="14" t="s">
        <v>96</v>
      </c>
      <c r="D34" s="209">
        <v>119163</v>
      </c>
      <c r="E34" s="27">
        <v>15496</v>
      </c>
      <c r="F34" s="27">
        <v>9788</v>
      </c>
      <c r="G34" s="27">
        <v>-27807</v>
      </c>
      <c r="H34" s="27">
        <v>28331</v>
      </c>
      <c r="I34" s="27">
        <v>-13021</v>
      </c>
      <c r="J34" s="27">
        <v>7014</v>
      </c>
      <c r="K34" s="27">
        <v>-16838</v>
      </c>
      <c r="L34" s="27">
        <v>-2255</v>
      </c>
      <c r="M34" s="27">
        <v>118455</v>
      </c>
      <c r="N34" s="27">
        <v>0</v>
      </c>
      <c r="O34" s="27">
        <v>0</v>
      </c>
      <c r="P34" s="27">
        <v>0</v>
      </c>
      <c r="Q34" s="59"/>
      <c r="R34" s="140">
        <v>119163</v>
      </c>
    </row>
    <row r="35" spans="1:18" outlineLevel="1">
      <c r="A35" s="84"/>
      <c r="B35" s="14">
        <v>555700</v>
      </c>
      <c r="C35" s="14" t="s">
        <v>97</v>
      </c>
      <c r="D35" s="209">
        <v>1866342</v>
      </c>
      <c r="E35" s="27">
        <v>218942</v>
      </c>
      <c r="F35" s="27">
        <v>89780</v>
      </c>
      <c r="G35" s="27">
        <v>199854</v>
      </c>
      <c r="H35" s="27">
        <v>652725</v>
      </c>
      <c r="I35" s="27">
        <v>90380</v>
      </c>
      <c r="J35" s="27">
        <v>48766</v>
      </c>
      <c r="K35" s="27">
        <v>198595</v>
      </c>
      <c r="L35" s="27">
        <v>167200</v>
      </c>
      <c r="M35" s="27">
        <v>200100</v>
      </c>
      <c r="N35" s="27">
        <v>0</v>
      </c>
      <c r="O35" s="27">
        <v>0</v>
      </c>
      <c r="P35" s="27">
        <v>0</v>
      </c>
      <c r="Q35" s="59"/>
      <c r="R35" s="140">
        <v>1866342</v>
      </c>
    </row>
    <row r="36" spans="1:18" outlineLevel="1">
      <c r="A36" s="84"/>
      <c r="B36" s="14">
        <v>555710</v>
      </c>
      <c r="C36" s="14" t="s">
        <v>98</v>
      </c>
      <c r="D36" s="209">
        <v>1938914</v>
      </c>
      <c r="E36" s="27">
        <v>230471</v>
      </c>
      <c r="F36" s="27">
        <v>284988</v>
      </c>
      <c r="G36" s="27">
        <v>217561</v>
      </c>
      <c r="H36" s="27">
        <v>192205</v>
      </c>
      <c r="I36" s="27">
        <v>174560</v>
      </c>
      <c r="J36" s="27">
        <v>188358</v>
      </c>
      <c r="K36" s="27">
        <v>220740</v>
      </c>
      <c r="L36" s="27">
        <v>226853</v>
      </c>
      <c r="M36" s="27">
        <v>203178</v>
      </c>
      <c r="N36" s="27">
        <v>0</v>
      </c>
      <c r="O36" s="27">
        <v>0</v>
      </c>
      <c r="P36" s="27">
        <v>0</v>
      </c>
      <c r="Q36" s="59"/>
      <c r="R36" s="140">
        <v>1938914</v>
      </c>
    </row>
    <row r="37" spans="1:18" outlineLevel="1">
      <c r="A37" s="84"/>
      <c r="C37" s="83" t="s">
        <v>193</v>
      </c>
      <c r="D37" s="209">
        <v>-75700</v>
      </c>
      <c r="E37" s="27">
        <v>-4512</v>
      </c>
      <c r="F37" s="27">
        <v>-6519</v>
      </c>
      <c r="G37" s="27">
        <v>-7796</v>
      </c>
      <c r="H37" s="27">
        <v>-9072</v>
      </c>
      <c r="I37" s="27">
        <v>-9658</v>
      </c>
      <c r="J37" s="27">
        <v>-9973</v>
      </c>
      <c r="K37" s="27">
        <v>-10852</v>
      </c>
      <c r="L37" s="27">
        <v>-9167</v>
      </c>
      <c r="M37" s="27">
        <v>-8151</v>
      </c>
      <c r="N37" s="27"/>
      <c r="O37" s="27"/>
      <c r="P37" s="27"/>
      <c r="Q37" s="59"/>
      <c r="R37" s="140"/>
    </row>
    <row r="38" spans="1:18" outlineLevel="1">
      <c r="A38" s="84"/>
      <c r="B38" s="66" t="s">
        <v>49</v>
      </c>
      <c r="C38" s="43" t="s">
        <v>143</v>
      </c>
      <c r="D38" s="211">
        <v>0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  <c r="N38" s="212">
        <v>0</v>
      </c>
      <c r="O38" s="212">
        <v>0</v>
      </c>
      <c r="P38" s="212">
        <v>0</v>
      </c>
      <c r="Q38" s="149"/>
      <c r="R38" s="140">
        <v>0</v>
      </c>
    </row>
    <row r="39" spans="1:18" s="41" customFormat="1" ht="13.15" outlineLevel="1">
      <c r="A39" s="213"/>
      <c r="B39" s="67"/>
      <c r="C39" s="67"/>
      <c r="D39" s="50">
        <v>90579263</v>
      </c>
      <c r="E39" s="50">
        <v>13017722</v>
      </c>
      <c r="F39" s="50">
        <v>11062158</v>
      </c>
      <c r="G39" s="50">
        <v>9087202</v>
      </c>
      <c r="H39" s="50">
        <v>9946840</v>
      </c>
      <c r="I39" s="50">
        <v>8799131</v>
      </c>
      <c r="J39" s="50">
        <v>8298962</v>
      </c>
      <c r="K39" s="50">
        <v>9869695</v>
      </c>
      <c r="L39" s="50">
        <v>10928100</v>
      </c>
      <c r="M39" s="50">
        <v>9569453</v>
      </c>
      <c r="N39" s="50">
        <v>0</v>
      </c>
      <c r="O39" s="50">
        <v>0</v>
      </c>
      <c r="P39" s="50">
        <v>0</v>
      </c>
      <c r="Q39" s="57"/>
      <c r="R39" s="50">
        <v>90654963</v>
      </c>
    </row>
    <row r="40" spans="1:18" ht="13.15">
      <c r="A40" s="84"/>
      <c r="B40" s="67"/>
      <c r="C40" s="67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</row>
    <row r="41" spans="1:18" ht="19.5" customHeight="1">
      <c r="A41" s="84"/>
      <c r="B41" s="68" t="s">
        <v>22</v>
      </c>
      <c r="C41" s="6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</row>
    <row r="42" spans="1:18" ht="12.95" customHeight="1">
      <c r="A42" s="84">
        <v>19</v>
      </c>
      <c r="B42" s="14" t="s">
        <v>23</v>
      </c>
      <c r="C42" s="98"/>
      <c r="D42" s="209">
        <v>-49210937</v>
      </c>
      <c r="E42" s="36">
        <v>-6410216</v>
      </c>
      <c r="F42" s="36">
        <v>-5567362</v>
      </c>
      <c r="G42" s="36">
        <v>-5771825</v>
      </c>
      <c r="H42" s="36">
        <v>-6957136</v>
      </c>
      <c r="I42" s="36">
        <v>-4643721</v>
      </c>
      <c r="J42" s="36">
        <v>-4498259</v>
      </c>
      <c r="K42" s="36">
        <v>-5243857</v>
      </c>
      <c r="L42" s="36">
        <v>-6564706</v>
      </c>
      <c r="M42" s="36">
        <v>-3553855</v>
      </c>
      <c r="N42" s="36">
        <v>0</v>
      </c>
      <c r="O42" s="36">
        <v>0</v>
      </c>
      <c r="P42" s="36">
        <v>0</v>
      </c>
      <c r="Q42" s="214"/>
      <c r="R42" s="209">
        <v>-49210937</v>
      </c>
    </row>
    <row r="43" spans="1:18">
      <c r="A43" s="84">
        <v>20</v>
      </c>
      <c r="B43" s="14" t="s">
        <v>28</v>
      </c>
      <c r="C43" s="98" t="s">
        <v>99</v>
      </c>
      <c r="D43" s="209">
        <v>-637524</v>
      </c>
      <c r="E43" s="205">
        <v>-114196</v>
      </c>
      <c r="F43" s="205">
        <v>-57978</v>
      </c>
      <c r="G43" s="205">
        <v>-77242</v>
      </c>
      <c r="H43" s="205">
        <v>-67204</v>
      </c>
      <c r="I43" s="205">
        <v>-32501</v>
      </c>
      <c r="J43" s="205">
        <v>-15887</v>
      </c>
      <c r="K43" s="205">
        <v>-53470</v>
      </c>
      <c r="L43" s="205">
        <v>-112902</v>
      </c>
      <c r="M43" s="205">
        <v>-106144</v>
      </c>
      <c r="N43" s="205">
        <v>0</v>
      </c>
      <c r="O43" s="205">
        <v>0</v>
      </c>
      <c r="P43" s="205">
        <v>0</v>
      </c>
      <c r="Q43" s="214"/>
      <c r="R43" s="209">
        <v>-637524</v>
      </c>
    </row>
    <row r="44" spans="1:18">
      <c r="A44" s="84">
        <v>21</v>
      </c>
      <c r="B44" s="13" t="s">
        <v>171</v>
      </c>
      <c r="C44" s="43" t="s">
        <v>142</v>
      </c>
      <c r="D44" s="209">
        <v>-101039</v>
      </c>
      <c r="E44" s="205">
        <v>-12942</v>
      </c>
      <c r="F44" s="205">
        <v>-12179</v>
      </c>
      <c r="G44" s="205">
        <v>-12626</v>
      </c>
      <c r="H44" s="205">
        <v>-12124</v>
      </c>
      <c r="I44" s="205">
        <v>-12236</v>
      </c>
      <c r="J44" s="205">
        <v>-10556</v>
      </c>
      <c r="K44" s="205">
        <v>-9100</v>
      </c>
      <c r="L44" s="205">
        <v>-9146</v>
      </c>
      <c r="M44" s="205">
        <v>-10130</v>
      </c>
      <c r="N44" s="205">
        <v>0</v>
      </c>
      <c r="O44" s="205">
        <v>0</v>
      </c>
      <c r="P44" s="205">
        <v>0</v>
      </c>
      <c r="Q44" s="214"/>
      <c r="R44" s="209">
        <v>-101039</v>
      </c>
    </row>
    <row r="45" spans="1:18">
      <c r="A45" s="84">
        <v>22</v>
      </c>
      <c r="B45" s="14" t="s">
        <v>32</v>
      </c>
      <c r="C45" s="215" t="s">
        <v>141</v>
      </c>
      <c r="D45" s="209">
        <v>-343066</v>
      </c>
      <c r="E45" s="205">
        <v>-57587</v>
      </c>
      <c r="F45" s="205">
        <v>-47591</v>
      </c>
      <c r="G45" s="205">
        <v>-55025</v>
      </c>
      <c r="H45" s="205">
        <v>-52181</v>
      </c>
      <c r="I45" s="205">
        <v>-40336</v>
      </c>
      <c r="J45" s="205">
        <v>-25067</v>
      </c>
      <c r="K45" s="205">
        <v>-24561</v>
      </c>
      <c r="L45" s="205">
        <v>-21080</v>
      </c>
      <c r="M45" s="205">
        <v>-19638</v>
      </c>
      <c r="N45" s="205">
        <v>0</v>
      </c>
      <c r="O45" s="205">
        <v>0</v>
      </c>
      <c r="P45" s="205">
        <v>0</v>
      </c>
      <c r="Q45" s="214"/>
      <c r="R45" s="209">
        <v>-343066</v>
      </c>
    </row>
    <row r="46" spans="1:18">
      <c r="A46" s="84">
        <v>23</v>
      </c>
      <c r="B46" s="14" t="s">
        <v>30</v>
      </c>
      <c r="C46" s="98"/>
      <c r="D46" s="209">
        <v>-12706233</v>
      </c>
      <c r="E46" s="34">
        <v>-1223281</v>
      </c>
      <c r="F46" s="34">
        <v>-1274514</v>
      </c>
      <c r="G46" s="34">
        <v>-1236581</v>
      </c>
      <c r="H46" s="34">
        <v>-1823276</v>
      </c>
      <c r="I46" s="34">
        <v>-1705686</v>
      </c>
      <c r="J46" s="34">
        <v>-1654839</v>
      </c>
      <c r="K46" s="34">
        <v>-1510579</v>
      </c>
      <c r="L46" s="34">
        <v>-1115169</v>
      </c>
      <c r="M46" s="34">
        <v>-1162308</v>
      </c>
      <c r="N46" s="34">
        <v>0</v>
      </c>
      <c r="O46" s="34">
        <v>0</v>
      </c>
      <c r="P46" s="34">
        <v>0</v>
      </c>
      <c r="Q46" s="214"/>
      <c r="R46" s="209">
        <v>-12706233</v>
      </c>
    </row>
    <row r="47" spans="1:18" s="41" customFormat="1" ht="24.75" customHeight="1" thickBot="1">
      <c r="A47" s="216">
        <v>24</v>
      </c>
      <c r="B47" s="69" t="s">
        <v>80</v>
      </c>
      <c r="C47" s="69"/>
      <c r="D47" s="49">
        <v>-62998799</v>
      </c>
      <c r="E47" s="207">
        <v>-7818222</v>
      </c>
      <c r="F47" s="207">
        <v>-6959624</v>
      </c>
      <c r="G47" s="207">
        <v>-7153299</v>
      </c>
      <c r="H47" s="207">
        <v>-8911921</v>
      </c>
      <c r="I47" s="207">
        <v>-6434480</v>
      </c>
      <c r="J47" s="207">
        <v>-6204608</v>
      </c>
      <c r="K47" s="207">
        <v>-6841567</v>
      </c>
      <c r="L47" s="207">
        <v>-7823003</v>
      </c>
      <c r="M47" s="207">
        <v>-4852075</v>
      </c>
      <c r="N47" s="207">
        <v>0</v>
      </c>
      <c r="O47" s="207">
        <v>0</v>
      </c>
      <c r="P47" s="207">
        <v>0</v>
      </c>
      <c r="Q47" s="217"/>
      <c r="R47" s="208">
        <v>-62998799</v>
      </c>
    </row>
    <row r="48" spans="1:18" ht="13.15" thickTop="1">
      <c r="A48" s="8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218"/>
    </row>
    <row r="49" spans="1:18" outlineLevel="2">
      <c r="A49" s="84"/>
      <c r="E49" s="209"/>
      <c r="F49" s="209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18"/>
    </row>
    <row r="50" spans="1:18" outlineLevel="2">
      <c r="A50" s="84"/>
      <c r="B50" s="70" t="s">
        <v>22</v>
      </c>
      <c r="C50" s="70"/>
      <c r="E50" s="209"/>
      <c r="F50" s="209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18"/>
    </row>
    <row r="51" spans="1:18" outlineLevel="2">
      <c r="A51" s="84"/>
      <c r="B51" s="14">
        <v>447000</v>
      </c>
      <c r="D51" s="209">
        <v>-26063734</v>
      </c>
      <c r="E51" s="27">
        <v>-3835467</v>
      </c>
      <c r="F51" s="27">
        <v>-2627687</v>
      </c>
      <c r="G51" s="27">
        <v>-3877053</v>
      </c>
      <c r="H51" s="27">
        <v>-4628479</v>
      </c>
      <c r="I51" s="27">
        <v>-1311184</v>
      </c>
      <c r="J51" s="27">
        <v>-185383</v>
      </c>
      <c r="K51" s="27">
        <v>-2143356</v>
      </c>
      <c r="L51" s="27">
        <v>-5007788</v>
      </c>
      <c r="M51" s="27">
        <v>-2447337</v>
      </c>
      <c r="N51" s="27">
        <v>0</v>
      </c>
      <c r="O51" s="27">
        <v>0</v>
      </c>
      <c r="P51" s="27">
        <v>0</v>
      </c>
      <c r="Q51" s="219"/>
      <c r="R51" s="140">
        <v>-26063734</v>
      </c>
    </row>
    <row r="52" spans="1:18" ht="13.15" outlineLevel="2">
      <c r="A52" s="84"/>
      <c r="B52" s="14" t="s">
        <v>222</v>
      </c>
      <c r="C52" s="41" t="s">
        <v>191</v>
      </c>
      <c r="D52" s="209">
        <v>698444</v>
      </c>
      <c r="E52" s="27">
        <v>19928</v>
      </c>
      <c r="F52" s="27">
        <v>44560</v>
      </c>
      <c r="G52" s="27">
        <v>91436</v>
      </c>
      <c r="H52" s="27">
        <v>78930</v>
      </c>
      <c r="I52" s="27">
        <v>46214</v>
      </c>
      <c r="J52" s="27">
        <v>40293</v>
      </c>
      <c r="K52" s="27">
        <v>122334</v>
      </c>
      <c r="L52" s="27">
        <v>224584</v>
      </c>
      <c r="M52" s="27">
        <v>30165</v>
      </c>
      <c r="N52" s="27"/>
      <c r="O52" s="27"/>
      <c r="P52" s="27"/>
      <c r="Q52" s="219"/>
      <c r="R52" s="140"/>
    </row>
    <row r="53" spans="1:18" outlineLevel="2">
      <c r="A53" s="84"/>
      <c r="B53" s="14">
        <v>447100</v>
      </c>
      <c r="D53" s="209">
        <v>-10873913</v>
      </c>
      <c r="E53" s="27">
        <v>-1028302</v>
      </c>
      <c r="F53" s="27">
        <v>-1145634</v>
      </c>
      <c r="G53" s="27">
        <v>-328879</v>
      </c>
      <c r="H53" s="27">
        <v>-737252</v>
      </c>
      <c r="I53" s="27">
        <v>-2395170</v>
      </c>
      <c r="J53" s="27">
        <v>-3583660</v>
      </c>
      <c r="K53" s="27">
        <v>-2209558</v>
      </c>
      <c r="L53" s="27">
        <v>386306</v>
      </c>
      <c r="M53" s="27">
        <v>168236</v>
      </c>
      <c r="N53" s="27">
        <v>0</v>
      </c>
      <c r="O53" s="27">
        <v>0</v>
      </c>
      <c r="P53" s="27">
        <v>0</v>
      </c>
      <c r="Q53" s="219"/>
      <c r="R53" s="140">
        <v>-10873913</v>
      </c>
    </row>
    <row r="54" spans="1:18" outlineLevel="2">
      <c r="A54" s="84"/>
      <c r="B54" s="14">
        <v>447150</v>
      </c>
      <c r="D54" s="209">
        <v>-9832392</v>
      </c>
      <c r="E54" s="27">
        <v>-1265005</v>
      </c>
      <c r="F54" s="27">
        <v>-1503561</v>
      </c>
      <c r="G54" s="27">
        <v>-1358611</v>
      </c>
      <c r="H54" s="27">
        <v>-884798</v>
      </c>
      <c r="I54" s="27">
        <v>-700094</v>
      </c>
      <c r="J54" s="27">
        <v>-498100</v>
      </c>
      <c r="K54" s="27">
        <v>-644975</v>
      </c>
      <c r="L54" s="27">
        <v>-1900295</v>
      </c>
      <c r="M54" s="27">
        <v>-1076953</v>
      </c>
      <c r="N54" s="27">
        <v>0</v>
      </c>
      <c r="O54" s="27">
        <v>0</v>
      </c>
      <c r="P54" s="27">
        <v>0</v>
      </c>
      <c r="Q54" s="219"/>
      <c r="R54" s="140">
        <v>-9832392</v>
      </c>
    </row>
    <row r="55" spans="1:18" outlineLevel="2">
      <c r="A55" s="84"/>
      <c r="B55" s="14">
        <v>447700</v>
      </c>
      <c r="D55" s="209">
        <v>-2282057</v>
      </c>
      <c r="E55" s="27">
        <v>-255624</v>
      </c>
      <c r="F55" s="27">
        <v>-167800</v>
      </c>
      <c r="G55" s="27">
        <v>-226050</v>
      </c>
      <c r="H55" s="27">
        <v>-724841</v>
      </c>
      <c r="I55" s="27">
        <v>-194000</v>
      </c>
      <c r="J55" s="27">
        <v>-134561</v>
      </c>
      <c r="K55" s="27">
        <v>-234693</v>
      </c>
      <c r="L55" s="27">
        <v>-183788</v>
      </c>
      <c r="M55" s="27">
        <v>-160700</v>
      </c>
      <c r="N55" s="27">
        <v>0</v>
      </c>
      <c r="O55" s="27">
        <v>0</v>
      </c>
      <c r="P55" s="27">
        <v>0</v>
      </c>
      <c r="Q55" s="219"/>
      <c r="R55" s="140">
        <v>-2282057</v>
      </c>
    </row>
    <row r="56" spans="1:18" outlineLevel="2">
      <c r="A56" s="84"/>
      <c r="B56" s="14">
        <v>447710</v>
      </c>
      <c r="D56" s="209">
        <v>-1938914</v>
      </c>
      <c r="E56" s="27">
        <v>-230471</v>
      </c>
      <c r="F56" s="27">
        <v>-284988</v>
      </c>
      <c r="G56" s="27">
        <v>-217561</v>
      </c>
      <c r="H56" s="27">
        <v>-192205</v>
      </c>
      <c r="I56" s="27">
        <v>-174560</v>
      </c>
      <c r="J56" s="27">
        <v>-188358</v>
      </c>
      <c r="K56" s="27">
        <v>-220740</v>
      </c>
      <c r="L56" s="27">
        <v>-226853</v>
      </c>
      <c r="M56" s="27">
        <v>-203178</v>
      </c>
      <c r="N56" s="27">
        <v>0</v>
      </c>
      <c r="O56" s="27">
        <v>0</v>
      </c>
      <c r="P56" s="27">
        <v>0</v>
      </c>
      <c r="Q56" s="219"/>
      <c r="R56" s="140">
        <v>-1938914</v>
      </c>
    </row>
    <row r="57" spans="1:18" outlineLevel="2">
      <c r="A57" s="84"/>
      <c r="B57" s="14">
        <v>447720</v>
      </c>
      <c r="C57" s="13" t="s">
        <v>153</v>
      </c>
      <c r="D57" s="211">
        <v>-12706233</v>
      </c>
      <c r="E57" s="39">
        <v>-1223281</v>
      </c>
      <c r="F57" s="39">
        <v>-1274514</v>
      </c>
      <c r="G57" s="39">
        <v>-1236581</v>
      </c>
      <c r="H57" s="39">
        <v>-1823276</v>
      </c>
      <c r="I57" s="39">
        <v>-1705686</v>
      </c>
      <c r="J57" s="39">
        <v>-1654839</v>
      </c>
      <c r="K57" s="39">
        <v>-1510579</v>
      </c>
      <c r="L57" s="39">
        <v>-1115169</v>
      </c>
      <c r="M57" s="39">
        <v>-1162308</v>
      </c>
      <c r="N57" s="39">
        <v>0</v>
      </c>
      <c r="O57" s="39">
        <v>0</v>
      </c>
      <c r="P57" s="39">
        <v>0</v>
      </c>
      <c r="Q57" s="219"/>
      <c r="R57" s="220">
        <v>-12706233</v>
      </c>
    </row>
    <row r="58" spans="1:18" s="41" customFormat="1" ht="13.15" outlineLevel="2">
      <c r="A58" s="213"/>
      <c r="D58" s="50">
        <v>-62998799</v>
      </c>
      <c r="E58" s="40">
        <v>-7818222</v>
      </c>
      <c r="F58" s="40">
        <v>-6959624</v>
      </c>
      <c r="G58" s="40">
        <v>-7153299</v>
      </c>
      <c r="H58" s="40">
        <v>-8911921</v>
      </c>
      <c r="I58" s="40">
        <v>-6434480</v>
      </c>
      <c r="J58" s="40">
        <v>-6204608</v>
      </c>
      <c r="K58" s="40">
        <v>-6841567</v>
      </c>
      <c r="L58" s="40">
        <v>-7823003</v>
      </c>
      <c r="M58" s="40">
        <v>-4852075</v>
      </c>
      <c r="N58" s="40">
        <v>0</v>
      </c>
      <c r="O58" s="40">
        <v>0</v>
      </c>
      <c r="P58" s="40">
        <v>0</v>
      </c>
      <c r="Q58" s="221"/>
      <c r="R58" s="50">
        <v>-63697243</v>
      </c>
    </row>
    <row r="59" spans="1:18" outlineLevel="2">
      <c r="A59" s="84"/>
      <c r="E59" s="209"/>
      <c r="F59" s="209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19"/>
      <c r="R59" s="209"/>
    </row>
    <row r="60" spans="1:18" ht="13.15">
      <c r="A60" s="84"/>
      <c r="B60" s="68" t="s">
        <v>16</v>
      </c>
      <c r="C60" s="6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219"/>
      <c r="R60" s="209"/>
    </row>
    <row r="61" spans="1:18">
      <c r="A61" s="84">
        <v>25</v>
      </c>
      <c r="B61" s="13" t="s">
        <v>90</v>
      </c>
      <c r="C61" s="13"/>
      <c r="D61" s="209">
        <v>4164923</v>
      </c>
      <c r="E61" s="27">
        <v>669436</v>
      </c>
      <c r="F61" s="27">
        <v>586372</v>
      </c>
      <c r="G61" s="27">
        <v>520044</v>
      </c>
      <c r="H61" s="27">
        <v>588601</v>
      </c>
      <c r="I61" s="27">
        <v>-1484</v>
      </c>
      <c r="J61" s="27">
        <v>4598</v>
      </c>
      <c r="K61" s="27">
        <v>332272</v>
      </c>
      <c r="L61" s="27">
        <v>659968</v>
      </c>
      <c r="M61" s="27">
        <v>805116</v>
      </c>
      <c r="N61" s="27">
        <v>0</v>
      </c>
      <c r="O61" s="27">
        <v>0</v>
      </c>
      <c r="P61" s="27">
        <v>0</v>
      </c>
      <c r="Q61" s="222"/>
      <c r="R61" s="51">
        <v>4164923</v>
      </c>
    </row>
    <row r="62" spans="1:18">
      <c r="A62" s="84">
        <v>26</v>
      </c>
      <c r="B62" s="13" t="s">
        <v>89</v>
      </c>
      <c r="C62" s="13"/>
      <c r="D62" s="209">
        <v>7091</v>
      </c>
      <c r="E62" s="27">
        <v>466</v>
      </c>
      <c r="F62" s="27">
        <v>2150</v>
      </c>
      <c r="G62" s="27">
        <v>602</v>
      </c>
      <c r="H62" s="27">
        <v>929</v>
      </c>
      <c r="I62" s="27">
        <v>-19</v>
      </c>
      <c r="J62" s="27">
        <v>751</v>
      </c>
      <c r="K62" s="27">
        <v>620</v>
      </c>
      <c r="L62" s="27">
        <v>1687</v>
      </c>
      <c r="M62" s="27">
        <v>-95</v>
      </c>
      <c r="N62" s="27">
        <v>0</v>
      </c>
      <c r="O62" s="27">
        <v>0</v>
      </c>
      <c r="P62" s="27">
        <v>0</v>
      </c>
      <c r="Q62" s="222"/>
      <c r="R62" s="51">
        <v>7091</v>
      </c>
    </row>
    <row r="63" spans="1:18">
      <c r="A63" s="84">
        <v>27</v>
      </c>
      <c r="B63" s="15" t="s">
        <v>48</v>
      </c>
      <c r="C63" s="15"/>
      <c r="D63" s="209">
        <v>17093542</v>
      </c>
      <c r="E63" s="27">
        <v>2514090</v>
      </c>
      <c r="F63" s="27">
        <v>2811018</v>
      </c>
      <c r="G63" s="27">
        <v>2357564</v>
      </c>
      <c r="H63" s="27">
        <v>2203760</v>
      </c>
      <c r="I63" s="27">
        <v>739924</v>
      </c>
      <c r="J63" s="27">
        <v>785937</v>
      </c>
      <c r="K63" s="27">
        <v>1770445</v>
      </c>
      <c r="L63" s="27">
        <v>2452135</v>
      </c>
      <c r="M63" s="27">
        <v>1458669</v>
      </c>
      <c r="N63" s="27">
        <v>0</v>
      </c>
      <c r="O63" s="27">
        <v>0</v>
      </c>
      <c r="P63" s="27">
        <v>0</v>
      </c>
      <c r="Q63" s="222"/>
      <c r="R63" s="223">
        <v>17093542</v>
      </c>
    </row>
    <row r="64" spans="1:18">
      <c r="A64" s="84">
        <v>28</v>
      </c>
      <c r="B64" s="15" t="s">
        <v>47</v>
      </c>
      <c r="C64" s="15"/>
      <c r="D64" s="209">
        <v>134025</v>
      </c>
      <c r="E64" s="27">
        <v>55086</v>
      </c>
      <c r="F64" s="27">
        <v>0</v>
      </c>
      <c r="G64" s="27">
        <v>0</v>
      </c>
      <c r="H64" s="27">
        <v>10854</v>
      </c>
      <c r="I64" s="27">
        <v>0</v>
      </c>
      <c r="J64" s="27">
        <v>39179</v>
      </c>
      <c r="K64" s="27">
        <v>16708</v>
      </c>
      <c r="L64" s="27">
        <v>2292</v>
      </c>
      <c r="M64" s="27">
        <v>9906</v>
      </c>
      <c r="N64" s="27">
        <v>0</v>
      </c>
      <c r="O64" s="27">
        <v>0</v>
      </c>
      <c r="P64" s="27">
        <v>0</v>
      </c>
      <c r="Q64" s="222"/>
      <c r="R64" s="223">
        <v>134025</v>
      </c>
    </row>
    <row r="65" spans="1:18" s="41" customFormat="1" ht="27.75" customHeight="1" thickBot="1">
      <c r="A65" s="216">
        <v>29</v>
      </c>
      <c r="B65" s="69" t="s">
        <v>79</v>
      </c>
      <c r="C65" s="69"/>
      <c r="D65" s="49">
        <v>21399581</v>
      </c>
      <c r="E65" s="29">
        <v>3239078</v>
      </c>
      <c r="F65" s="29">
        <v>3399540</v>
      </c>
      <c r="G65" s="29">
        <v>2878210</v>
      </c>
      <c r="H65" s="29">
        <v>2804144</v>
      </c>
      <c r="I65" s="29">
        <v>738421</v>
      </c>
      <c r="J65" s="29">
        <v>830465</v>
      </c>
      <c r="K65" s="29">
        <v>2120045</v>
      </c>
      <c r="L65" s="29">
        <v>3116082</v>
      </c>
      <c r="M65" s="29">
        <v>2273596</v>
      </c>
      <c r="N65" s="29">
        <v>0</v>
      </c>
      <c r="O65" s="29">
        <v>0</v>
      </c>
      <c r="P65" s="29">
        <v>0</v>
      </c>
      <c r="Q65" s="224"/>
      <c r="R65" s="208">
        <v>21399581</v>
      </c>
    </row>
    <row r="66" spans="1:18" ht="13.15" thickTop="1">
      <c r="A66" s="84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218"/>
    </row>
    <row r="67" spans="1:18" ht="18.75" customHeight="1">
      <c r="A67" s="84"/>
      <c r="B67" s="68" t="s">
        <v>24</v>
      </c>
      <c r="C67" s="68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218"/>
    </row>
    <row r="68" spans="1:18">
      <c r="A68" s="84">
        <v>30</v>
      </c>
      <c r="B68" s="14" t="s">
        <v>17</v>
      </c>
      <c r="C68" s="13" t="s">
        <v>115</v>
      </c>
      <c r="D68" s="183">
        <v>329490</v>
      </c>
      <c r="E68" s="225">
        <v>53540</v>
      </c>
      <c r="F68" s="225">
        <v>47910</v>
      </c>
      <c r="G68" s="225">
        <v>43672</v>
      </c>
      <c r="H68" s="225">
        <v>49482</v>
      </c>
      <c r="I68" s="225">
        <v>0</v>
      </c>
      <c r="J68" s="225">
        <v>372</v>
      </c>
      <c r="K68" s="225">
        <v>26216</v>
      </c>
      <c r="L68" s="225">
        <v>50160</v>
      </c>
      <c r="M68" s="225">
        <v>58138</v>
      </c>
      <c r="N68" s="225">
        <v>0</v>
      </c>
      <c r="O68" s="225">
        <v>0</v>
      </c>
      <c r="P68" s="225">
        <v>0</v>
      </c>
      <c r="Q68" s="218"/>
      <c r="R68" s="226">
        <v>329490</v>
      </c>
    </row>
    <row r="69" spans="1:18">
      <c r="A69" s="84">
        <v>31</v>
      </c>
      <c r="B69" s="14" t="s">
        <v>26</v>
      </c>
      <c r="C69" s="13" t="s">
        <v>114</v>
      </c>
      <c r="D69" s="183">
        <v>584192</v>
      </c>
      <c r="E69" s="225">
        <v>94106</v>
      </c>
      <c r="F69" s="225">
        <v>71708</v>
      </c>
      <c r="G69" s="225">
        <v>82836</v>
      </c>
      <c r="H69" s="225">
        <v>78696</v>
      </c>
      <c r="I69" s="225">
        <v>25604</v>
      </c>
      <c r="J69" s="225">
        <v>28502</v>
      </c>
      <c r="K69" s="225">
        <v>62875</v>
      </c>
      <c r="L69" s="225">
        <v>88085</v>
      </c>
      <c r="M69" s="225">
        <v>51780</v>
      </c>
      <c r="N69" s="225">
        <v>0</v>
      </c>
      <c r="O69" s="225">
        <v>0</v>
      </c>
      <c r="P69" s="225">
        <v>0</v>
      </c>
      <c r="Q69" s="218"/>
      <c r="R69" s="226">
        <v>584192</v>
      </c>
    </row>
    <row r="70" spans="1:18">
      <c r="A70" s="84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218"/>
    </row>
    <row r="71" spans="1:18" ht="21" customHeight="1">
      <c r="A71" s="84"/>
      <c r="B71" s="68" t="s">
        <v>27</v>
      </c>
      <c r="C71" s="68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218"/>
    </row>
    <row r="72" spans="1:18">
      <c r="A72" s="84">
        <v>32</v>
      </c>
      <c r="B72" s="14" t="s">
        <v>17</v>
      </c>
      <c r="D72" s="227" t="s">
        <v>18</v>
      </c>
      <c r="E72" s="228">
        <v>12.5</v>
      </c>
      <c r="F72" s="228">
        <v>12.24</v>
      </c>
      <c r="G72" s="228">
        <v>11.91</v>
      </c>
      <c r="H72" s="228">
        <v>11.9</v>
      </c>
      <c r="I72" s="228" t="s">
        <v>25</v>
      </c>
      <c r="J72" s="228">
        <v>12.36</v>
      </c>
      <c r="K72" s="228">
        <v>12.67</v>
      </c>
      <c r="L72" s="228">
        <v>13.16</v>
      </c>
      <c r="M72" s="228">
        <v>13.85</v>
      </c>
      <c r="N72" s="228" t="s">
        <v>25</v>
      </c>
      <c r="O72" s="228" t="s">
        <v>25</v>
      </c>
      <c r="P72" s="228" t="s">
        <v>25</v>
      </c>
      <c r="Q72" s="229"/>
      <c r="R72" s="230">
        <v>12.64</v>
      </c>
    </row>
    <row r="73" spans="1:18">
      <c r="A73" s="84">
        <v>33</v>
      </c>
      <c r="B73" s="14" t="s">
        <v>20</v>
      </c>
      <c r="D73" s="84" t="s">
        <v>19</v>
      </c>
      <c r="E73" s="228">
        <v>26.72</v>
      </c>
      <c r="F73" s="228">
        <v>39.200000000000003</v>
      </c>
      <c r="G73" s="228">
        <v>28.46</v>
      </c>
      <c r="H73" s="228">
        <v>28</v>
      </c>
      <c r="I73" s="228">
        <v>28.9</v>
      </c>
      <c r="J73" s="228">
        <v>27.57</v>
      </c>
      <c r="K73" s="228">
        <v>28.16</v>
      </c>
      <c r="L73" s="228">
        <v>27.84</v>
      </c>
      <c r="M73" s="228">
        <v>28.17</v>
      </c>
      <c r="N73" s="228" t="s">
        <v>25</v>
      </c>
      <c r="O73" s="228" t="s">
        <v>25</v>
      </c>
      <c r="P73" s="228" t="s">
        <v>25</v>
      </c>
      <c r="Q73" s="229"/>
      <c r="R73" s="230">
        <v>29.26</v>
      </c>
    </row>
    <row r="74" spans="1:18">
      <c r="A74" s="8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218"/>
    </row>
    <row r="75" spans="1:18" ht="13.15">
      <c r="A75" s="84"/>
      <c r="B75" s="68" t="s">
        <v>21</v>
      </c>
      <c r="C75" s="68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218"/>
    </row>
    <row r="76" spans="1:18">
      <c r="A76" s="84">
        <v>34</v>
      </c>
      <c r="B76" s="14" t="s">
        <v>58</v>
      </c>
      <c r="D76" s="209">
        <v>-896</v>
      </c>
      <c r="E76" s="27">
        <v>-1839</v>
      </c>
      <c r="F76" s="27">
        <v>35</v>
      </c>
      <c r="G76" s="27">
        <v>-23</v>
      </c>
      <c r="H76" s="27">
        <v>82</v>
      </c>
      <c r="I76" s="27">
        <v>29</v>
      </c>
      <c r="J76" s="27">
        <v>76</v>
      </c>
      <c r="K76" s="27">
        <v>-93</v>
      </c>
      <c r="L76" s="27">
        <v>-216</v>
      </c>
      <c r="M76" s="27">
        <v>1053</v>
      </c>
      <c r="N76" s="27">
        <v>0</v>
      </c>
      <c r="O76" s="27">
        <v>0</v>
      </c>
      <c r="P76" s="27">
        <v>0</v>
      </c>
      <c r="Q76" s="231"/>
      <c r="R76" s="232">
        <v>-896</v>
      </c>
    </row>
    <row r="77" spans="1:18">
      <c r="A77" s="84">
        <v>35</v>
      </c>
      <c r="B77" s="14" t="s">
        <v>51</v>
      </c>
      <c r="D77" s="209">
        <v>520614</v>
      </c>
      <c r="E77" s="27">
        <v>20130</v>
      </c>
      <c r="F77" s="27">
        <v>11475</v>
      </c>
      <c r="G77" s="27">
        <v>80312</v>
      </c>
      <c r="H77" s="27">
        <v>98567</v>
      </c>
      <c r="I77" s="27">
        <v>10548</v>
      </c>
      <c r="J77" s="27">
        <v>19509</v>
      </c>
      <c r="K77" s="27">
        <v>40446</v>
      </c>
      <c r="L77" s="27">
        <v>85902</v>
      </c>
      <c r="M77" s="27">
        <v>153725</v>
      </c>
      <c r="N77" s="27">
        <v>0</v>
      </c>
      <c r="O77" s="27">
        <v>0</v>
      </c>
      <c r="P77" s="27">
        <v>0</v>
      </c>
      <c r="Q77" s="231"/>
      <c r="R77" s="232">
        <v>520614</v>
      </c>
    </row>
    <row r="78" spans="1:18">
      <c r="A78" s="84">
        <v>36</v>
      </c>
      <c r="B78" s="14" t="s">
        <v>50</v>
      </c>
      <c r="D78" s="209">
        <v>28162</v>
      </c>
      <c r="E78" s="27">
        <v>2625</v>
      </c>
      <c r="F78" s="27">
        <v>3871</v>
      </c>
      <c r="G78" s="27">
        <v>2594</v>
      </c>
      <c r="H78" s="27">
        <v>1268</v>
      </c>
      <c r="I78" s="27">
        <v>1772</v>
      </c>
      <c r="J78" s="27">
        <v>614</v>
      </c>
      <c r="K78" s="27">
        <v>1472</v>
      </c>
      <c r="L78" s="27">
        <v>9330</v>
      </c>
      <c r="M78" s="27">
        <v>4616</v>
      </c>
      <c r="N78" s="27">
        <v>0</v>
      </c>
      <c r="O78" s="27">
        <v>0</v>
      </c>
      <c r="P78" s="27">
        <v>0</v>
      </c>
      <c r="Q78" s="231"/>
      <c r="R78" s="232">
        <v>28162</v>
      </c>
    </row>
    <row r="79" spans="1:18">
      <c r="A79" s="84">
        <v>37</v>
      </c>
      <c r="B79" s="14" t="s">
        <v>52</v>
      </c>
      <c r="D79" s="209">
        <v>16747136</v>
      </c>
      <c r="E79" s="27">
        <v>2553876</v>
      </c>
      <c r="F79" s="27">
        <v>2266934</v>
      </c>
      <c r="G79" s="27">
        <v>2517341</v>
      </c>
      <c r="H79" s="27">
        <v>1550090</v>
      </c>
      <c r="I79" s="27">
        <v>447698</v>
      </c>
      <c r="J79" s="27">
        <v>564243</v>
      </c>
      <c r="K79" s="27">
        <v>1543423</v>
      </c>
      <c r="L79" s="27">
        <v>2739420</v>
      </c>
      <c r="M79" s="27">
        <v>2564111</v>
      </c>
      <c r="N79" s="27">
        <v>0</v>
      </c>
      <c r="O79" s="27">
        <v>0</v>
      </c>
      <c r="P79" s="27">
        <v>0</v>
      </c>
      <c r="Q79" s="231"/>
      <c r="R79" s="232">
        <v>16747136</v>
      </c>
    </row>
    <row r="80" spans="1:18">
      <c r="A80" s="84">
        <v>38</v>
      </c>
      <c r="B80" s="13" t="s">
        <v>59</v>
      </c>
      <c r="C80" s="13"/>
      <c r="D80" s="209">
        <v>15803450</v>
      </c>
      <c r="E80" s="27">
        <v>2326662</v>
      </c>
      <c r="F80" s="27">
        <v>1755204</v>
      </c>
      <c r="G80" s="27">
        <v>2352441</v>
      </c>
      <c r="H80" s="27">
        <v>2028732</v>
      </c>
      <c r="I80" s="27">
        <v>711804</v>
      </c>
      <c r="J80" s="27">
        <v>471786</v>
      </c>
      <c r="K80" s="27">
        <v>1331921</v>
      </c>
      <c r="L80" s="27">
        <v>2462679</v>
      </c>
      <c r="M80" s="27">
        <v>2362221</v>
      </c>
      <c r="N80" s="27">
        <v>0</v>
      </c>
      <c r="O80" s="27">
        <v>0</v>
      </c>
      <c r="P80" s="27">
        <v>0</v>
      </c>
      <c r="Q80" s="231"/>
      <c r="R80" s="232">
        <v>15803450</v>
      </c>
    </row>
    <row r="81" spans="1:18">
      <c r="A81" s="84">
        <v>39</v>
      </c>
      <c r="B81" s="71" t="s">
        <v>53</v>
      </c>
      <c r="C81" s="71"/>
      <c r="D81" s="209">
        <v>2274954</v>
      </c>
      <c r="E81" s="39">
        <v>24298</v>
      </c>
      <c r="F81" s="39">
        <v>61420</v>
      </c>
      <c r="G81" s="39">
        <v>522576</v>
      </c>
      <c r="H81" s="39">
        <v>693800</v>
      </c>
      <c r="I81" s="39">
        <v>44933</v>
      </c>
      <c r="J81" s="39">
        <v>42765</v>
      </c>
      <c r="K81" s="39">
        <v>113802</v>
      </c>
      <c r="L81" s="39">
        <v>290438</v>
      </c>
      <c r="M81" s="39">
        <v>480922</v>
      </c>
      <c r="N81" s="39">
        <v>0</v>
      </c>
      <c r="O81" s="39">
        <v>0</v>
      </c>
      <c r="P81" s="39">
        <v>0</v>
      </c>
      <c r="Q81" s="231"/>
      <c r="R81" s="233">
        <v>2274954</v>
      </c>
    </row>
    <row r="82" spans="1:18" s="41" customFormat="1" ht="21.75" customHeight="1">
      <c r="A82" s="216">
        <v>40</v>
      </c>
      <c r="B82" s="69" t="s">
        <v>78</v>
      </c>
      <c r="C82" s="69"/>
      <c r="D82" s="49">
        <v>35373420</v>
      </c>
      <c r="E82" s="29">
        <v>4925752</v>
      </c>
      <c r="F82" s="29">
        <v>4098939</v>
      </c>
      <c r="G82" s="29">
        <v>5475241</v>
      </c>
      <c r="H82" s="29">
        <v>4372539</v>
      </c>
      <c r="I82" s="29">
        <v>1216784</v>
      </c>
      <c r="J82" s="29">
        <v>1098993</v>
      </c>
      <c r="K82" s="29">
        <v>3030971</v>
      </c>
      <c r="L82" s="29">
        <v>5587553</v>
      </c>
      <c r="M82" s="29">
        <v>5566648</v>
      </c>
      <c r="N82" s="29">
        <v>0</v>
      </c>
      <c r="O82" s="29">
        <v>0</v>
      </c>
      <c r="P82" s="29">
        <v>0</v>
      </c>
      <c r="Q82" s="234"/>
      <c r="R82" s="235">
        <v>35373420</v>
      </c>
    </row>
    <row r="83" spans="1:18" ht="15.75" customHeight="1">
      <c r="A83" s="84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231"/>
      <c r="R83" s="236"/>
    </row>
    <row r="84" spans="1:18" ht="21" customHeight="1">
      <c r="A84" s="216">
        <v>41</v>
      </c>
      <c r="B84" s="72" t="s">
        <v>33</v>
      </c>
      <c r="C84" s="72"/>
      <c r="D84" s="237">
        <v>84353465</v>
      </c>
      <c r="E84" s="29">
        <v>13364330</v>
      </c>
      <c r="F84" s="29">
        <v>11601013</v>
      </c>
      <c r="G84" s="29">
        <v>10287354</v>
      </c>
      <c r="H84" s="29">
        <v>8211602</v>
      </c>
      <c r="I84" s="29">
        <v>4319856</v>
      </c>
      <c r="J84" s="29">
        <v>4023812</v>
      </c>
      <c r="K84" s="29">
        <v>8179144</v>
      </c>
      <c r="L84" s="29">
        <v>11808732</v>
      </c>
      <c r="M84" s="29">
        <v>12557622</v>
      </c>
      <c r="N84" s="29">
        <v>0</v>
      </c>
      <c r="O84" s="29">
        <v>0</v>
      </c>
      <c r="P84" s="29">
        <v>0</v>
      </c>
      <c r="Q84" s="238"/>
      <c r="R84" s="239">
        <v>210223919</v>
      </c>
    </row>
    <row r="85" spans="1:18" ht="12" customHeight="1"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218"/>
    </row>
    <row r="86" spans="1:18" outlineLevel="1">
      <c r="B86" s="73" t="s">
        <v>25</v>
      </c>
      <c r="C86" s="73"/>
      <c r="E86" s="240">
        <v>202001</v>
      </c>
      <c r="F86" s="240">
        <v>202002</v>
      </c>
      <c r="G86" s="240">
        <v>202003</v>
      </c>
      <c r="H86" s="240">
        <v>202004</v>
      </c>
      <c r="I86" s="240">
        <v>202005</v>
      </c>
      <c r="J86" s="240">
        <v>202006</v>
      </c>
      <c r="K86" s="240">
        <v>202007</v>
      </c>
      <c r="L86" s="240">
        <v>202008</v>
      </c>
      <c r="M86" s="240">
        <v>202009</v>
      </c>
      <c r="N86" s="240">
        <v>202010</v>
      </c>
      <c r="O86" s="240">
        <v>202011</v>
      </c>
      <c r="P86" s="240">
        <v>202012</v>
      </c>
      <c r="Q86" s="218"/>
    </row>
    <row r="87" spans="1:18" ht="13.15">
      <c r="B87" s="74" t="s">
        <v>85</v>
      </c>
      <c r="C87" s="74"/>
      <c r="D87" s="241"/>
      <c r="E87" s="214"/>
      <c r="F87" s="35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18"/>
    </row>
    <row r="88" spans="1:18">
      <c r="A88" s="84">
        <v>42</v>
      </c>
      <c r="B88" s="73" t="s">
        <v>44</v>
      </c>
      <c r="C88" s="73"/>
      <c r="D88" s="59">
        <v>-10094499</v>
      </c>
      <c r="E88" s="27">
        <v>-675313</v>
      </c>
      <c r="F88" s="27">
        <v>-919841</v>
      </c>
      <c r="G88" s="27">
        <v>-748908</v>
      </c>
      <c r="H88" s="27">
        <v>-697529</v>
      </c>
      <c r="I88" s="27">
        <v>-1150361</v>
      </c>
      <c r="J88" s="27">
        <v>-1310572</v>
      </c>
      <c r="K88" s="27">
        <v>-1487265</v>
      </c>
      <c r="L88" s="27">
        <v>-1709458</v>
      </c>
      <c r="M88" s="27">
        <v>-1395252</v>
      </c>
      <c r="N88" s="27">
        <v>0</v>
      </c>
      <c r="O88" s="27">
        <v>0</v>
      </c>
      <c r="P88" s="27">
        <v>0</v>
      </c>
      <c r="Q88" s="231"/>
      <c r="R88" s="232">
        <v>-10094499</v>
      </c>
    </row>
    <row r="89" spans="1:18">
      <c r="A89" s="84">
        <v>45</v>
      </c>
      <c r="B89" s="73" t="s">
        <v>120</v>
      </c>
      <c r="C89" s="73"/>
      <c r="D89" s="59">
        <v>-693000</v>
      </c>
      <c r="E89" s="62">
        <v>-77000</v>
      </c>
      <c r="F89" s="62">
        <v>-77000</v>
      </c>
      <c r="G89" s="62">
        <v>-77000</v>
      </c>
      <c r="H89" s="62">
        <v>-77000</v>
      </c>
      <c r="I89" s="62">
        <v>-77000</v>
      </c>
      <c r="J89" s="62">
        <v>-77000</v>
      </c>
      <c r="K89" s="62">
        <v>-77000</v>
      </c>
      <c r="L89" s="62">
        <v>-77000</v>
      </c>
      <c r="M89" s="62">
        <v>-77000</v>
      </c>
      <c r="N89" s="62">
        <v>0</v>
      </c>
      <c r="O89" s="62">
        <v>0</v>
      </c>
      <c r="P89" s="62">
        <v>0</v>
      </c>
      <c r="Q89" s="231"/>
      <c r="R89" s="232">
        <v>-693000</v>
      </c>
    </row>
    <row r="90" spans="1:18">
      <c r="A90" s="84">
        <v>46</v>
      </c>
      <c r="B90" s="73" t="s">
        <v>157</v>
      </c>
      <c r="C90" s="73"/>
      <c r="D90" s="59">
        <v>-205709</v>
      </c>
      <c r="E90" s="27">
        <v>0</v>
      </c>
      <c r="F90" s="27">
        <v>0</v>
      </c>
      <c r="G90" s="27">
        <v>0</v>
      </c>
      <c r="H90" s="27">
        <v>-8563</v>
      </c>
      <c r="I90" s="27">
        <v>-111418</v>
      </c>
      <c r="J90" s="27">
        <v>-32555</v>
      </c>
      <c r="K90" s="27">
        <v>-52809</v>
      </c>
      <c r="L90" s="27">
        <v>-364</v>
      </c>
      <c r="M90" s="27">
        <v>0</v>
      </c>
      <c r="N90" s="27">
        <v>0</v>
      </c>
      <c r="O90" s="27">
        <v>0</v>
      </c>
      <c r="P90" s="27">
        <v>0</v>
      </c>
      <c r="Q90" s="27"/>
      <c r="R90" s="232">
        <v>-205709</v>
      </c>
    </row>
    <row r="91" spans="1:18">
      <c r="A91" s="84">
        <v>47</v>
      </c>
      <c r="B91" s="73" t="s">
        <v>194</v>
      </c>
      <c r="C91" s="73"/>
      <c r="D91" s="59">
        <v>-942084</v>
      </c>
      <c r="E91" s="27">
        <v>-105538</v>
      </c>
      <c r="F91" s="27">
        <v>-104338</v>
      </c>
      <c r="G91" s="27">
        <v>-102857</v>
      </c>
      <c r="H91" s="27">
        <v>-103784</v>
      </c>
      <c r="I91" s="27">
        <v>-101938</v>
      </c>
      <c r="J91" s="27">
        <v>-100000</v>
      </c>
      <c r="K91" s="27">
        <v>-100000</v>
      </c>
      <c r="L91" s="27">
        <v>-107384</v>
      </c>
      <c r="M91" s="27">
        <v>-116245</v>
      </c>
      <c r="N91" s="27">
        <v>0</v>
      </c>
      <c r="O91" s="27">
        <v>0</v>
      </c>
      <c r="P91" s="27">
        <v>0</v>
      </c>
      <c r="Q91" s="27"/>
      <c r="R91" s="232"/>
    </row>
    <row r="92" spans="1:18">
      <c r="A92" s="84">
        <v>48</v>
      </c>
      <c r="B92" s="73" t="s">
        <v>156</v>
      </c>
      <c r="C92" s="73"/>
      <c r="D92" s="59">
        <v>-1941311</v>
      </c>
      <c r="E92" s="27">
        <v>-230471</v>
      </c>
      <c r="F92" s="27">
        <v>-287385</v>
      </c>
      <c r="G92" s="27">
        <v>-217561</v>
      </c>
      <c r="H92" s="27">
        <v>-192205</v>
      </c>
      <c r="I92" s="27">
        <v>-174560</v>
      </c>
      <c r="J92" s="27">
        <v>-188358</v>
      </c>
      <c r="K92" s="27">
        <v>-220740</v>
      </c>
      <c r="L92" s="27">
        <v>-226853</v>
      </c>
      <c r="M92" s="27">
        <v>-203178</v>
      </c>
      <c r="N92" s="27">
        <v>0</v>
      </c>
      <c r="O92" s="27">
        <v>0</v>
      </c>
      <c r="P92" s="27">
        <v>0</v>
      </c>
      <c r="Q92" s="231"/>
      <c r="R92" s="232">
        <v>-1941311</v>
      </c>
    </row>
    <row r="93" spans="1:18">
      <c r="A93" s="84">
        <v>49</v>
      </c>
      <c r="B93" s="13" t="s">
        <v>122</v>
      </c>
      <c r="C93" s="13"/>
      <c r="D93" s="51">
        <v>-52002</v>
      </c>
      <c r="E93" s="243">
        <v>-5778</v>
      </c>
      <c r="F93" s="243">
        <v>-5778</v>
      </c>
      <c r="G93" s="243">
        <v>-5778</v>
      </c>
      <c r="H93" s="243">
        <v>-5778</v>
      </c>
      <c r="I93" s="243">
        <v>-5778</v>
      </c>
      <c r="J93" s="243">
        <v>-5778</v>
      </c>
      <c r="K93" s="243">
        <v>-5778</v>
      </c>
      <c r="L93" s="243">
        <v>-5778</v>
      </c>
      <c r="M93" s="243">
        <v>-5778</v>
      </c>
      <c r="N93" s="243">
        <v>0</v>
      </c>
      <c r="O93" s="243">
        <v>0</v>
      </c>
      <c r="P93" s="243">
        <v>0</v>
      </c>
      <c r="Q93" s="231"/>
      <c r="R93" s="232">
        <v>-52002</v>
      </c>
    </row>
    <row r="94" spans="1:18">
      <c r="A94" s="84">
        <v>50</v>
      </c>
      <c r="B94" s="94" t="s">
        <v>172</v>
      </c>
      <c r="C94" s="73"/>
      <c r="D94" s="59">
        <v>-85272</v>
      </c>
      <c r="E94" s="27">
        <v>-9378</v>
      </c>
      <c r="F94" s="27">
        <v>-9378</v>
      </c>
      <c r="G94" s="27">
        <v>-9378</v>
      </c>
      <c r="H94" s="27">
        <v>-9523</v>
      </c>
      <c r="I94" s="27">
        <v>-9523</v>
      </c>
      <c r="J94" s="27">
        <v>-9523</v>
      </c>
      <c r="K94" s="27">
        <v>-9523</v>
      </c>
      <c r="L94" s="27">
        <v>-9523</v>
      </c>
      <c r="M94" s="27">
        <v>-9523</v>
      </c>
      <c r="N94" s="27">
        <v>0</v>
      </c>
      <c r="O94" s="27">
        <v>0</v>
      </c>
      <c r="P94" s="27">
        <v>0</v>
      </c>
      <c r="Q94" s="244"/>
      <c r="R94" s="232">
        <v>-85272</v>
      </c>
    </row>
    <row r="95" spans="1:18">
      <c r="A95" s="84">
        <v>51</v>
      </c>
      <c r="B95" s="75" t="s">
        <v>123</v>
      </c>
      <c r="C95" s="75" t="s">
        <v>100</v>
      </c>
      <c r="D95" s="59">
        <v>-1259757</v>
      </c>
      <c r="E95" s="39">
        <v>-139973</v>
      </c>
      <c r="F95" s="39">
        <v>-139973</v>
      </c>
      <c r="G95" s="39">
        <v>-139973</v>
      </c>
      <c r="H95" s="39">
        <v>-139973</v>
      </c>
      <c r="I95" s="39">
        <v>-139973</v>
      </c>
      <c r="J95" s="39">
        <v>-139973</v>
      </c>
      <c r="K95" s="39">
        <v>-139973</v>
      </c>
      <c r="L95" s="39">
        <v>-139973</v>
      </c>
      <c r="M95" s="39">
        <v>-139973</v>
      </c>
      <c r="N95" s="39">
        <v>0</v>
      </c>
      <c r="O95" s="39">
        <v>0</v>
      </c>
      <c r="P95" s="39">
        <v>0</v>
      </c>
      <c r="Q95" s="231"/>
      <c r="R95" s="233">
        <v>-1259757</v>
      </c>
    </row>
    <row r="96" spans="1:18" s="41" customFormat="1" ht="20.25" customHeight="1">
      <c r="A96" s="216">
        <v>52</v>
      </c>
      <c r="B96" s="76" t="s">
        <v>84</v>
      </c>
      <c r="C96" s="76"/>
      <c r="D96" s="49">
        <v>-15273634</v>
      </c>
      <c r="E96" s="49">
        <v>-1243451</v>
      </c>
      <c r="F96" s="49">
        <v>-1543693</v>
      </c>
      <c r="G96" s="49">
        <v>-1301455</v>
      </c>
      <c r="H96" s="49">
        <v>-1234355</v>
      </c>
      <c r="I96" s="49">
        <v>-1770551</v>
      </c>
      <c r="J96" s="49">
        <v>-1863759</v>
      </c>
      <c r="K96" s="49">
        <v>-2093088</v>
      </c>
      <c r="L96" s="49">
        <v>-2276333</v>
      </c>
      <c r="M96" s="49">
        <v>-1946949</v>
      </c>
      <c r="N96" s="49">
        <v>0</v>
      </c>
      <c r="O96" s="49">
        <v>0</v>
      </c>
      <c r="P96" s="49">
        <v>0</v>
      </c>
      <c r="Q96" s="234"/>
      <c r="R96" s="235">
        <v>-15273634</v>
      </c>
    </row>
    <row r="97" spans="1:18">
      <c r="A97" s="84"/>
      <c r="D97" s="15"/>
      <c r="E97" s="59"/>
      <c r="F97" s="209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231"/>
      <c r="R97" s="232"/>
    </row>
    <row r="98" spans="1:18" ht="13.15">
      <c r="A98" s="84"/>
      <c r="B98" s="68" t="s">
        <v>86</v>
      </c>
      <c r="C98" s="68"/>
      <c r="D98" s="15"/>
      <c r="E98" s="59"/>
      <c r="F98" s="209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231"/>
      <c r="R98" s="232"/>
    </row>
    <row r="99" spans="1:18">
      <c r="A99" s="84">
        <v>53</v>
      </c>
      <c r="B99" s="13" t="s">
        <v>45</v>
      </c>
      <c r="C99" s="13"/>
      <c r="D99" s="59">
        <v>12335822</v>
      </c>
      <c r="E99" s="27">
        <v>1397531</v>
      </c>
      <c r="F99" s="47">
        <v>1371808</v>
      </c>
      <c r="G99" s="47">
        <v>1397309</v>
      </c>
      <c r="H99" s="47">
        <v>1358060</v>
      </c>
      <c r="I99" s="47">
        <v>1324154</v>
      </c>
      <c r="J99" s="47">
        <v>1322847</v>
      </c>
      <c r="K99" s="47">
        <v>1403302</v>
      </c>
      <c r="L99" s="47">
        <v>1370414</v>
      </c>
      <c r="M99" s="47">
        <v>1390397</v>
      </c>
      <c r="N99" s="47">
        <v>0</v>
      </c>
      <c r="O99" s="47">
        <v>0</v>
      </c>
      <c r="P99" s="47">
        <v>0</v>
      </c>
      <c r="Q99" s="231"/>
      <c r="R99" s="232">
        <v>12335822</v>
      </c>
    </row>
    <row r="100" spans="1:18">
      <c r="A100" s="84">
        <v>54</v>
      </c>
      <c r="B100" s="13" t="s">
        <v>60</v>
      </c>
      <c r="C100" s="13" t="s">
        <v>61</v>
      </c>
      <c r="D100" s="59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231"/>
      <c r="R100" s="232">
        <v>0</v>
      </c>
    </row>
    <row r="101" spans="1:18">
      <c r="A101" s="85">
        <v>55</v>
      </c>
      <c r="B101" s="77" t="s">
        <v>46</v>
      </c>
      <c r="C101" s="77"/>
      <c r="D101" s="59">
        <v>40824</v>
      </c>
      <c r="E101" s="39">
        <v>4536</v>
      </c>
      <c r="F101" s="39">
        <v>4536</v>
      </c>
      <c r="G101" s="39">
        <v>4536</v>
      </c>
      <c r="H101" s="39">
        <v>4536</v>
      </c>
      <c r="I101" s="39">
        <v>4536</v>
      </c>
      <c r="J101" s="39">
        <v>4536</v>
      </c>
      <c r="K101" s="39">
        <v>4536</v>
      </c>
      <c r="L101" s="39">
        <v>4536</v>
      </c>
      <c r="M101" s="39">
        <v>4536</v>
      </c>
      <c r="N101" s="39">
        <v>0</v>
      </c>
      <c r="O101" s="39">
        <v>0</v>
      </c>
      <c r="P101" s="39">
        <v>0</v>
      </c>
      <c r="Q101" s="231"/>
      <c r="R101" s="233">
        <v>40824</v>
      </c>
    </row>
    <row r="102" spans="1:18" s="41" customFormat="1" ht="20.25" customHeight="1">
      <c r="A102" s="216">
        <v>56</v>
      </c>
      <c r="B102" s="76" t="s">
        <v>83</v>
      </c>
      <c r="C102" s="76"/>
      <c r="D102" s="49">
        <v>12376646</v>
      </c>
      <c r="E102" s="29">
        <v>1402067</v>
      </c>
      <c r="F102" s="29">
        <v>1376344</v>
      </c>
      <c r="G102" s="29">
        <v>1401845</v>
      </c>
      <c r="H102" s="29">
        <v>1362596</v>
      </c>
      <c r="I102" s="29">
        <v>1328690</v>
      </c>
      <c r="J102" s="29">
        <v>1327383</v>
      </c>
      <c r="K102" s="29">
        <v>1407838</v>
      </c>
      <c r="L102" s="29">
        <v>1374950</v>
      </c>
      <c r="M102" s="29">
        <v>1394933</v>
      </c>
      <c r="N102" s="29">
        <v>0</v>
      </c>
      <c r="O102" s="29">
        <v>0</v>
      </c>
      <c r="P102" s="29">
        <v>0</v>
      </c>
      <c r="Q102" s="234"/>
      <c r="R102" s="235">
        <v>12376646</v>
      </c>
    </row>
    <row r="103" spans="1:18">
      <c r="A103" s="84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231"/>
      <c r="R103" s="232"/>
    </row>
    <row r="104" spans="1:18" ht="13.15">
      <c r="A104" s="84"/>
      <c r="B104" s="68" t="s">
        <v>148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231"/>
      <c r="R104" s="232"/>
    </row>
    <row r="105" spans="1:18">
      <c r="A105" s="84">
        <v>57</v>
      </c>
      <c r="B105" s="13" t="s">
        <v>151</v>
      </c>
      <c r="D105" s="209">
        <v>226647</v>
      </c>
      <c r="E105" s="35">
        <v>21723</v>
      </c>
      <c r="F105" s="35">
        <v>20506</v>
      </c>
      <c r="G105" s="35">
        <v>29019</v>
      </c>
      <c r="H105" s="35">
        <v>34482</v>
      </c>
      <c r="I105" s="35">
        <v>26833</v>
      </c>
      <c r="J105" s="35">
        <v>21959</v>
      </c>
      <c r="K105" s="35">
        <v>28102</v>
      </c>
      <c r="L105" s="35">
        <v>19120</v>
      </c>
      <c r="M105" s="35">
        <v>24903</v>
      </c>
      <c r="N105" s="35">
        <v>0</v>
      </c>
      <c r="O105" s="35">
        <v>0</v>
      </c>
      <c r="P105" s="35">
        <v>0</v>
      </c>
      <c r="Q105" s="231"/>
      <c r="R105" s="232"/>
    </row>
    <row r="106" spans="1:18">
      <c r="A106" s="84">
        <v>58</v>
      </c>
      <c r="B106" s="83" t="s">
        <v>150</v>
      </c>
      <c r="D106" s="209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231"/>
      <c r="R106" s="232"/>
    </row>
    <row r="107" spans="1:18">
      <c r="A107" s="84">
        <v>59</v>
      </c>
      <c r="B107" s="83" t="s">
        <v>177</v>
      </c>
      <c r="C107" s="14" t="s">
        <v>178</v>
      </c>
      <c r="D107" s="209">
        <v>122220</v>
      </c>
      <c r="E107" s="35">
        <v>12599</v>
      </c>
      <c r="F107" s="35">
        <v>11796</v>
      </c>
      <c r="G107" s="35">
        <v>12353</v>
      </c>
      <c r="H107" s="35">
        <v>11201</v>
      </c>
      <c r="I107" s="35">
        <v>12072</v>
      </c>
      <c r="J107" s="35">
        <v>10211</v>
      </c>
      <c r="K107" s="35">
        <v>14682</v>
      </c>
      <c r="L107" s="35">
        <v>-3569</v>
      </c>
      <c r="M107" s="35">
        <v>40875</v>
      </c>
      <c r="N107" s="35">
        <v>0</v>
      </c>
      <c r="O107" s="35">
        <v>0</v>
      </c>
      <c r="P107" s="35">
        <v>0</v>
      </c>
      <c r="Q107" s="231"/>
      <c r="R107" s="232"/>
    </row>
    <row r="108" spans="1:18">
      <c r="A108" s="84">
        <v>60</v>
      </c>
      <c r="B108" s="83" t="s">
        <v>180</v>
      </c>
      <c r="C108" s="14" t="s">
        <v>181</v>
      </c>
      <c r="D108" s="209">
        <v>44369</v>
      </c>
      <c r="E108" s="35">
        <v>4220</v>
      </c>
      <c r="F108" s="35">
        <v>4121</v>
      </c>
      <c r="G108" s="35">
        <v>4133</v>
      </c>
      <c r="H108" s="35">
        <v>4386</v>
      </c>
      <c r="I108" s="35">
        <v>5853</v>
      </c>
      <c r="J108" s="35">
        <v>5949</v>
      </c>
      <c r="K108" s="35">
        <v>4949</v>
      </c>
      <c r="L108" s="35">
        <v>5398</v>
      </c>
      <c r="M108" s="35">
        <v>5360</v>
      </c>
      <c r="N108" s="35">
        <v>0</v>
      </c>
      <c r="O108" s="35">
        <v>0</v>
      </c>
      <c r="P108" s="35">
        <v>0</v>
      </c>
      <c r="Q108" s="231"/>
      <c r="R108" s="232"/>
    </row>
    <row r="109" spans="1:18" s="41" customFormat="1" ht="20.25" customHeight="1">
      <c r="A109" s="84">
        <v>61</v>
      </c>
      <c r="B109" s="76" t="s">
        <v>149</v>
      </c>
      <c r="C109" s="76"/>
      <c r="D109" s="49">
        <v>393236</v>
      </c>
      <c r="E109" s="49">
        <v>38542</v>
      </c>
      <c r="F109" s="49">
        <v>36423</v>
      </c>
      <c r="G109" s="49">
        <v>45505</v>
      </c>
      <c r="H109" s="49">
        <v>50069</v>
      </c>
      <c r="I109" s="49">
        <v>44758</v>
      </c>
      <c r="J109" s="49">
        <v>38119</v>
      </c>
      <c r="K109" s="49">
        <v>47733</v>
      </c>
      <c r="L109" s="49">
        <v>20949</v>
      </c>
      <c r="M109" s="49">
        <v>71138</v>
      </c>
      <c r="N109" s="49">
        <v>0</v>
      </c>
      <c r="O109" s="49">
        <v>0</v>
      </c>
      <c r="P109" s="49">
        <v>0</v>
      </c>
      <c r="Q109" s="234"/>
      <c r="R109" s="235"/>
    </row>
    <row r="110" spans="1:18" ht="9" customHeight="1">
      <c r="A110" s="84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231"/>
      <c r="R110" s="232"/>
    </row>
    <row r="111" spans="1:18" ht="13.15">
      <c r="A111" s="84"/>
      <c r="B111" s="19" t="s">
        <v>206</v>
      </c>
      <c r="C111" s="19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231"/>
      <c r="R111" s="232"/>
    </row>
    <row r="112" spans="1:18">
      <c r="A112" s="84">
        <v>62</v>
      </c>
      <c r="B112" s="14" t="s">
        <v>64</v>
      </c>
      <c r="D112" s="209">
        <v>-7721528</v>
      </c>
      <c r="E112" s="32">
        <v>-2368594</v>
      </c>
      <c r="F112" s="32">
        <v>-671118</v>
      </c>
      <c r="G112" s="32">
        <v>-25598</v>
      </c>
      <c r="H112" s="32">
        <v>-188223</v>
      </c>
      <c r="I112" s="32">
        <v>-677854</v>
      </c>
      <c r="J112" s="32">
        <v>-753848</v>
      </c>
      <c r="K112" s="32">
        <v>-730267</v>
      </c>
      <c r="L112" s="32">
        <v>-618001</v>
      </c>
      <c r="M112" s="32">
        <v>-1688025</v>
      </c>
      <c r="N112" s="32">
        <v>0</v>
      </c>
      <c r="O112" s="32">
        <v>0</v>
      </c>
      <c r="P112" s="32">
        <v>0</v>
      </c>
      <c r="Q112" s="231"/>
      <c r="R112" s="232">
        <v>-7721528</v>
      </c>
    </row>
    <row r="113" spans="1:18">
      <c r="A113" s="84">
        <v>63</v>
      </c>
      <c r="B113" s="14" t="s">
        <v>54</v>
      </c>
      <c r="D113" s="209">
        <v>-5528367</v>
      </c>
      <c r="E113" s="32">
        <v>421057</v>
      </c>
      <c r="F113" s="32">
        <v>-976644</v>
      </c>
      <c r="G113" s="32">
        <v>-3228749</v>
      </c>
      <c r="H113" s="32">
        <v>-1490149</v>
      </c>
      <c r="I113" s="32">
        <v>697868</v>
      </c>
      <c r="J113" s="32">
        <v>881733</v>
      </c>
      <c r="K113" s="32">
        <v>61800</v>
      </c>
      <c r="L113" s="32">
        <v>-1620693</v>
      </c>
      <c r="M113" s="32">
        <v>-274590</v>
      </c>
      <c r="N113" s="32">
        <v>0</v>
      </c>
      <c r="O113" s="32">
        <v>0</v>
      </c>
      <c r="P113" s="32">
        <v>0</v>
      </c>
      <c r="Q113" s="231"/>
      <c r="R113" s="232">
        <v>-5528367</v>
      </c>
    </row>
    <row r="114" spans="1:18">
      <c r="A114" s="84">
        <v>64</v>
      </c>
      <c r="B114" s="14" t="s">
        <v>55</v>
      </c>
      <c r="D114" s="209">
        <v>1701775</v>
      </c>
      <c r="E114" s="32">
        <v>11952</v>
      </c>
      <c r="F114" s="32">
        <v>8400</v>
      </c>
      <c r="G114" s="32">
        <v>148028</v>
      </c>
      <c r="H114" s="32">
        <v>176080</v>
      </c>
      <c r="I114" s="32">
        <v>477176</v>
      </c>
      <c r="J114" s="32">
        <v>359359</v>
      </c>
      <c r="K114" s="32">
        <v>374375</v>
      </c>
      <c r="L114" s="32">
        <v>146405</v>
      </c>
      <c r="M114" s="32">
        <v>0</v>
      </c>
      <c r="N114" s="32">
        <v>0</v>
      </c>
      <c r="O114" s="32">
        <v>0</v>
      </c>
      <c r="P114" s="32">
        <v>0</v>
      </c>
      <c r="Q114" s="231"/>
      <c r="R114" s="232">
        <v>1701775</v>
      </c>
    </row>
    <row r="115" spans="1:18">
      <c r="A115" s="84">
        <v>65</v>
      </c>
      <c r="B115" s="13" t="s">
        <v>71</v>
      </c>
      <c r="C115" s="13"/>
      <c r="D115" s="209">
        <v>-1701775</v>
      </c>
      <c r="E115" s="32">
        <v>-11952</v>
      </c>
      <c r="F115" s="32">
        <v>-8400</v>
      </c>
      <c r="G115" s="32">
        <v>-148028</v>
      </c>
      <c r="H115" s="32">
        <v>-176080</v>
      </c>
      <c r="I115" s="32">
        <v>-477176</v>
      </c>
      <c r="J115" s="32">
        <v>-359359</v>
      </c>
      <c r="K115" s="32">
        <v>-374375</v>
      </c>
      <c r="L115" s="32">
        <v>-146405</v>
      </c>
      <c r="M115" s="32">
        <v>0</v>
      </c>
      <c r="N115" s="32">
        <v>0</v>
      </c>
      <c r="O115" s="32">
        <v>0</v>
      </c>
      <c r="P115" s="32">
        <v>0</v>
      </c>
      <c r="Q115" s="231"/>
      <c r="R115" s="232">
        <v>-1701775</v>
      </c>
    </row>
    <row r="116" spans="1:18">
      <c r="A116" s="84">
        <v>66</v>
      </c>
      <c r="B116" s="14" t="s">
        <v>66</v>
      </c>
      <c r="D116" s="209">
        <v>37834515</v>
      </c>
      <c r="E116" s="32">
        <v>4115776</v>
      </c>
      <c r="F116" s="32">
        <v>3319418</v>
      </c>
      <c r="G116" s="32">
        <v>5391617</v>
      </c>
      <c r="H116" s="32">
        <v>4419630</v>
      </c>
      <c r="I116" s="32">
        <v>3917436</v>
      </c>
      <c r="J116" s="32">
        <v>2910728</v>
      </c>
      <c r="K116" s="32">
        <v>3649197</v>
      </c>
      <c r="L116" s="32">
        <v>5625775</v>
      </c>
      <c r="M116" s="32">
        <v>4484938</v>
      </c>
      <c r="N116" s="32">
        <v>0</v>
      </c>
      <c r="O116" s="32">
        <v>0</v>
      </c>
      <c r="P116" s="32">
        <v>0</v>
      </c>
      <c r="Q116" s="231"/>
      <c r="R116" s="232">
        <v>37834515</v>
      </c>
    </row>
    <row r="117" spans="1:18">
      <c r="A117" s="84">
        <v>67</v>
      </c>
      <c r="B117" s="13" t="s">
        <v>69</v>
      </c>
      <c r="C117" s="13"/>
      <c r="D117" s="209">
        <v>7770450</v>
      </c>
      <c r="E117" s="32">
        <v>1882010</v>
      </c>
      <c r="F117" s="32">
        <v>342468</v>
      </c>
      <c r="G117" s="32">
        <v>266445</v>
      </c>
      <c r="H117" s="32">
        <v>574200</v>
      </c>
      <c r="I117" s="32">
        <v>875363</v>
      </c>
      <c r="J117" s="32">
        <v>928200</v>
      </c>
      <c r="K117" s="32">
        <v>1141087</v>
      </c>
      <c r="L117" s="32">
        <v>880927</v>
      </c>
      <c r="M117" s="32">
        <v>879750</v>
      </c>
      <c r="N117" s="32">
        <v>0</v>
      </c>
      <c r="O117" s="32">
        <v>0</v>
      </c>
      <c r="P117" s="32">
        <v>0</v>
      </c>
      <c r="Q117" s="231"/>
      <c r="R117" s="232">
        <v>7770450</v>
      </c>
    </row>
    <row r="118" spans="1:18">
      <c r="A118" s="84">
        <v>68</v>
      </c>
      <c r="B118" s="14" t="s">
        <v>56</v>
      </c>
      <c r="D118" s="209">
        <v>-4756770</v>
      </c>
      <c r="E118" s="32">
        <v>-1280600</v>
      </c>
      <c r="F118" s="32">
        <v>-83595</v>
      </c>
      <c r="G118" s="32">
        <v>-18180</v>
      </c>
      <c r="H118" s="32">
        <v>-107775</v>
      </c>
      <c r="I118" s="32">
        <v>-2289799</v>
      </c>
      <c r="J118" s="32">
        <v>-324473</v>
      </c>
      <c r="K118" s="32">
        <v>-652348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231"/>
      <c r="R118" s="232">
        <v>-4756770</v>
      </c>
    </row>
    <row r="119" spans="1:18">
      <c r="A119" s="84">
        <v>69</v>
      </c>
      <c r="B119" s="14" t="s">
        <v>189</v>
      </c>
      <c r="D119" s="209">
        <v>-138567</v>
      </c>
      <c r="E119" s="32">
        <v>-25507</v>
      </c>
      <c r="F119" s="32">
        <v>-22738</v>
      </c>
      <c r="G119" s="32">
        <v>-16974</v>
      </c>
      <c r="H119" s="32">
        <v>-7021</v>
      </c>
      <c r="I119" s="32">
        <v>-9386</v>
      </c>
      <c r="J119" s="32">
        <v>-14749</v>
      </c>
      <c r="K119" s="32">
        <v>-17235</v>
      </c>
      <c r="L119" s="32">
        <v>-11500</v>
      </c>
      <c r="M119" s="32">
        <v>-13457</v>
      </c>
      <c r="N119" s="32">
        <v>0</v>
      </c>
      <c r="O119" s="32">
        <v>0</v>
      </c>
      <c r="P119" s="32">
        <v>0</v>
      </c>
      <c r="Q119" s="231"/>
      <c r="R119" s="232"/>
    </row>
    <row r="120" spans="1:18">
      <c r="A120" s="84">
        <v>70</v>
      </c>
      <c r="B120" s="14" t="s">
        <v>208</v>
      </c>
      <c r="D120" s="209">
        <v>-434331</v>
      </c>
      <c r="E120" s="32">
        <v>-141375</v>
      </c>
      <c r="F120" s="32">
        <v>-21125</v>
      </c>
      <c r="G120" s="32">
        <v>0</v>
      </c>
      <c r="H120" s="32">
        <v>-89920</v>
      </c>
      <c r="I120" s="32">
        <v>-92668</v>
      </c>
      <c r="J120" s="32">
        <v>-89243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231"/>
      <c r="R120" s="232"/>
    </row>
    <row r="121" spans="1:18">
      <c r="A121" s="84">
        <v>71</v>
      </c>
      <c r="B121" s="14" t="s">
        <v>67</v>
      </c>
      <c r="D121" s="209">
        <v>-25077220</v>
      </c>
      <c r="E121" s="32">
        <v>-2112693</v>
      </c>
      <c r="F121" s="32">
        <v>-1793764</v>
      </c>
      <c r="G121" s="32">
        <v>-2219955</v>
      </c>
      <c r="H121" s="32">
        <v>-2874242</v>
      </c>
      <c r="I121" s="32">
        <v>-2434321</v>
      </c>
      <c r="J121" s="32">
        <v>-3443792</v>
      </c>
      <c r="K121" s="32">
        <v>-2753235</v>
      </c>
      <c r="L121" s="32">
        <v>-4156543</v>
      </c>
      <c r="M121" s="32">
        <v>-3288675</v>
      </c>
      <c r="N121" s="32">
        <v>0</v>
      </c>
      <c r="O121" s="32">
        <v>0</v>
      </c>
      <c r="P121" s="32">
        <v>0</v>
      </c>
      <c r="Q121" s="231"/>
      <c r="R121" s="232">
        <v>-25077220</v>
      </c>
    </row>
    <row r="122" spans="1:18">
      <c r="A122" s="84">
        <v>72</v>
      </c>
      <c r="B122" s="13" t="s">
        <v>70</v>
      </c>
      <c r="C122" s="13"/>
      <c r="D122" s="209">
        <v>916050</v>
      </c>
      <c r="E122" s="28">
        <v>32000</v>
      </c>
      <c r="F122" s="28">
        <v>8300</v>
      </c>
      <c r="G122" s="28">
        <v>0</v>
      </c>
      <c r="H122" s="28">
        <v>0</v>
      </c>
      <c r="I122" s="28">
        <v>515375</v>
      </c>
      <c r="J122" s="28">
        <v>0</v>
      </c>
      <c r="K122" s="28">
        <v>360375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31"/>
      <c r="R122" s="236">
        <v>916050</v>
      </c>
    </row>
    <row r="123" spans="1:18">
      <c r="A123" s="84">
        <v>73</v>
      </c>
      <c r="B123" s="71" t="s">
        <v>57</v>
      </c>
      <c r="C123" s="71"/>
      <c r="D123" s="209">
        <v>-916050</v>
      </c>
      <c r="E123" s="46">
        <v>-32000</v>
      </c>
      <c r="F123" s="46">
        <v>-8300</v>
      </c>
      <c r="G123" s="46">
        <v>0</v>
      </c>
      <c r="H123" s="46">
        <v>0</v>
      </c>
      <c r="I123" s="46">
        <v>-515375</v>
      </c>
      <c r="J123" s="46">
        <v>0</v>
      </c>
      <c r="K123" s="46">
        <v>-360375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231"/>
      <c r="R123" s="233">
        <v>-916050</v>
      </c>
    </row>
    <row r="124" spans="1:18" ht="22.5" customHeight="1">
      <c r="A124" s="245">
        <v>74</v>
      </c>
      <c r="B124" s="76" t="s">
        <v>207</v>
      </c>
      <c r="C124" s="76"/>
      <c r="D124" s="49">
        <v>1948182</v>
      </c>
      <c r="E124" s="30">
        <v>490074</v>
      </c>
      <c r="F124" s="30">
        <v>92902</v>
      </c>
      <c r="G124" s="30">
        <v>148606</v>
      </c>
      <c r="H124" s="30">
        <v>236500</v>
      </c>
      <c r="I124" s="30">
        <v>-13361</v>
      </c>
      <c r="J124" s="30">
        <v>94556</v>
      </c>
      <c r="K124" s="30">
        <v>698999</v>
      </c>
      <c r="L124" s="30">
        <v>99965</v>
      </c>
      <c r="M124" s="30">
        <v>99941</v>
      </c>
      <c r="N124" s="30">
        <v>0</v>
      </c>
      <c r="O124" s="30">
        <v>0</v>
      </c>
      <c r="P124" s="30">
        <v>0</v>
      </c>
      <c r="Q124" s="231"/>
      <c r="R124" s="246">
        <v>2521080</v>
      </c>
    </row>
    <row r="125" spans="1:18" ht="9" customHeight="1">
      <c r="A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31"/>
      <c r="R125" s="232"/>
    </row>
    <row r="126" spans="1:18" ht="9" customHeight="1">
      <c r="A126" s="8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231"/>
      <c r="R126" s="232"/>
    </row>
    <row r="127" spans="1:18">
      <c r="A127" s="84">
        <v>75</v>
      </c>
      <c r="B127" s="78" t="s">
        <v>116</v>
      </c>
      <c r="C127" s="78"/>
      <c r="D127" s="109">
        <v>1166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228</v>
      </c>
      <c r="M127" s="55">
        <v>938</v>
      </c>
      <c r="N127" s="55">
        <v>0</v>
      </c>
      <c r="O127" s="55">
        <v>0</v>
      </c>
      <c r="P127" s="55">
        <v>0</v>
      </c>
      <c r="Q127" s="231"/>
      <c r="R127" s="236">
        <v>1166</v>
      </c>
    </row>
    <row r="128" spans="1:18" ht="18.75" customHeight="1">
      <c r="A128" s="245">
        <v>76</v>
      </c>
      <c r="B128" s="76" t="s">
        <v>121</v>
      </c>
      <c r="C128" s="76"/>
      <c r="D128" s="63">
        <v>1166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228</v>
      </c>
      <c r="M128" s="29">
        <v>938</v>
      </c>
      <c r="N128" s="29" t="s">
        <v>25</v>
      </c>
      <c r="O128" s="29" t="s">
        <v>25</v>
      </c>
      <c r="P128" s="29" t="s">
        <v>25</v>
      </c>
      <c r="Q128" s="231"/>
      <c r="R128" s="232">
        <v>1166</v>
      </c>
    </row>
    <row r="129" spans="1:19" ht="9" customHeight="1">
      <c r="A129" s="8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231"/>
      <c r="R129" s="232"/>
    </row>
    <row r="130" spans="1:19" ht="9" customHeight="1">
      <c r="A130" s="8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231"/>
      <c r="R130" s="232"/>
    </row>
    <row r="131" spans="1:19">
      <c r="A131" s="84">
        <v>77</v>
      </c>
      <c r="B131" s="73" t="s">
        <v>65</v>
      </c>
      <c r="C131" s="73"/>
      <c r="D131" s="55">
        <v>0</v>
      </c>
      <c r="E131" s="247">
        <v>0</v>
      </c>
      <c r="F131" s="247">
        <v>0</v>
      </c>
      <c r="G131" s="247">
        <v>0</v>
      </c>
      <c r="H131" s="247">
        <v>0</v>
      </c>
      <c r="I131" s="247">
        <v>0</v>
      </c>
      <c r="J131" s="247">
        <v>0</v>
      </c>
      <c r="K131" s="247">
        <v>0</v>
      </c>
      <c r="L131" s="247">
        <v>0</v>
      </c>
      <c r="M131" s="247">
        <v>0</v>
      </c>
      <c r="N131" s="247">
        <v>0</v>
      </c>
      <c r="O131" s="247">
        <v>0</v>
      </c>
      <c r="P131" s="247">
        <v>0</v>
      </c>
      <c r="Q131" s="231"/>
      <c r="R131" s="232">
        <v>0</v>
      </c>
      <c r="S131" s="53" t="s">
        <v>25</v>
      </c>
    </row>
    <row r="132" spans="1:19">
      <c r="A132" s="85">
        <v>78</v>
      </c>
      <c r="B132" s="79" t="s">
        <v>76</v>
      </c>
      <c r="C132" s="79"/>
      <c r="D132" s="63">
        <v>371</v>
      </c>
      <c r="E132" s="39">
        <v>6</v>
      </c>
      <c r="F132" s="39">
        <v>23</v>
      </c>
      <c r="G132" s="39">
        <v>38</v>
      </c>
      <c r="H132" s="39">
        <v>39</v>
      </c>
      <c r="I132" s="39">
        <v>24</v>
      </c>
      <c r="J132" s="39">
        <v>21</v>
      </c>
      <c r="K132" s="39">
        <v>51</v>
      </c>
      <c r="L132" s="39">
        <v>95</v>
      </c>
      <c r="M132" s="39">
        <v>74</v>
      </c>
      <c r="N132" s="39">
        <v>0</v>
      </c>
      <c r="O132" s="39">
        <v>0</v>
      </c>
      <c r="P132" s="39">
        <v>0</v>
      </c>
      <c r="Q132" s="231"/>
      <c r="R132" s="233">
        <v>371</v>
      </c>
    </row>
    <row r="133" spans="1:19" ht="17.25" customHeight="1">
      <c r="A133" s="84">
        <v>79</v>
      </c>
      <c r="B133" s="80" t="s">
        <v>77</v>
      </c>
      <c r="C133" s="80"/>
      <c r="D133" s="40">
        <v>371</v>
      </c>
      <c r="E133" s="40">
        <v>6</v>
      </c>
      <c r="F133" s="40">
        <v>23</v>
      </c>
      <c r="G133" s="40">
        <v>38</v>
      </c>
      <c r="H133" s="40">
        <v>39</v>
      </c>
      <c r="I133" s="40">
        <v>24</v>
      </c>
      <c r="J133" s="40">
        <v>21</v>
      </c>
      <c r="K133" s="40">
        <v>51</v>
      </c>
      <c r="L133" s="40">
        <v>95</v>
      </c>
      <c r="M133" s="40">
        <v>74</v>
      </c>
      <c r="N133" s="40">
        <v>0</v>
      </c>
      <c r="O133" s="40">
        <v>0</v>
      </c>
      <c r="P133" s="40">
        <v>0</v>
      </c>
      <c r="Q133" s="231"/>
      <c r="R133" s="232">
        <v>371</v>
      </c>
    </row>
    <row r="134" spans="1:19" ht="17.25" customHeight="1">
      <c r="A134" s="84"/>
      <c r="B134" s="80"/>
      <c r="C134" s="8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231"/>
      <c r="R134" s="232"/>
    </row>
    <row r="135" spans="1:19">
      <c r="A135" s="84">
        <v>80</v>
      </c>
      <c r="B135" s="73" t="s">
        <v>145</v>
      </c>
      <c r="C135" s="73"/>
      <c r="D135" s="55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231"/>
      <c r="R135" s="232">
        <v>0</v>
      </c>
      <c r="S135" s="53" t="s">
        <v>25</v>
      </c>
    </row>
    <row r="136" spans="1:19">
      <c r="A136" s="84">
        <v>81</v>
      </c>
      <c r="B136" s="73" t="s">
        <v>146</v>
      </c>
      <c r="C136" s="73"/>
      <c r="D136" s="55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231"/>
      <c r="R136" s="232"/>
      <c r="S136" s="53"/>
    </row>
    <row r="137" spans="1:19">
      <c r="A137" s="85">
        <v>82</v>
      </c>
      <c r="B137" s="75" t="s">
        <v>147</v>
      </c>
      <c r="C137" s="79"/>
      <c r="D137" s="63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231"/>
      <c r="R137" s="233">
        <v>0</v>
      </c>
    </row>
    <row r="138" spans="1:19" ht="17.25" customHeight="1">
      <c r="A138" s="84">
        <v>83</v>
      </c>
      <c r="B138" s="80" t="s">
        <v>144</v>
      </c>
      <c r="C138" s="80"/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</row>
    <row r="139" spans="1:19" ht="7.5" customHeight="1">
      <c r="A139" s="84"/>
      <c r="B139" s="81"/>
      <c r="C139" s="81"/>
      <c r="D139" s="248"/>
      <c r="E139" s="55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231"/>
      <c r="R139" s="232"/>
    </row>
    <row r="140" spans="1:19" ht="23.25" customHeight="1">
      <c r="A140" s="216">
        <v>84</v>
      </c>
      <c r="B140" s="69" t="s">
        <v>62</v>
      </c>
      <c r="C140" s="69"/>
      <c r="D140" s="49">
        <v>1949719</v>
      </c>
      <c r="E140" s="29">
        <v>490080</v>
      </c>
      <c r="F140" s="29">
        <v>92925</v>
      </c>
      <c r="G140" s="29">
        <v>148644</v>
      </c>
      <c r="H140" s="29">
        <v>236539</v>
      </c>
      <c r="I140" s="29">
        <v>-13337</v>
      </c>
      <c r="J140" s="29">
        <v>94577</v>
      </c>
      <c r="K140" s="29">
        <v>699050</v>
      </c>
      <c r="L140" s="29">
        <v>100288</v>
      </c>
      <c r="M140" s="29">
        <v>100953</v>
      </c>
      <c r="N140" s="29" t="s">
        <v>25</v>
      </c>
      <c r="O140" s="29" t="s">
        <v>25</v>
      </c>
      <c r="P140" s="29" t="s">
        <v>25</v>
      </c>
      <c r="Q140" s="231"/>
      <c r="R140" s="232">
        <v>1459639</v>
      </c>
    </row>
    <row r="141" spans="1:19" ht="9.75" customHeight="1">
      <c r="B141" s="13"/>
      <c r="C141" s="13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231"/>
      <c r="R141" s="232"/>
    </row>
    <row r="142" spans="1:19" s="41" customFormat="1" ht="25.5" customHeight="1" thickBot="1">
      <c r="A142" s="249">
        <v>85</v>
      </c>
      <c r="B142" s="82" t="s">
        <v>10</v>
      </c>
      <c r="C142" s="82"/>
      <c r="D142" s="250">
        <v>83799432</v>
      </c>
      <c r="E142" s="52">
        <v>14051568</v>
      </c>
      <c r="F142" s="52">
        <v>11563012</v>
      </c>
      <c r="G142" s="52">
        <v>10581893</v>
      </c>
      <c r="H142" s="52">
        <v>8626451</v>
      </c>
      <c r="I142" s="52">
        <v>3909416</v>
      </c>
      <c r="J142" s="52">
        <v>3620132</v>
      </c>
      <c r="K142" s="52">
        <v>8240677</v>
      </c>
      <c r="L142" s="52">
        <v>11028586</v>
      </c>
      <c r="M142" s="52">
        <v>12177697</v>
      </c>
      <c r="N142" s="52" t="s">
        <v>25</v>
      </c>
      <c r="O142" s="52" t="s">
        <v>25</v>
      </c>
      <c r="P142" s="52" t="s">
        <v>25</v>
      </c>
      <c r="Q142" s="234"/>
      <c r="R142" s="251"/>
    </row>
    <row r="143" spans="1:19" ht="13.15" thickTop="1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8"/>
    </row>
    <row r="144" spans="1:19">
      <c r="Q144" s="218"/>
    </row>
    <row r="145" spans="5:17">
      <c r="E145" s="210"/>
      <c r="F145" s="210"/>
      <c r="G145" s="210"/>
      <c r="H145" s="210"/>
      <c r="I145" s="210"/>
      <c r="J145" s="252"/>
      <c r="K145" s="210"/>
      <c r="L145" s="210"/>
      <c r="M145" s="210"/>
      <c r="N145" s="210"/>
      <c r="O145" s="210"/>
      <c r="P145" s="210"/>
      <c r="Q145" s="218"/>
    </row>
    <row r="146" spans="5:17">
      <c r="E146" s="210"/>
      <c r="F146" s="210"/>
      <c r="G146" s="210"/>
      <c r="H146" s="210"/>
      <c r="I146" s="210"/>
      <c r="J146" s="252"/>
      <c r="K146" s="210"/>
      <c r="L146" s="210"/>
      <c r="M146" s="210"/>
      <c r="N146" s="210"/>
      <c r="O146" s="210"/>
      <c r="P146" s="210"/>
      <c r="Q146" s="218"/>
    </row>
    <row r="147" spans="5:17">
      <c r="E147" s="210"/>
      <c r="F147" s="210"/>
      <c r="G147" s="210"/>
      <c r="H147" s="210"/>
      <c r="I147" s="210"/>
      <c r="J147" s="252"/>
      <c r="K147" s="210"/>
      <c r="L147" s="210"/>
      <c r="M147" s="210"/>
      <c r="N147" s="210"/>
      <c r="O147" s="210"/>
      <c r="P147" s="210"/>
      <c r="Q147" s="218"/>
    </row>
    <row r="148" spans="5:17">
      <c r="E148" s="210"/>
      <c r="F148" s="210"/>
      <c r="G148" s="210"/>
      <c r="H148" s="210"/>
      <c r="I148" s="210"/>
      <c r="J148" s="252"/>
      <c r="K148" s="210"/>
      <c r="L148" s="210"/>
      <c r="M148" s="210"/>
      <c r="N148" s="210"/>
      <c r="O148" s="210"/>
      <c r="P148" s="210"/>
      <c r="Q148" s="218"/>
    </row>
    <row r="149" spans="5:17">
      <c r="E149" s="210"/>
      <c r="F149" s="210"/>
      <c r="G149" s="210"/>
      <c r="H149" s="210"/>
      <c r="I149" s="210"/>
      <c r="J149" s="252"/>
      <c r="K149" s="210"/>
      <c r="L149" s="210"/>
      <c r="M149" s="210"/>
      <c r="N149" s="210"/>
      <c r="O149" s="210"/>
      <c r="P149" s="210"/>
      <c r="Q149" s="218"/>
    </row>
    <row r="150" spans="5:17">
      <c r="E150" s="210"/>
      <c r="F150" s="210"/>
      <c r="G150" s="210"/>
      <c r="H150" s="210"/>
      <c r="I150" s="210"/>
      <c r="J150" s="252"/>
      <c r="K150" s="210"/>
      <c r="L150" s="210"/>
      <c r="M150" s="210"/>
      <c r="N150" s="210"/>
      <c r="O150" s="210"/>
      <c r="P150" s="210"/>
      <c r="Q150" s="218"/>
    </row>
    <row r="151" spans="5:17">
      <c r="E151" s="210"/>
      <c r="F151" s="210"/>
      <c r="G151" s="210"/>
      <c r="H151" s="210"/>
      <c r="I151" s="210"/>
      <c r="J151" s="252"/>
      <c r="K151" s="210"/>
      <c r="L151" s="210"/>
      <c r="M151" s="210"/>
      <c r="N151" s="210"/>
      <c r="O151" s="210"/>
      <c r="P151" s="210"/>
      <c r="Q151" s="218"/>
    </row>
    <row r="152" spans="5:17">
      <c r="E152" s="210"/>
      <c r="F152" s="210"/>
      <c r="G152" s="210"/>
      <c r="H152" s="210"/>
      <c r="I152" s="210"/>
      <c r="J152" s="252"/>
      <c r="K152" s="210"/>
      <c r="L152" s="210"/>
      <c r="M152" s="210"/>
      <c r="N152" s="210"/>
      <c r="O152" s="210"/>
      <c r="P152" s="210"/>
      <c r="Q152" s="218"/>
    </row>
    <row r="153" spans="5:17">
      <c r="E153" s="210"/>
      <c r="F153" s="210"/>
      <c r="G153" s="210"/>
      <c r="H153" s="210"/>
      <c r="I153" s="210"/>
      <c r="J153" s="252"/>
      <c r="K153" s="210"/>
      <c r="L153" s="210"/>
      <c r="M153" s="210"/>
      <c r="N153" s="210"/>
      <c r="O153" s="210"/>
      <c r="P153" s="210"/>
      <c r="Q153" s="218"/>
    </row>
    <row r="154" spans="5:17">
      <c r="E154" s="210"/>
      <c r="F154" s="210"/>
      <c r="G154" s="210"/>
      <c r="H154" s="210"/>
      <c r="I154" s="210"/>
      <c r="J154" s="252"/>
      <c r="K154" s="210"/>
      <c r="L154" s="210"/>
      <c r="M154" s="210"/>
      <c r="N154" s="210"/>
      <c r="O154" s="210"/>
      <c r="P154" s="210"/>
      <c r="Q154" s="218"/>
    </row>
    <row r="155" spans="5:17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8"/>
    </row>
    <row r="156" spans="5:17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8"/>
    </row>
    <row r="157" spans="5:17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8"/>
    </row>
    <row r="158" spans="5:17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8"/>
    </row>
    <row r="159" spans="5:17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8"/>
    </row>
    <row r="160" spans="5:17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8"/>
    </row>
    <row r="161" spans="5:17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8"/>
    </row>
    <row r="162" spans="5:17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8"/>
    </row>
    <row r="163" spans="5:17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8"/>
    </row>
    <row r="164" spans="5:17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8"/>
    </row>
    <row r="165" spans="5:17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8"/>
    </row>
    <row r="166" spans="5:17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8"/>
    </row>
    <row r="167" spans="5:17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8"/>
    </row>
    <row r="168" spans="5:17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8"/>
    </row>
    <row r="169" spans="5:17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8"/>
    </row>
    <row r="170" spans="5:17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8"/>
    </row>
    <row r="171" spans="5:17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8"/>
    </row>
    <row r="172" spans="5:17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8"/>
    </row>
    <row r="173" spans="5:17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8"/>
    </row>
    <row r="174" spans="5:17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8"/>
    </row>
    <row r="175" spans="5:17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8"/>
    </row>
    <row r="176" spans="5:17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8"/>
    </row>
    <row r="177" spans="5:17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8"/>
    </row>
    <row r="178" spans="5:17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8"/>
    </row>
    <row r="179" spans="5:17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8"/>
    </row>
    <row r="180" spans="5:17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8"/>
    </row>
    <row r="181" spans="5:17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8"/>
    </row>
    <row r="182" spans="5:17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8"/>
    </row>
    <row r="183" spans="5:17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8"/>
    </row>
    <row r="184" spans="5:17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8"/>
    </row>
    <row r="185" spans="5:17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8"/>
    </row>
    <row r="186" spans="5:17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8"/>
    </row>
    <row r="187" spans="5:17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8"/>
    </row>
    <row r="188" spans="5:17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8"/>
    </row>
    <row r="189" spans="5:17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8"/>
    </row>
    <row r="190" spans="5:17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8"/>
    </row>
    <row r="191" spans="5:17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8"/>
    </row>
    <row r="192" spans="5:17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8"/>
    </row>
    <row r="193" spans="5:17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8"/>
    </row>
    <row r="194" spans="5:17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8"/>
    </row>
    <row r="195" spans="5:17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8"/>
    </row>
    <row r="196" spans="5:17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8"/>
    </row>
    <row r="197" spans="5:17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8"/>
    </row>
    <row r="198" spans="5:17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8"/>
    </row>
    <row r="199" spans="5:17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8"/>
    </row>
    <row r="200" spans="5:17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8"/>
    </row>
    <row r="201" spans="5:17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8"/>
    </row>
    <row r="202" spans="5:17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8"/>
    </row>
    <row r="203" spans="5:17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8"/>
    </row>
    <row r="204" spans="5:17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8"/>
    </row>
    <row r="205" spans="5:17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8"/>
    </row>
    <row r="206" spans="5:17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8"/>
    </row>
    <row r="207" spans="5:17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8"/>
    </row>
    <row r="208" spans="5:17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8"/>
    </row>
    <row r="209" spans="5:17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8"/>
    </row>
    <row r="210" spans="5:17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8"/>
    </row>
    <row r="211" spans="5:17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8"/>
    </row>
    <row r="212" spans="5:17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8"/>
    </row>
    <row r="213" spans="5:17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8"/>
    </row>
    <row r="214" spans="5:17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8"/>
    </row>
    <row r="215" spans="5:17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8"/>
    </row>
    <row r="216" spans="5:17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8"/>
    </row>
    <row r="217" spans="5:17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8"/>
    </row>
    <row r="218" spans="5:17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8"/>
    </row>
    <row r="219" spans="5:17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8"/>
    </row>
    <row r="220" spans="5:17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8"/>
    </row>
    <row r="221" spans="5:17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8"/>
    </row>
    <row r="222" spans="5:17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8"/>
    </row>
    <row r="223" spans="5:17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8"/>
    </row>
    <row r="224" spans="5:17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8"/>
    </row>
    <row r="225" spans="5:17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8"/>
    </row>
    <row r="226" spans="5:17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8"/>
    </row>
    <row r="227" spans="5:17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8"/>
    </row>
    <row r="228" spans="5:17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8"/>
    </row>
    <row r="229" spans="5:17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8"/>
    </row>
    <row r="230" spans="5:17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8"/>
    </row>
    <row r="231" spans="5:17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8"/>
    </row>
    <row r="232" spans="5:17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8"/>
    </row>
    <row r="233" spans="5:17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8"/>
    </row>
    <row r="234" spans="5:17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8"/>
    </row>
    <row r="235" spans="5:17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8"/>
    </row>
    <row r="236" spans="5:17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8"/>
    </row>
    <row r="237" spans="5:17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8"/>
    </row>
    <row r="238" spans="5:17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8"/>
    </row>
    <row r="239" spans="5:17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8"/>
    </row>
    <row r="240" spans="5:17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8"/>
    </row>
    <row r="241" spans="5:17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8"/>
    </row>
    <row r="242" spans="5:17"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8"/>
    </row>
    <row r="243" spans="5:17"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8"/>
    </row>
    <row r="244" spans="5:17"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8"/>
    </row>
    <row r="245" spans="5:17"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8"/>
    </row>
    <row r="246" spans="5:17"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8"/>
    </row>
    <row r="247" spans="5:17"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8"/>
    </row>
    <row r="248" spans="5:17"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8"/>
    </row>
    <row r="249" spans="5:17"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8"/>
    </row>
    <row r="250" spans="5:17"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8"/>
    </row>
    <row r="251" spans="5:17"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8"/>
    </row>
    <row r="252" spans="5:17"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8"/>
    </row>
    <row r="253" spans="5:17"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8"/>
    </row>
    <row r="254" spans="5:17"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8"/>
    </row>
    <row r="255" spans="5:17"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8"/>
    </row>
    <row r="256" spans="5:17"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8"/>
    </row>
    <row r="257" spans="6:17"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8"/>
    </row>
    <row r="258" spans="6:17"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8"/>
    </row>
    <row r="259" spans="6:17"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8"/>
    </row>
    <row r="260" spans="6:17"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8"/>
    </row>
    <row r="261" spans="6:17"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8"/>
    </row>
    <row r="262" spans="6:17"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8"/>
    </row>
    <row r="263" spans="6:17"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8"/>
    </row>
    <row r="264" spans="6:17"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8"/>
    </row>
    <row r="265" spans="6:17"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8"/>
    </row>
    <row r="266" spans="6:17"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8"/>
    </row>
    <row r="267" spans="6:17"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8"/>
    </row>
    <row r="268" spans="6:17"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8"/>
    </row>
    <row r="269" spans="6:17"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8"/>
    </row>
    <row r="270" spans="6:17"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8"/>
    </row>
    <row r="271" spans="6:17"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8"/>
    </row>
    <row r="272" spans="6:17"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8"/>
    </row>
    <row r="273" spans="6:17"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8"/>
    </row>
    <row r="274" spans="6:17"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8"/>
    </row>
    <row r="275" spans="6:17"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8"/>
    </row>
    <row r="276" spans="6:17"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8"/>
    </row>
    <row r="277" spans="6:17"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8"/>
    </row>
    <row r="278" spans="6:17"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8"/>
    </row>
    <row r="279" spans="6:17"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8"/>
    </row>
    <row r="280" spans="6:17"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8"/>
    </row>
    <row r="281" spans="6:17"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8"/>
    </row>
    <row r="282" spans="6:17"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8"/>
    </row>
    <row r="283" spans="6:17"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8"/>
    </row>
    <row r="284" spans="6:17"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8"/>
    </row>
    <row r="285" spans="6:17"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8"/>
    </row>
    <row r="286" spans="6:17"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8"/>
    </row>
    <row r="287" spans="6:17"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8"/>
    </row>
    <row r="288" spans="6:17"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8"/>
    </row>
    <row r="289" spans="6:17"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8"/>
    </row>
    <row r="290" spans="6:17"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8"/>
    </row>
    <row r="291" spans="6:17"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8"/>
    </row>
    <row r="292" spans="6:17"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8"/>
    </row>
    <row r="293" spans="6:17"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8"/>
    </row>
    <row r="294" spans="6:17"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8"/>
    </row>
    <row r="295" spans="6:17"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8"/>
    </row>
    <row r="296" spans="6:17"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8"/>
    </row>
    <row r="297" spans="6:17"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8"/>
    </row>
    <row r="298" spans="6:17"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8"/>
    </row>
    <row r="299" spans="6:17"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8"/>
    </row>
    <row r="300" spans="6:17"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8"/>
    </row>
    <row r="301" spans="6:17"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8"/>
    </row>
    <row r="302" spans="6:17"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8"/>
    </row>
    <row r="303" spans="6:17"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8"/>
    </row>
    <row r="304" spans="6:17"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8"/>
    </row>
    <row r="305" spans="6:17"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8"/>
    </row>
    <row r="306" spans="6:17"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8"/>
    </row>
    <row r="307" spans="6:17"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8"/>
    </row>
    <row r="308" spans="6:17"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8"/>
    </row>
    <row r="309" spans="6:17"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8"/>
    </row>
    <row r="310" spans="6:17"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8"/>
    </row>
    <row r="311" spans="6:17"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8"/>
    </row>
    <row r="312" spans="6:17"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8"/>
    </row>
    <row r="313" spans="6:17"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8"/>
    </row>
    <row r="314" spans="6:17"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8"/>
    </row>
    <row r="315" spans="6:17"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8"/>
    </row>
    <row r="316" spans="6:17"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8"/>
    </row>
    <row r="317" spans="6:17"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8"/>
    </row>
    <row r="318" spans="6:17"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8"/>
    </row>
    <row r="319" spans="6:17"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8"/>
    </row>
    <row r="320" spans="6:17"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8"/>
    </row>
    <row r="321" spans="6:17"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8"/>
    </row>
    <row r="322" spans="6:17"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8"/>
    </row>
    <row r="323" spans="6:17"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8"/>
    </row>
    <row r="324" spans="6:17"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8"/>
    </row>
    <row r="325" spans="6:17"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8"/>
    </row>
    <row r="326" spans="6:17"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8"/>
    </row>
    <row r="327" spans="6:17"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8"/>
    </row>
    <row r="328" spans="6:17"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8"/>
    </row>
    <row r="329" spans="6:17"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8"/>
    </row>
    <row r="330" spans="6:17"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8"/>
    </row>
    <row r="331" spans="6:17"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8"/>
    </row>
    <row r="332" spans="6:17"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8"/>
    </row>
    <row r="333" spans="6:17"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8"/>
    </row>
    <row r="334" spans="6:17"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8"/>
    </row>
    <row r="335" spans="6:17"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8"/>
    </row>
    <row r="336" spans="6:17"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8"/>
    </row>
    <row r="337" spans="6:17"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8"/>
    </row>
    <row r="338" spans="6:17"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8"/>
    </row>
    <row r="339" spans="6:17"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8"/>
    </row>
    <row r="340" spans="6:17"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8"/>
    </row>
    <row r="341" spans="6:17"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8"/>
    </row>
    <row r="342" spans="6:17"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8"/>
    </row>
    <row r="343" spans="6:17"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8"/>
    </row>
    <row r="344" spans="6:17"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8"/>
    </row>
    <row r="345" spans="6:17"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8"/>
    </row>
    <row r="346" spans="6:17"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8"/>
    </row>
    <row r="347" spans="6:17"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8"/>
    </row>
    <row r="348" spans="6:17"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8"/>
    </row>
    <row r="349" spans="6:17"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8"/>
    </row>
    <row r="350" spans="6:17"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8"/>
    </row>
    <row r="351" spans="6:17"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8"/>
    </row>
    <row r="352" spans="6:17"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8"/>
    </row>
    <row r="353" spans="6:17"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8"/>
    </row>
    <row r="354" spans="6:17"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8"/>
    </row>
    <row r="355" spans="6:17"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8"/>
    </row>
    <row r="356" spans="6:17"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8"/>
    </row>
    <row r="357" spans="6:17"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8"/>
    </row>
    <row r="358" spans="6:17"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8"/>
    </row>
    <row r="359" spans="6:17"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8"/>
    </row>
    <row r="360" spans="6:17"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8"/>
    </row>
    <row r="361" spans="6:17"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8"/>
    </row>
    <row r="362" spans="6:17"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8"/>
    </row>
    <row r="363" spans="6:17"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8"/>
    </row>
    <row r="364" spans="6:17"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8"/>
    </row>
    <row r="365" spans="6:17"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8"/>
    </row>
    <row r="366" spans="6:17"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8"/>
    </row>
    <row r="367" spans="6:17">
      <c r="F367" s="210"/>
      <c r="G367" s="210"/>
      <c r="H367" s="210"/>
      <c r="I367" s="210"/>
      <c r="J367" s="210"/>
      <c r="K367" s="210"/>
      <c r="L367" s="210"/>
      <c r="M367" s="210"/>
      <c r="N367" s="210"/>
      <c r="O367" s="210"/>
      <c r="P367" s="210"/>
      <c r="Q367" s="218"/>
    </row>
    <row r="368" spans="6:17"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8"/>
    </row>
    <row r="369" spans="6:17">
      <c r="F369" s="210"/>
      <c r="G369" s="210"/>
      <c r="H369" s="210"/>
      <c r="I369" s="210"/>
      <c r="J369" s="210"/>
      <c r="K369" s="210"/>
      <c r="L369" s="210"/>
      <c r="M369" s="210"/>
      <c r="N369" s="210"/>
      <c r="O369" s="210"/>
      <c r="P369" s="210"/>
      <c r="Q369" s="218"/>
    </row>
    <row r="370" spans="6:17"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8"/>
    </row>
    <row r="371" spans="6:17"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8"/>
    </row>
    <row r="372" spans="6:17"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8"/>
    </row>
    <row r="373" spans="6:17"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8"/>
    </row>
    <row r="374" spans="6:17"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8"/>
    </row>
    <row r="375" spans="6:17">
      <c r="F375" s="210"/>
      <c r="G375" s="210"/>
      <c r="H375" s="210"/>
      <c r="I375" s="210"/>
      <c r="J375" s="210"/>
      <c r="K375" s="210"/>
      <c r="L375" s="210"/>
      <c r="M375" s="210"/>
      <c r="N375" s="210"/>
      <c r="O375" s="210"/>
      <c r="P375" s="210"/>
      <c r="Q375" s="218"/>
    </row>
    <row r="376" spans="6:17">
      <c r="F376" s="210"/>
      <c r="G376" s="210"/>
      <c r="H376" s="210"/>
      <c r="I376" s="210"/>
      <c r="J376" s="210"/>
      <c r="K376" s="210"/>
      <c r="L376" s="210"/>
      <c r="M376" s="210"/>
      <c r="N376" s="210"/>
      <c r="O376" s="210"/>
      <c r="P376" s="210"/>
      <c r="Q376" s="218"/>
    </row>
    <row r="377" spans="6:17"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8"/>
    </row>
    <row r="378" spans="6:17">
      <c r="F378" s="210"/>
      <c r="G378" s="210"/>
      <c r="H378" s="210"/>
      <c r="I378" s="210"/>
      <c r="J378" s="210"/>
      <c r="K378" s="210"/>
      <c r="L378" s="210"/>
      <c r="M378" s="210"/>
      <c r="N378" s="210"/>
      <c r="O378" s="210"/>
      <c r="P378" s="210"/>
      <c r="Q378" s="218"/>
    </row>
    <row r="379" spans="6:17">
      <c r="F379" s="210"/>
      <c r="G379" s="210"/>
      <c r="H379" s="210"/>
      <c r="I379" s="210"/>
      <c r="J379" s="210"/>
      <c r="K379" s="210"/>
      <c r="L379" s="210"/>
      <c r="M379" s="210"/>
      <c r="N379" s="210"/>
      <c r="O379" s="210"/>
      <c r="P379" s="210"/>
      <c r="Q379" s="218"/>
    </row>
    <row r="380" spans="6:17">
      <c r="F380" s="210"/>
      <c r="G380" s="210"/>
      <c r="H380" s="210"/>
      <c r="I380" s="210"/>
      <c r="J380" s="210"/>
      <c r="K380" s="210"/>
      <c r="L380" s="210"/>
      <c r="M380" s="210"/>
      <c r="N380" s="210"/>
      <c r="O380" s="210"/>
      <c r="P380" s="210"/>
      <c r="Q380" s="218"/>
    </row>
    <row r="381" spans="6:17">
      <c r="F381" s="210"/>
      <c r="G381" s="210"/>
      <c r="H381" s="210"/>
      <c r="I381" s="210"/>
      <c r="J381" s="210"/>
      <c r="K381" s="210"/>
      <c r="L381" s="210"/>
      <c r="M381" s="210"/>
      <c r="N381" s="210"/>
      <c r="O381" s="210"/>
      <c r="P381" s="210"/>
      <c r="Q381" s="218"/>
    </row>
    <row r="382" spans="6:17">
      <c r="F382" s="210"/>
      <c r="G382" s="210"/>
      <c r="H382" s="210"/>
      <c r="I382" s="210"/>
      <c r="J382" s="210"/>
      <c r="K382" s="210"/>
      <c r="L382" s="210"/>
      <c r="M382" s="210"/>
      <c r="N382" s="210"/>
      <c r="O382" s="210"/>
      <c r="P382" s="210"/>
      <c r="Q382" s="218"/>
    </row>
    <row r="383" spans="6:17"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8"/>
    </row>
    <row r="384" spans="6:17"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8"/>
    </row>
    <row r="385" spans="6:17"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8"/>
    </row>
    <row r="386" spans="6:17"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8"/>
    </row>
    <row r="387" spans="6:17"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8"/>
    </row>
    <row r="388" spans="6:17"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8"/>
    </row>
    <row r="389" spans="6:17">
      <c r="F389" s="210"/>
      <c r="G389" s="210"/>
      <c r="H389" s="210"/>
      <c r="I389" s="210"/>
      <c r="J389" s="210"/>
      <c r="K389" s="210"/>
      <c r="L389" s="210"/>
      <c r="M389" s="210"/>
      <c r="N389" s="210"/>
      <c r="O389" s="210"/>
      <c r="P389" s="210"/>
      <c r="Q389" s="218"/>
    </row>
    <row r="390" spans="6:17">
      <c r="F390" s="210"/>
      <c r="G390" s="210"/>
      <c r="H390" s="210"/>
      <c r="I390" s="210"/>
      <c r="J390" s="210"/>
      <c r="K390" s="210"/>
      <c r="L390" s="210"/>
      <c r="M390" s="210"/>
      <c r="N390" s="210"/>
      <c r="O390" s="210"/>
      <c r="P390" s="210"/>
      <c r="Q390" s="218"/>
    </row>
    <row r="391" spans="6:17">
      <c r="F391" s="210"/>
      <c r="G391" s="210"/>
      <c r="H391" s="210"/>
      <c r="I391" s="210"/>
      <c r="J391" s="210"/>
      <c r="K391" s="210"/>
      <c r="L391" s="210"/>
      <c r="M391" s="210"/>
      <c r="N391" s="210"/>
      <c r="O391" s="210"/>
      <c r="P391" s="210"/>
      <c r="Q391" s="218"/>
    </row>
    <row r="392" spans="6:17">
      <c r="F392" s="210"/>
      <c r="G392" s="210"/>
      <c r="H392" s="210"/>
      <c r="I392" s="210"/>
      <c r="J392" s="210"/>
      <c r="K392" s="210"/>
      <c r="L392" s="210"/>
      <c r="M392" s="210"/>
      <c r="N392" s="210"/>
      <c r="O392" s="210"/>
      <c r="P392" s="210"/>
      <c r="Q392" s="218"/>
    </row>
    <row r="393" spans="6:17">
      <c r="F393" s="210"/>
      <c r="G393" s="210"/>
      <c r="H393" s="210"/>
      <c r="I393" s="210"/>
      <c r="J393" s="210"/>
      <c r="K393" s="210"/>
      <c r="L393" s="210"/>
      <c r="M393" s="210"/>
      <c r="N393" s="210"/>
      <c r="O393" s="210"/>
      <c r="P393" s="210"/>
      <c r="Q393" s="218"/>
    </row>
    <row r="394" spans="6:17">
      <c r="F394" s="210"/>
      <c r="G394" s="210"/>
      <c r="H394" s="210"/>
      <c r="I394" s="210"/>
      <c r="J394" s="210"/>
      <c r="K394" s="210"/>
      <c r="L394" s="210"/>
      <c r="M394" s="210"/>
      <c r="N394" s="210"/>
      <c r="O394" s="210"/>
      <c r="P394" s="210"/>
      <c r="Q394" s="218"/>
    </row>
    <row r="395" spans="6:17">
      <c r="F395" s="210"/>
      <c r="G395" s="210"/>
      <c r="H395" s="210"/>
      <c r="I395" s="210"/>
      <c r="J395" s="210"/>
      <c r="K395" s="210"/>
      <c r="L395" s="210"/>
      <c r="M395" s="210"/>
      <c r="N395" s="210"/>
      <c r="O395" s="210"/>
      <c r="P395" s="210"/>
      <c r="Q395" s="218"/>
    </row>
    <row r="396" spans="6:17"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8"/>
    </row>
    <row r="397" spans="6:17">
      <c r="F397" s="210"/>
      <c r="G397" s="210"/>
      <c r="H397" s="210"/>
      <c r="I397" s="210"/>
      <c r="J397" s="210"/>
      <c r="K397" s="210"/>
      <c r="L397" s="210"/>
      <c r="M397" s="210"/>
      <c r="N397" s="210"/>
      <c r="O397" s="210"/>
      <c r="P397" s="210"/>
      <c r="Q397" s="218"/>
    </row>
    <row r="398" spans="6:17">
      <c r="F398" s="210"/>
      <c r="G398" s="210"/>
      <c r="H398" s="210"/>
      <c r="I398" s="210"/>
      <c r="J398" s="210"/>
      <c r="K398" s="210"/>
      <c r="L398" s="210"/>
      <c r="M398" s="210"/>
      <c r="N398" s="210"/>
      <c r="O398" s="210"/>
      <c r="P398" s="210"/>
      <c r="Q398" s="218"/>
    </row>
    <row r="399" spans="6:17"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8"/>
    </row>
    <row r="400" spans="6:17">
      <c r="F400" s="210"/>
      <c r="G400" s="210"/>
      <c r="H400" s="210"/>
      <c r="I400" s="210"/>
      <c r="J400" s="210"/>
      <c r="K400" s="210"/>
      <c r="L400" s="210"/>
      <c r="M400" s="210"/>
      <c r="N400" s="210"/>
      <c r="O400" s="210"/>
      <c r="P400" s="210"/>
      <c r="Q400" s="218"/>
    </row>
    <row r="401" spans="6:17">
      <c r="F401" s="210"/>
      <c r="G401" s="210"/>
      <c r="H401" s="210"/>
      <c r="I401" s="210"/>
      <c r="J401" s="210"/>
      <c r="K401" s="210"/>
      <c r="L401" s="210"/>
      <c r="M401" s="210"/>
      <c r="N401" s="210"/>
      <c r="O401" s="210"/>
      <c r="P401" s="210"/>
      <c r="Q401" s="218"/>
    </row>
    <row r="402" spans="6:17">
      <c r="F402" s="210"/>
      <c r="G402" s="210"/>
      <c r="H402" s="210"/>
      <c r="I402" s="210"/>
      <c r="J402" s="210"/>
      <c r="K402" s="210"/>
      <c r="L402" s="210"/>
      <c r="M402" s="210"/>
      <c r="N402" s="210"/>
      <c r="O402" s="210"/>
      <c r="P402" s="210"/>
      <c r="Q402" s="218"/>
    </row>
    <row r="403" spans="6:17">
      <c r="F403" s="210"/>
      <c r="G403" s="210"/>
      <c r="H403" s="210"/>
      <c r="I403" s="210"/>
      <c r="J403" s="210"/>
      <c r="K403" s="210"/>
      <c r="L403" s="210"/>
      <c r="M403" s="210"/>
      <c r="N403" s="210"/>
      <c r="O403" s="210"/>
      <c r="P403" s="210"/>
      <c r="Q403" s="218"/>
    </row>
    <row r="404" spans="6:17">
      <c r="F404" s="210"/>
      <c r="G404" s="210"/>
      <c r="H404" s="210"/>
      <c r="I404" s="210"/>
      <c r="J404" s="210"/>
      <c r="K404" s="210"/>
      <c r="L404" s="210"/>
      <c r="M404" s="210"/>
      <c r="N404" s="210"/>
      <c r="O404" s="210"/>
      <c r="P404" s="210"/>
      <c r="Q404" s="218"/>
    </row>
    <row r="405" spans="6:17">
      <c r="F405" s="210"/>
      <c r="G405" s="210"/>
      <c r="H405" s="210"/>
      <c r="I405" s="210"/>
      <c r="J405" s="210"/>
      <c r="K405" s="210"/>
      <c r="L405" s="210"/>
      <c r="M405" s="210"/>
      <c r="N405" s="210"/>
      <c r="O405" s="210"/>
      <c r="P405" s="210"/>
      <c r="Q405" s="218"/>
    </row>
    <row r="406" spans="6:17">
      <c r="F406" s="210"/>
      <c r="G406" s="210"/>
      <c r="H406" s="210"/>
      <c r="I406" s="210"/>
      <c r="J406" s="210"/>
      <c r="K406" s="210"/>
      <c r="L406" s="210"/>
      <c r="M406" s="210"/>
      <c r="N406" s="210"/>
      <c r="O406" s="210"/>
      <c r="P406" s="210"/>
      <c r="Q406" s="218"/>
    </row>
    <row r="407" spans="6:17">
      <c r="F407" s="210"/>
      <c r="G407" s="210"/>
      <c r="H407" s="210"/>
      <c r="I407" s="210"/>
      <c r="J407" s="210"/>
      <c r="K407" s="210"/>
      <c r="L407" s="210"/>
      <c r="M407" s="210"/>
      <c r="N407" s="210"/>
      <c r="O407" s="210"/>
      <c r="P407" s="210"/>
      <c r="Q407" s="218"/>
    </row>
    <row r="408" spans="6:17">
      <c r="F408" s="210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8"/>
    </row>
    <row r="409" spans="6:17"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8"/>
    </row>
    <row r="410" spans="6:17">
      <c r="F410" s="210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8"/>
    </row>
    <row r="411" spans="6:17">
      <c r="F411" s="210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8"/>
    </row>
    <row r="412" spans="6:17"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8"/>
    </row>
    <row r="413" spans="6:17"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8"/>
    </row>
    <row r="414" spans="6:17">
      <c r="F414" s="210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8"/>
    </row>
    <row r="415" spans="6:17">
      <c r="F415" s="210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8"/>
    </row>
    <row r="416" spans="6:17">
      <c r="F416" s="210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8"/>
    </row>
    <row r="417" spans="6:17">
      <c r="F417" s="210"/>
      <c r="G417" s="210"/>
      <c r="H417" s="210"/>
      <c r="I417" s="210"/>
      <c r="J417" s="210"/>
      <c r="K417" s="210"/>
      <c r="L417" s="210"/>
      <c r="M417" s="210"/>
      <c r="N417" s="210"/>
      <c r="O417" s="210"/>
      <c r="P417" s="210"/>
      <c r="Q417" s="218"/>
    </row>
    <row r="418" spans="6:17">
      <c r="F418" s="210"/>
      <c r="G418" s="210"/>
      <c r="H418" s="210"/>
      <c r="I418" s="210"/>
      <c r="J418" s="210"/>
      <c r="K418" s="210"/>
      <c r="L418" s="210"/>
      <c r="M418" s="210"/>
      <c r="N418" s="210"/>
      <c r="O418" s="210"/>
      <c r="P418" s="210"/>
      <c r="Q418" s="218"/>
    </row>
    <row r="419" spans="6:17">
      <c r="F419" s="210"/>
      <c r="G419" s="210"/>
      <c r="H419" s="210"/>
      <c r="I419" s="210"/>
      <c r="J419" s="210"/>
      <c r="K419" s="210"/>
      <c r="L419" s="210"/>
      <c r="M419" s="210"/>
      <c r="N419" s="210"/>
      <c r="O419" s="210"/>
      <c r="P419" s="210"/>
      <c r="Q419" s="218"/>
    </row>
    <row r="420" spans="6:17">
      <c r="F420" s="210"/>
      <c r="G420" s="210"/>
      <c r="H420" s="210"/>
      <c r="I420" s="210"/>
      <c r="J420" s="210"/>
      <c r="K420" s="210"/>
      <c r="L420" s="210"/>
      <c r="M420" s="210"/>
      <c r="N420" s="210"/>
      <c r="O420" s="210"/>
      <c r="P420" s="210"/>
      <c r="Q420" s="218"/>
    </row>
    <row r="421" spans="6:17">
      <c r="F421" s="210"/>
      <c r="G421" s="210"/>
      <c r="H421" s="210"/>
      <c r="I421" s="210"/>
      <c r="J421" s="210"/>
      <c r="K421" s="210"/>
      <c r="L421" s="210"/>
      <c r="M421" s="210"/>
      <c r="N421" s="210"/>
      <c r="O421" s="210"/>
      <c r="P421" s="210"/>
      <c r="Q421" s="218"/>
    </row>
    <row r="422" spans="6:17"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8"/>
    </row>
    <row r="423" spans="6:17">
      <c r="F423" s="210"/>
      <c r="G423" s="210"/>
      <c r="H423" s="210"/>
      <c r="I423" s="210"/>
      <c r="J423" s="210"/>
      <c r="K423" s="210"/>
      <c r="L423" s="210"/>
      <c r="M423" s="210"/>
      <c r="N423" s="210"/>
      <c r="O423" s="210"/>
      <c r="P423" s="210"/>
      <c r="Q423" s="218"/>
    </row>
    <row r="424" spans="6:17">
      <c r="F424" s="210"/>
      <c r="G424" s="210"/>
      <c r="H424" s="210"/>
      <c r="I424" s="210"/>
      <c r="J424" s="210"/>
      <c r="K424" s="210"/>
      <c r="L424" s="210"/>
      <c r="M424" s="210"/>
      <c r="N424" s="210"/>
      <c r="O424" s="210"/>
      <c r="P424" s="210"/>
      <c r="Q424" s="218"/>
    </row>
    <row r="425" spans="6:17">
      <c r="F425" s="210"/>
      <c r="G425" s="210"/>
      <c r="H425" s="210"/>
      <c r="I425" s="210"/>
      <c r="J425" s="210"/>
      <c r="K425" s="210"/>
      <c r="L425" s="210"/>
      <c r="M425" s="210"/>
      <c r="N425" s="210"/>
      <c r="O425" s="210"/>
      <c r="P425" s="210"/>
      <c r="Q425" s="218"/>
    </row>
    <row r="426" spans="6:17"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8"/>
    </row>
    <row r="427" spans="6:17"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8"/>
    </row>
    <row r="428" spans="6:17"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8"/>
    </row>
    <row r="429" spans="6:17"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8"/>
    </row>
    <row r="430" spans="6:17"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8"/>
    </row>
    <row r="431" spans="6:17">
      <c r="F431" s="210"/>
      <c r="G431" s="210"/>
      <c r="H431" s="210"/>
      <c r="I431" s="210"/>
      <c r="J431" s="210"/>
      <c r="K431" s="210"/>
      <c r="L431" s="210"/>
      <c r="M431" s="210"/>
      <c r="N431" s="210"/>
      <c r="O431" s="210"/>
      <c r="P431" s="210"/>
      <c r="Q431" s="218"/>
    </row>
    <row r="432" spans="6:17">
      <c r="F432" s="210"/>
      <c r="G432" s="210"/>
      <c r="H432" s="210"/>
      <c r="I432" s="210"/>
      <c r="J432" s="210"/>
      <c r="K432" s="210"/>
      <c r="L432" s="210"/>
      <c r="M432" s="210"/>
      <c r="N432" s="210"/>
      <c r="O432" s="210"/>
      <c r="P432" s="210"/>
      <c r="Q432" s="218"/>
    </row>
    <row r="433" spans="6:17"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210"/>
      <c r="Q433" s="218"/>
    </row>
    <row r="434" spans="6:17">
      <c r="F434" s="210"/>
      <c r="G434" s="210"/>
      <c r="H434" s="210"/>
      <c r="I434" s="210"/>
      <c r="J434" s="210"/>
      <c r="K434" s="210"/>
      <c r="L434" s="210"/>
      <c r="M434" s="210"/>
      <c r="N434" s="210"/>
      <c r="O434" s="210"/>
      <c r="P434" s="210"/>
      <c r="Q434" s="218"/>
    </row>
    <row r="435" spans="6:17"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8"/>
    </row>
    <row r="436" spans="6:17">
      <c r="F436" s="210"/>
      <c r="G436" s="210"/>
      <c r="H436" s="210"/>
      <c r="I436" s="210"/>
      <c r="J436" s="210"/>
      <c r="K436" s="210"/>
      <c r="L436" s="210"/>
      <c r="M436" s="210"/>
      <c r="N436" s="210"/>
      <c r="O436" s="210"/>
      <c r="P436" s="210"/>
      <c r="Q436" s="218"/>
    </row>
    <row r="437" spans="6:17">
      <c r="F437" s="210"/>
      <c r="G437" s="210"/>
      <c r="H437" s="210"/>
      <c r="I437" s="210"/>
      <c r="J437" s="210"/>
      <c r="K437" s="210"/>
      <c r="L437" s="210"/>
      <c r="M437" s="210"/>
      <c r="N437" s="210"/>
      <c r="O437" s="210"/>
      <c r="P437" s="210"/>
      <c r="Q437" s="218"/>
    </row>
    <row r="438" spans="6:17"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8"/>
    </row>
    <row r="439" spans="6:17"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8"/>
    </row>
    <row r="440" spans="6:17"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8"/>
    </row>
    <row r="441" spans="6:17"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8"/>
    </row>
    <row r="442" spans="6:17"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8"/>
    </row>
    <row r="443" spans="6:17"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8"/>
    </row>
    <row r="444" spans="6:17"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8"/>
    </row>
    <row r="445" spans="6:17"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8"/>
    </row>
    <row r="446" spans="6:17"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8"/>
    </row>
    <row r="447" spans="6:17">
      <c r="F447" s="210"/>
      <c r="G447" s="210"/>
      <c r="H447" s="210"/>
      <c r="I447" s="210"/>
      <c r="J447" s="210"/>
      <c r="K447" s="210"/>
      <c r="L447" s="210"/>
      <c r="M447" s="210"/>
      <c r="N447" s="210"/>
      <c r="O447" s="210"/>
      <c r="P447" s="210"/>
      <c r="Q447" s="218"/>
    </row>
    <row r="448" spans="6:17"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8"/>
    </row>
    <row r="449" spans="6:17"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8"/>
    </row>
    <row r="450" spans="6:17"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8"/>
    </row>
    <row r="451" spans="6:17"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8"/>
    </row>
    <row r="452" spans="6:17"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8"/>
    </row>
    <row r="453" spans="6:17"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8"/>
    </row>
    <row r="454" spans="6:17"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8"/>
    </row>
    <row r="455" spans="6:17">
      <c r="F455" s="210"/>
      <c r="G455" s="210"/>
      <c r="H455" s="210"/>
      <c r="I455" s="210"/>
      <c r="J455" s="210"/>
      <c r="K455" s="210"/>
      <c r="L455" s="210"/>
      <c r="M455" s="210"/>
      <c r="N455" s="210"/>
      <c r="O455" s="210"/>
      <c r="P455" s="210"/>
      <c r="Q455" s="218"/>
    </row>
    <row r="456" spans="6:17">
      <c r="F456" s="210"/>
      <c r="G456" s="210"/>
      <c r="H456" s="210"/>
      <c r="I456" s="210"/>
      <c r="J456" s="210"/>
      <c r="K456" s="210"/>
      <c r="L456" s="210"/>
      <c r="M456" s="210"/>
      <c r="N456" s="210"/>
      <c r="O456" s="210"/>
      <c r="P456" s="210"/>
      <c r="Q456" s="218"/>
    </row>
    <row r="457" spans="6:17">
      <c r="F457" s="210"/>
      <c r="G457" s="210"/>
      <c r="H457" s="210"/>
      <c r="I457" s="210"/>
      <c r="J457" s="210"/>
      <c r="K457" s="210"/>
      <c r="L457" s="210"/>
      <c r="M457" s="210"/>
      <c r="N457" s="210"/>
      <c r="O457" s="210"/>
      <c r="P457" s="210"/>
      <c r="Q457" s="218"/>
    </row>
    <row r="458" spans="6:17">
      <c r="F458" s="210"/>
      <c r="G458" s="210"/>
      <c r="H458" s="210"/>
      <c r="I458" s="210"/>
      <c r="J458" s="210"/>
      <c r="K458" s="210"/>
      <c r="L458" s="210"/>
      <c r="M458" s="210"/>
      <c r="N458" s="210"/>
      <c r="O458" s="210"/>
      <c r="P458" s="210"/>
      <c r="Q458" s="218"/>
    </row>
    <row r="459" spans="6:17">
      <c r="F459" s="210"/>
      <c r="G459" s="210"/>
      <c r="H459" s="210"/>
      <c r="I459" s="210"/>
      <c r="J459" s="210"/>
      <c r="K459" s="210"/>
      <c r="L459" s="210"/>
      <c r="M459" s="210"/>
      <c r="N459" s="210"/>
      <c r="O459" s="210"/>
      <c r="P459" s="210"/>
      <c r="Q459" s="218"/>
    </row>
    <row r="460" spans="6:17">
      <c r="F460" s="210"/>
      <c r="G460" s="210"/>
      <c r="H460" s="210"/>
      <c r="I460" s="210"/>
      <c r="J460" s="210"/>
      <c r="K460" s="210"/>
      <c r="L460" s="210"/>
      <c r="M460" s="210"/>
      <c r="N460" s="210"/>
      <c r="O460" s="210"/>
      <c r="P460" s="210"/>
      <c r="Q460" s="218"/>
    </row>
    <row r="461" spans="6:17"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8"/>
    </row>
    <row r="462" spans="6:17">
      <c r="F462" s="210"/>
      <c r="G462" s="210"/>
      <c r="H462" s="210"/>
      <c r="I462" s="210"/>
      <c r="J462" s="210"/>
      <c r="K462" s="210"/>
      <c r="L462" s="210"/>
      <c r="M462" s="210"/>
      <c r="N462" s="210"/>
      <c r="O462" s="210"/>
      <c r="P462" s="210"/>
      <c r="Q462" s="218"/>
    </row>
    <row r="463" spans="6:17">
      <c r="F463" s="210"/>
      <c r="G463" s="210"/>
      <c r="H463" s="210"/>
      <c r="I463" s="210"/>
      <c r="J463" s="210"/>
      <c r="K463" s="210"/>
      <c r="L463" s="210"/>
      <c r="M463" s="210"/>
      <c r="N463" s="210"/>
      <c r="O463" s="210"/>
      <c r="P463" s="210"/>
      <c r="Q463" s="218"/>
    </row>
    <row r="464" spans="6:17">
      <c r="F464" s="210"/>
      <c r="G464" s="210"/>
      <c r="H464" s="210"/>
      <c r="I464" s="210"/>
      <c r="J464" s="210"/>
      <c r="K464" s="210"/>
      <c r="L464" s="210"/>
      <c r="M464" s="210"/>
      <c r="N464" s="210"/>
      <c r="O464" s="210"/>
      <c r="P464" s="210"/>
      <c r="Q464" s="218"/>
    </row>
    <row r="465" spans="6:17">
      <c r="F465" s="210"/>
      <c r="G465" s="210"/>
      <c r="H465" s="210"/>
      <c r="I465" s="210"/>
      <c r="J465" s="210"/>
      <c r="K465" s="210"/>
      <c r="L465" s="210"/>
      <c r="M465" s="210"/>
      <c r="N465" s="210"/>
      <c r="O465" s="210"/>
      <c r="P465" s="210"/>
      <c r="Q465" s="218"/>
    </row>
    <row r="466" spans="6:17">
      <c r="F466" s="210"/>
      <c r="G466" s="210"/>
      <c r="H466" s="210"/>
      <c r="I466" s="210"/>
      <c r="J466" s="210"/>
      <c r="K466" s="210"/>
      <c r="L466" s="210"/>
      <c r="M466" s="210"/>
      <c r="N466" s="210"/>
      <c r="O466" s="210"/>
      <c r="P466" s="210"/>
      <c r="Q466" s="218"/>
    </row>
    <row r="467" spans="6:17">
      <c r="F467" s="210"/>
      <c r="G467" s="210"/>
      <c r="H467" s="210"/>
      <c r="I467" s="210"/>
      <c r="J467" s="210"/>
      <c r="K467" s="210"/>
      <c r="L467" s="210"/>
      <c r="M467" s="210"/>
      <c r="N467" s="210"/>
      <c r="O467" s="210"/>
      <c r="P467" s="210"/>
      <c r="Q467" s="218"/>
    </row>
    <row r="468" spans="6:17">
      <c r="F468" s="210"/>
      <c r="G468" s="210"/>
      <c r="H468" s="210"/>
      <c r="I468" s="210"/>
      <c r="J468" s="210"/>
      <c r="K468" s="210"/>
      <c r="L468" s="210"/>
      <c r="M468" s="210"/>
      <c r="N468" s="210"/>
      <c r="O468" s="210"/>
      <c r="P468" s="210"/>
      <c r="Q468" s="218"/>
    </row>
    <row r="469" spans="6:17">
      <c r="F469" s="210"/>
      <c r="G469" s="210"/>
      <c r="H469" s="210"/>
      <c r="I469" s="210"/>
      <c r="J469" s="210"/>
      <c r="K469" s="210"/>
      <c r="L469" s="210"/>
      <c r="M469" s="210"/>
      <c r="N469" s="210"/>
      <c r="O469" s="210"/>
      <c r="P469" s="210"/>
      <c r="Q469" s="218"/>
    </row>
    <row r="470" spans="6:17">
      <c r="F470" s="210"/>
      <c r="G470" s="210"/>
      <c r="H470" s="210"/>
      <c r="I470" s="210"/>
      <c r="J470" s="210"/>
      <c r="K470" s="210"/>
      <c r="L470" s="210"/>
      <c r="M470" s="210"/>
      <c r="N470" s="210"/>
      <c r="O470" s="210"/>
      <c r="P470" s="210"/>
      <c r="Q470" s="218"/>
    </row>
    <row r="471" spans="6:17"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8"/>
    </row>
    <row r="472" spans="6:17"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8"/>
    </row>
    <row r="473" spans="6:17">
      <c r="F473" s="210"/>
      <c r="G473" s="210"/>
      <c r="H473" s="210"/>
      <c r="I473" s="210"/>
      <c r="J473" s="210"/>
      <c r="K473" s="210"/>
      <c r="L473" s="210"/>
      <c r="M473" s="210"/>
      <c r="N473" s="210"/>
      <c r="O473" s="210"/>
      <c r="P473" s="210"/>
      <c r="Q473" s="218"/>
    </row>
    <row r="474" spans="6:17"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8"/>
    </row>
    <row r="475" spans="6:17">
      <c r="F475" s="210"/>
      <c r="G475" s="210"/>
      <c r="H475" s="210"/>
      <c r="I475" s="210"/>
      <c r="J475" s="210"/>
      <c r="K475" s="210"/>
      <c r="L475" s="210"/>
      <c r="M475" s="210"/>
      <c r="N475" s="210"/>
      <c r="O475" s="210"/>
      <c r="P475" s="210"/>
      <c r="Q475" s="218"/>
    </row>
    <row r="476" spans="6:17">
      <c r="F476" s="210"/>
      <c r="G476" s="210"/>
      <c r="H476" s="210"/>
      <c r="I476" s="210"/>
      <c r="J476" s="210"/>
      <c r="K476" s="210"/>
      <c r="L476" s="210"/>
      <c r="M476" s="210"/>
      <c r="N476" s="210"/>
      <c r="O476" s="210"/>
      <c r="P476" s="210"/>
      <c r="Q476" s="218"/>
    </row>
    <row r="477" spans="6:17">
      <c r="F477" s="210"/>
      <c r="G477" s="210"/>
      <c r="H477" s="210"/>
      <c r="I477" s="210"/>
      <c r="J477" s="210"/>
      <c r="K477" s="210"/>
      <c r="L477" s="210"/>
      <c r="M477" s="210"/>
      <c r="N477" s="210"/>
      <c r="O477" s="210"/>
      <c r="P477" s="210"/>
      <c r="Q477" s="218"/>
    </row>
    <row r="478" spans="6:17">
      <c r="F478" s="210"/>
      <c r="G478" s="210"/>
      <c r="H478" s="210"/>
      <c r="I478" s="210"/>
      <c r="J478" s="210"/>
      <c r="K478" s="210"/>
      <c r="L478" s="210"/>
      <c r="M478" s="210"/>
      <c r="N478" s="210"/>
      <c r="O478" s="210"/>
      <c r="P478" s="210"/>
      <c r="Q478" s="218"/>
    </row>
    <row r="479" spans="6:17"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8"/>
    </row>
    <row r="480" spans="6:17"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8"/>
    </row>
    <row r="481" spans="6:17">
      <c r="F481" s="210"/>
      <c r="G481" s="210"/>
      <c r="H481" s="210"/>
      <c r="I481" s="210"/>
      <c r="J481" s="210"/>
      <c r="K481" s="210"/>
      <c r="L481" s="210"/>
      <c r="M481" s="210"/>
      <c r="N481" s="210"/>
      <c r="O481" s="210"/>
      <c r="P481" s="210"/>
      <c r="Q481" s="218"/>
    </row>
    <row r="482" spans="6:17">
      <c r="F482" s="210"/>
      <c r="G482" s="210"/>
      <c r="H482" s="210"/>
      <c r="I482" s="210"/>
      <c r="J482" s="210"/>
      <c r="K482" s="210"/>
      <c r="L482" s="210"/>
      <c r="M482" s="210"/>
      <c r="N482" s="210"/>
      <c r="O482" s="210"/>
      <c r="P482" s="210"/>
      <c r="Q482" s="218"/>
    </row>
    <row r="483" spans="6:17">
      <c r="F483" s="210"/>
      <c r="G483" s="210"/>
      <c r="H483" s="210"/>
      <c r="I483" s="210"/>
      <c r="J483" s="210"/>
      <c r="K483" s="210"/>
      <c r="L483" s="210"/>
      <c r="M483" s="210"/>
      <c r="N483" s="210"/>
      <c r="O483" s="210"/>
      <c r="P483" s="210"/>
      <c r="Q483" s="218"/>
    </row>
    <row r="484" spans="6:17">
      <c r="F484" s="210"/>
      <c r="G484" s="210"/>
      <c r="H484" s="210"/>
      <c r="I484" s="210"/>
      <c r="J484" s="210"/>
      <c r="K484" s="210"/>
      <c r="L484" s="210"/>
      <c r="M484" s="210"/>
      <c r="N484" s="210"/>
      <c r="O484" s="210"/>
      <c r="P484" s="210"/>
      <c r="Q484" s="218"/>
    </row>
    <row r="485" spans="6:17">
      <c r="F485" s="210"/>
      <c r="G485" s="210"/>
      <c r="H485" s="210"/>
      <c r="I485" s="210"/>
      <c r="J485" s="210"/>
      <c r="K485" s="210"/>
      <c r="L485" s="210"/>
      <c r="M485" s="210"/>
      <c r="N485" s="210"/>
      <c r="O485" s="210"/>
      <c r="P485" s="210"/>
      <c r="Q485" s="218"/>
    </row>
    <row r="486" spans="6:17">
      <c r="F486" s="210"/>
      <c r="G486" s="210"/>
      <c r="H486" s="210"/>
      <c r="I486" s="210"/>
      <c r="J486" s="210"/>
      <c r="K486" s="210"/>
      <c r="L486" s="210"/>
      <c r="M486" s="210"/>
      <c r="N486" s="210"/>
      <c r="O486" s="210"/>
      <c r="P486" s="210"/>
      <c r="Q486" s="218"/>
    </row>
    <row r="487" spans="6:17"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8"/>
    </row>
    <row r="488" spans="6:17">
      <c r="F488" s="210"/>
      <c r="G488" s="210"/>
      <c r="H488" s="210"/>
      <c r="I488" s="210"/>
      <c r="J488" s="210"/>
      <c r="K488" s="210"/>
      <c r="L488" s="210"/>
      <c r="M488" s="210"/>
      <c r="N488" s="210"/>
      <c r="O488" s="210"/>
      <c r="P488" s="210"/>
      <c r="Q488" s="218"/>
    </row>
    <row r="489" spans="6:17">
      <c r="F489" s="210"/>
      <c r="G489" s="210"/>
      <c r="H489" s="210"/>
      <c r="I489" s="210"/>
      <c r="J489" s="210"/>
      <c r="K489" s="210"/>
      <c r="L489" s="210"/>
      <c r="M489" s="210"/>
      <c r="N489" s="210"/>
      <c r="O489" s="210"/>
      <c r="P489" s="210"/>
      <c r="Q489" s="218"/>
    </row>
    <row r="490" spans="6:17">
      <c r="F490" s="210"/>
      <c r="G490" s="210"/>
      <c r="H490" s="210"/>
      <c r="I490" s="210"/>
      <c r="J490" s="210"/>
      <c r="K490" s="210"/>
      <c r="L490" s="210"/>
      <c r="M490" s="210"/>
      <c r="N490" s="210"/>
      <c r="O490" s="210"/>
      <c r="P490" s="210"/>
      <c r="Q490" s="218"/>
    </row>
    <row r="491" spans="6:17">
      <c r="F491" s="210"/>
      <c r="G491" s="210"/>
      <c r="H491" s="210"/>
      <c r="I491" s="210"/>
      <c r="J491" s="210"/>
      <c r="K491" s="210"/>
      <c r="L491" s="210"/>
      <c r="M491" s="210"/>
      <c r="N491" s="210"/>
      <c r="O491" s="210"/>
      <c r="P491" s="210"/>
      <c r="Q491" s="218"/>
    </row>
    <row r="492" spans="6:17">
      <c r="F492" s="210"/>
      <c r="G492" s="210"/>
      <c r="H492" s="210"/>
      <c r="I492" s="210"/>
      <c r="J492" s="210"/>
      <c r="K492" s="210"/>
      <c r="L492" s="210"/>
      <c r="M492" s="210"/>
      <c r="N492" s="210"/>
      <c r="O492" s="210"/>
      <c r="P492" s="210"/>
      <c r="Q492" s="218"/>
    </row>
    <row r="493" spans="6:17">
      <c r="F493" s="210"/>
      <c r="G493" s="210"/>
      <c r="H493" s="210"/>
      <c r="I493" s="210"/>
      <c r="J493" s="210"/>
      <c r="K493" s="210"/>
      <c r="L493" s="210"/>
      <c r="M493" s="210"/>
      <c r="N493" s="210"/>
      <c r="O493" s="210"/>
      <c r="P493" s="210"/>
      <c r="Q493" s="218"/>
    </row>
    <row r="494" spans="6:17">
      <c r="F494" s="210"/>
      <c r="G494" s="210"/>
      <c r="H494" s="210"/>
      <c r="I494" s="210"/>
      <c r="J494" s="210"/>
      <c r="K494" s="210"/>
      <c r="L494" s="210"/>
      <c r="M494" s="210"/>
      <c r="N494" s="210"/>
      <c r="O494" s="210"/>
      <c r="P494" s="210"/>
      <c r="Q494" s="218"/>
    </row>
    <row r="495" spans="6:17">
      <c r="F495" s="210"/>
      <c r="G495" s="210"/>
      <c r="H495" s="210"/>
      <c r="I495" s="210"/>
      <c r="J495" s="210"/>
      <c r="K495" s="210"/>
      <c r="L495" s="210"/>
      <c r="M495" s="210"/>
      <c r="N495" s="210"/>
      <c r="O495" s="210"/>
      <c r="P495" s="210"/>
      <c r="Q495" s="218"/>
    </row>
    <row r="496" spans="6:17">
      <c r="F496" s="210"/>
      <c r="G496" s="210"/>
      <c r="H496" s="210"/>
      <c r="I496" s="210"/>
      <c r="J496" s="210"/>
      <c r="K496" s="210"/>
      <c r="L496" s="210"/>
      <c r="M496" s="210"/>
      <c r="N496" s="210"/>
      <c r="O496" s="210"/>
      <c r="P496" s="210"/>
      <c r="Q496" s="218"/>
    </row>
    <row r="497" spans="6:17">
      <c r="F497" s="210"/>
      <c r="G497" s="210"/>
      <c r="H497" s="210"/>
      <c r="I497" s="210"/>
      <c r="J497" s="210"/>
      <c r="K497" s="210"/>
      <c r="L497" s="210"/>
      <c r="M497" s="210"/>
      <c r="N497" s="210"/>
      <c r="O497" s="210"/>
      <c r="P497" s="210"/>
      <c r="Q497" s="218"/>
    </row>
    <row r="498" spans="6:17">
      <c r="F498" s="210"/>
      <c r="G498" s="210"/>
      <c r="H498" s="210"/>
      <c r="I498" s="210"/>
      <c r="J498" s="210"/>
      <c r="K498" s="210"/>
      <c r="L498" s="210"/>
      <c r="M498" s="210"/>
      <c r="N498" s="210"/>
      <c r="O498" s="210"/>
      <c r="P498" s="210"/>
      <c r="Q498" s="218"/>
    </row>
    <row r="499" spans="6:17">
      <c r="F499" s="210"/>
      <c r="G499" s="210"/>
      <c r="H499" s="210"/>
      <c r="I499" s="210"/>
      <c r="J499" s="210"/>
      <c r="K499" s="210"/>
      <c r="L499" s="210"/>
      <c r="M499" s="210"/>
      <c r="N499" s="210"/>
      <c r="O499" s="210"/>
      <c r="P499" s="210"/>
      <c r="Q499" s="218"/>
    </row>
    <row r="500" spans="6:17"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8"/>
    </row>
    <row r="501" spans="6:17">
      <c r="F501" s="210"/>
      <c r="G501" s="210"/>
      <c r="H501" s="210"/>
      <c r="I501" s="210"/>
      <c r="J501" s="210"/>
      <c r="K501" s="210"/>
      <c r="L501" s="210"/>
      <c r="M501" s="210"/>
      <c r="N501" s="210"/>
      <c r="O501" s="210"/>
      <c r="P501" s="210"/>
      <c r="Q501" s="21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66" customWidth="1"/>
    <col min="2" max="2" width="15.73046875" style="166" bestFit="1" customWidth="1"/>
    <col min="3" max="3" width="15.86328125" style="166" bestFit="1" customWidth="1"/>
    <col min="4" max="4" width="15.1328125" style="166" bestFit="1" customWidth="1"/>
    <col min="5" max="5" width="16.3984375" style="166" bestFit="1" customWidth="1"/>
    <col min="6" max="6" width="16.59765625" style="166" bestFit="1" customWidth="1"/>
    <col min="7" max="7" width="15" style="166" bestFit="1" customWidth="1"/>
    <col min="8" max="8" width="15.1328125" style="166" bestFit="1" customWidth="1"/>
    <col min="9" max="9" width="16.3984375" style="166" bestFit="1" customWidth="1"/>
    <col min="10" max="10" width="15" style="166" bestFit="1" customWidth="1"/>
    <col min="11" max="11" width="15.1328125" style="166" bestFit="1" customWidth="1"/>
    <col min="12" max="12" width="15.59765625" style="166" customWidth="1"/>
    <col min="13" max="13" width="15" style="166" bestFit="1" customWidth="1"/>
    <col min="14" max="14" width="17" style="166" bestFit="1" customWidth="1"/>
    <col min="15" max="15" width="7.73046875" style="166"/>
    <col min="16" max="16" width="23" style="166" bestFit="1" customWidth="1"/>
    <col min="17" max="17" width="10.86328125" style="166" bestFit="1" customWidth="1"/>
    <col min="18" max="16384" width="7.73046875" style="166"/>
  </cols>
  <sheetData>
    <row r="1" spans="1:17">
      <c r="A1" s="273" t="s">
        <v>74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7" ht="20.65">
      <c r="A2" s="274" t="s">
        <v>132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7" ht="22.5">
      <c r="A3" s="275" t="s">
        <v>223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</row>
    <row r="4" spans="1:17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7" spans="1:17" ht="27" customHeight="1">
      <c r="A7" s="167" t="s">
        <v>133</v>
      </c>
      <c r="B7" s="168">
        <v>43861</v>
      </c>
      <c r="C7" s="168">
        <v>43890</v>
      </c>
      <c r="D7" s="168">
        <v>43921</v>
      </c>
      <c r="E7" s="168">
        <v>43951</v>
      </c>
      <c r="F7" s="168">
        <v>43982</v>
      </c>
      <c r="G7" s="168">
        <v>44012</v>
      </c>
      <c r="H7" s="168">
        <v>44043</v>
      </c>
      <c r="I7" s="168">
        <v>44074</v>
      </c>
      <c r="J7" s="168">
        <v>44104</v>
      </c>
      <c r="K7" s="168">
        <v>44135</v>
      </c>
      <c r="L7" s="168">
        <v>44165</v>
      </c>
      <c r="M7" s="168">
        <v>44196</v>
      </c>
      <c r="N7" s="169" t="s">
        <v>127</v>
      </c>
    </row>
    <row r="8" spans="1:17" ht="24.95" customHeight="1">
      <c r="A8" s="170" t="s">
        <v>126</v>
      </c>
      <c r="B8" s="171">
        <v>537509</v>
      </c>
      <c r="C8" s="171">
        <v>504892</v>
      </c>
      <c r="D8" s="171">
        <v>472625</v>
      </c>
      <c r="E8" s="171">
        <v>438639</v>
      </c>
      <c r="F8" s="171">
        <v>380708</v>
      </c>
      <c r="G8" s="171">
        <v>388252</v>
      </c>
      <c r="H8" s="171">
        <v>401727</v>
      </c>
      <c r="I8" s="171">
        <v>478013</v>
      </c>
      <c r="J8" s="171">
        <v>471186</v>
      </c>
      <c r="K8" s="171">
        <v>0</v>
      </c>
      <c r="L8" s="171">
        <v>0</v>
      </c>
      <c r="M8" s="171">
        <v>0</v>
      </c>
      <c r="N8" s="60">
        <v>4073551</v>
      </c>
      <c r="P8" s="172"/>
    </row>
    <row r="9" spans="1:17" ht="24.95" customHeight="1">
      <c r="A9" s="173" t="s">
        <v>128</v>
      </c>
      <c r="B9" s="171">
        <v>-301275</v>
      </c>
      <c r="C9" s="174">
        <v>-299486</v>
      </c>
      <c r="D9" s="174">
        <v>-269928</v>
      </c>
      <c r="E9" s="174">
        <v>-266976</v>
      </c>
      <c r="F9" s="174">
        <v>-231127</v>
      </c>
      <c r="G9" s="174">
        <v>-236448</v>
      </c>
      <c r="H9" s="174">
        <v>-231909</v>
      </c>
      <c r="I9" s="174">
        <v>-287179</v>
      </c>
      <c r="J9" s="174">
        <v>-289870</v>
      </c>
      <c r="K9" s="174">
        <v>0</v>
      </c>
      <c r="L9" s="174">
        <v>0</v>
      </c>
      <c r="M9" s="174">
        <v>0</v>
      </c>
      <c r="N9" s="60">
        <v>-2414198</v>
      </c>
    </row>
    <row r="10" spans="1:17" ht="24.95" customHeight="1">
      <c r="A10" s="173" t="s">
        <v>129</v>
      </c>
      <c r="B10" s="171">
        <v>299486</v>
      </c>
      <c r="C10" s="171">
        <v>269928</v>
      </c>
      <c r="D10" s="171">
        <v>266976</v>
      </c>
      <c r="E10" s="171">
        <v>231127</v>
      </c>
      <c r="F10" s="171">
        <v>236448</v>
      </c>
      <c r="G10" s="171">
        <v>231909</v>
      </c>
      <c r="H10" s="171">
        <v>287179</v>
      </c>
      <c r="I10" s="171">
        <v>289870</v>
      </c>
      <c r="J10" s="171">
        <v>247708</v>
      </c>
      <c r="K10" s="171">
        <v>0</v>
      </c>
      <c r="L10" s="171">
        <v>0</v>
      </c>
      <c r="M10" s="171">
        <v>0</v>
      </c>
      <c r="N10" s="60">
        <v>2360631</v>
      </c>
      <c r="P10" s="175"/>
      <c r="Q10" s="175"/>
    </row>
    <row r="11" spans="1:17" ht="30.75" customHeight="1">
      <c r="A11" s="176" t="s">
        <v>134</v>
      </c>
      <c r="B11" s="177">
        <v>535720</v>
      </c>
      <c r="C11" s="177">
        <v>475334</v>
      </c>
      <c r="D11" s="177">
        <v>469673</v>
      </c>
      <c r="E11" s="177">
        <v>402790</v>
      </c>
      <c r="F11" s="177">
        <v>386029</v>
      </c>
      <c r="G11" s="177">
        <v>383713</v>
      </c>
      <c r="H11" s="177">
        <v>456997</v>
      </c>
      <c r="I11" s="177">
        <v>480704</v>
      </c>
      <c r="J11" s="177">
        <v>429024</v>
      </c>
      <c r="K11" s="177">
        <v>0</v>
      </c>
      <c r="L11" s="177">
        <v>0</v>
      </c>
      <c r="M11" s="177">
        <v>0</v>
      </c>
      <c r="N11" s="178">
        <v>4019984</v>
      </c>
      <c r="P11" s="179"/>
      <c r="Q11" s="172"/>
    </row>
    <row r="12" spans="1:17" ht="32.25" customHeight="1">
      <c r="A12" s="180" t="s">
        <v>135</v>
      </c>
      <c r="B12" s="181">
        <v>556117</v>
      </c>
      <c r="C12" s="181">
        <v>486363</v>
      </c>
      <c r="D12" s="181">
        <v>477535</v>
      </c>
      <c r="E12" s="181">
        <v>431246</v>
      </c>
      <c r="F12" s="181">
        <v>432473</v>
      </c>
      <c r="G12" s="181">
        <v>424693</v>
      </c>
      <c r="H12" s="181">
        <v>490670</v>
      </c>
      <c r="I12" s="181">
        <v>464617</v>
      </c>
      <c r="J12" s="181">
        <v>435934</v>
      </c>
      <c r="K12" s="181">
        <v>436959</v>
      </c>
      <c r="L12" s="181">
        <v>468856</v>
      </c>
      <c r="M12" s="181">
        <v>553150</v>
      </c>
      <c r="N12" s="182">
        <v>4199648</v>
      </c>
      <c r="P12" s="183" t="s">
        <v>140</v>
      </c>
    </row>
    <row r="13" spans="1:17" ht="38.25" customHeight="1">
      <c r="A13" s="184" t="s">
        <v>130</v>
      </c>
      <c r="B13" s="61">
        <v>-20397</v>
      </c>
      <c r="C13" s="61">
        <v>-11029</v>
      </c>
      <c r="D13" s="61">
        <v>-7862</v>
      </c>
      <c r="E13" s="61">
        <v>-28456</v>
      </c>
      <c r="F13" s="61">
        <v>-46444</v>
      </c>
      <c r="G13" s="61">
        <v>-40980</v>
      </c>
      <c r="H13" s="61">
        <v>-33673</v>
      </c>
      <c r="I13" s="61">
        <v>16087</v>
      </c>
      <c r="J13" s="61">
        <v>-6910</v>
      </c>
      <c r="K13" s="61" t="s">
        <v>25</v>
      </c>
      <c r="L13" s="61" t="s">
        <v>25</v>
      </c>
      <c r="M13" s="61" t="s">
        <v>25</v>
      </c>
      <c r="N13" s="185">
        <v>-179664</v>
      </c>
    </row>
    <row r="14" spans="1:17" ht="42.75" customHeight="1">
      <c r="A14" s="184" t="s">
        <v>136</v>
      </c>
      <c r="B14" s="186">
        <v>18.11</v>
      </c>
      <c r="C14" s="186">
        <v>18.11</v>
      </c>
      <c r="D14" s="186">
        <v>18.11</v>
      </c>
      <c r="E14" s="186">
        <v>18.11</v>
      </c>
      <c r="F14" s="186">
        <v>18.11</v>
      </c>
      <c r="G14" s="186">
        <v>18.11</v>
      </c>
      <c r="H14" s="186">
        <v>18.11</v>
      </c>
      <c r="I14" s="186">
        <v>18.11</v>
      </c>
      <c r="J14" s="186">
        <v>18.11</v>
      </c>
      <c r="K14" s="186">
        <v>18.11</v>
      </c>
      <c r="L14" s="186">
        <v>18.11</v>
      </c>
      <c r="M14" s="186">
        <v>18.11</v>
      </c>
      <c r="N14" s="60"/>
    </row>
    <row r="15" spans="1:17" ht="30.75" customHeight="1" thickBot="1">
      <c r="A15" s="187" t="s">
        <v>137</v>
      </c>
      <c r="B15" s="188">
        <v>-369390</v>
      </c>
      <c r="C15" s="188">
        <v>-199735</v>
      </c>
      <c r="D15" s="188">
        <v>-142381</v>
      </c>
      <c r="E15" s="188">
        <v>-515338</v>
      </c>
      <c r="F15" s="188">
        <v>-841101</v>
      </c>
      <c r="G15" s="188">
        <v>-742148</v>
      </c>
      <c r="H15" s="188">
        <v>-609818</v>
      </c>
      <c r="I15" s="188">
        <v>291336</v>
      </c>
      <c r="J15" s="188">
        <v>-125140</v>
      </c>
      <c r="K15" s="188">
        <v>0</v>
      </c>
      <c r="L15" s="188">
        <v>0</v>
      </c>
      <c r="M15" s="188">
        <v>0</v>
      </c>
      <c r="N15" s="188">
        <v>-3253715</v>
      </c>
    </row>
    <row r="16" spans="1:17" ht="20.100000000000001" customHeight="1" thickTop="1">
      <c r="G16" s="189"/>
      <c r="N16" s="172"/>
    </row>
    <row r="17" spans="1:14" ht="20.100000000000001" customHeight="1">
      <c r="A17" s="190"/>
      <c r="N17" s="172"/>
    </row>
    <row r="18" spans="1:14" ht="36.75" customHeight="1">
      <c r="A18" s="191" t="s">
        <v>138</v>
      </c>
      <c r="B18" s="192">
        <v>43861</v>
      </c>
      <c r="C18" s="192">
        <v>43890</v>
      </c>
      <c r="D18" s="192">
        <v>43921</v>
      </c>
      <c r="E18" s="192">
        <v>43951</v>
      </c>
      <c r="F18" s="192">
        <v>43982</v>
      </c>
      <c r="G18" s="192">
        <v>44012</v>
      </c>
      <c r="H18" s="192">
        <v>44043</v>
      </c>
      <c r="I18" s="192">
        <v>44074</v>
      </c>
      <c r="J18" s="192">
        <v>44104</v>
      </c>
      <c r="K18" s="192">
        <v>44135</v>
      </c>
      <c r="L18" s="192">
        <v>44165</v>
      </c>
      <c r="M18" s="192">
        <v>44196</v>
      </c>
      <c r="N18" s="168" t="s">
        <v>127</v>
      </c>
    </row>
    <row r="19" spans="1:14" ht="29.25" customHeight="1">
      <c r="A19" s="193" t="s">
        <v>2</v>
      </c>
      <c r="B19" s="194">
        <v>369390</v>
      </c>
      <c r="C19" s="194">
        <v>199735</v>
      </c>
      <c r="D19" s="194">
        <v>142381</v>
      </c>
      <c r="E19" s="194">
        <v>515338</v>
      </c>
      <c r="F19" s="194">
        <v>841101</v>
      </c>
      <c r="G19" s="194">
        <v>742148</v>
      </c>
      <c r="H19" s="194">
        <v>609818</v>
      </c>
      <c r="I19" s="194">
        <v>-291336</v>
      </c>
      <c r="J19" s="194">
        <v>125140</v>
      </c>
      <c r="K19" s="194" t="s">
        <v>25</v>
      </c>
      <c r="L19" s="194" t="s">
        <v>25</v>
      </c>
      <c r="M19" s="194" t="s">
        <v>25</v>
      </c>
      <c r="N19" s="194">
        <v>3253715</v>
      </c>
    </row>
    <row r="20" spans="1:14">
      <c r="A20" s="195"/>
      <c r="B20" s="196" t="s">
        <v>233</v>
      </c>
      <c r="C20" s="196" t="s">
        <v>233</v>
      </c>
      <c r="D20" s="196" t="s">
        <v>233</v>
      </c>
      <c r="E20" s="196" t="s">
        <v>233</v>
      </c>
      <c r="F20" s="196" t="s">
        <v>233</v>
      </c>
      <c r="G20" s="196" t="s">
        <v>233</v>
      </c>
      <c r="H20" s="196" t="s">
        <v>233</v>
      </c>
      <c r="I20" s="196" t="s">
        <v>234</v>
      </c>
      <c r="J20" s="196" t="s">
        <v>233</v>
      </c>
      <c r="K20" s="196" t="s">
        <v>233</v>
      </c>
      <c r="L20" s="196" t="s">
        <v>233</v>
      </c>
      <c r="M20" s="196" t="s">
        <v>233</v>
      </c>
      <c r="N20" s="196" t="s">
        <v>233</v>
      </c>
    </row>
    <row r="23" spans="1:14">
      <c r="G23" s="172"/>
    </row>
    <row r="32" spans="1:14" ht="15.4">
      <c r="A32" s="19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workbookViewId="0">
      <selection activeCell="E6" sqref="E6"/>
    </sheetView>
  </sheetViews>
  <sheetFormatPr defaultRowHeight="12.75"/>
  <cols>
    <col min="1" max="1" width="40.59765625" style="125" bestFit="1" customWidth="1"/>
    <col min="2" max="2" width="11.265625" bestFit="1" customWidth="1"/>
    <col min="3" max="14" width="12.86328125" bestFit="1" customWidth="1"/>
  </cols>
  <sheetData>
    <row r="1" spans="1:14" ht="13.15">
      <c r="C1" s="126">
        <v>43831</v>
      </c>
      <c r="D1" s="126">
        <v>43862</v>
      </c>
      <c r="E1" s="126">
        <v>43891</v>
      </c>
      <c r="F1" s="126">
        <v>43922</v>
      </c>
      <c r="G1" s="126">
        <v>43952</v>
      </c>
      <c r="H1" s="126">
        <v>43983</v>
      </c>
      <c r="I1" s="126">
        <v>44013</v>
      </c>
      <c r="J1" s="126">
        <v>44044</v>
      </c>
      <c r="K1" s="126">
        <v>44075</v>
      </c>
      <c r="L1" s="126">
        <v>44105</v>
      </c>
      <c r="M1" s="126">
        <v>44136</v>
      </c>
      <c r="N1" s="126">
        <v>44166</v>
      </c>
    </row>
    <row r="4" spans="1:14" ht="13.15">
      <c r="A4" s="130" t="s">
        <v>197</v>
      </c>
    </row>
    <row r="5" spans="1:14">
      <c r="A5" s="127" t="s">
        <v>228</v>
      </c>
      <c r="B5" s="128"/>
      <c r="C5" s="141">
        <f>($C$26*0.119202103298727)/12</f>
        <v>13717.6</v>
      </c>
      <c r="D5" s="141">
        <f>($D$26*0.119202103298727)/12</f>
        <v>13717.6</v>
      </c>
      <c r="E5" s="141">
        <f>($E$26*0.119202103298727)/12</f>
        <v>13717.6</v>
      </c>
      <c r="F5" s="141">
        <f>($F$26*0.119202103298727)/12</f>
        <v>13717.6</v>
      </c>
      <c r="G5" s="141">
        <f>($G$26*0.119202103298727)/12</f>
        <v>13717.6</v>
      </c>
      <c r="H5" s="141">
        <f>($H$26*0.119202103298727)/12</f>
        <v>13717.6</v>
      </c>
      <c r="I5" s="141">
        <f>($I$26*0.119202103298727)/12</f>
        <v>13717.6</v>
      </c>
      <c r="J5" s="141">
        <f>($J$26*0.119202103298727)/12</f>
        <v>13717.6</v>
      </c>
      <c r="K5" s="141">
        <f>($K$26*0.119202103298727)/12</f>
        <v>13717.6</v>
      </c>
      <c r="L5" s="141">
        <f>($L$26*0.119202103298727)/12</f>
        <v>0</v>
      </c>
      <c r="M5" s="141">
        <f>($M$26*0.119202103298727)/12</f>
        <v>0</v>
      </c>
      <c r="N5" s="141">
        <f>($N$26*0.119202103298727)/12</f>
        <v>0</v>
      </c>
    </row>
    <row r="6" spans="1:14">
      <c r="A6" s="129" t="s">
        <v>224</v>
      </c>
      <c r="B6" s="128"/>
      <c r="C6" s="139">
        <f>28.27*956</f>
        <v>27026.12</v>
      </c>
      <c r="D6" s="139">
        <f>28.27*2700</f>
        <v>76329</v>
      </c>
      <c r="E6" s="139">
        <f>28.27*3968</f>
        <v>112175.36</v>
      </c>
      <c r="F6" s="139">
        <f>28.27*4933</f>
        <v>139455.91</v>
      </c>
      <c r="G6" s="139">
        <f>28.27*5240</f>
        <v>148134.79999999999</v>
      </c>
      <c r="H6" s="139">
        <f>28.27*5464</f>
        <v>154467.28</v>
      </c>
      <c r="I6" s="139">
        <f>28.27*6589</f>
        <v>186271.03</v>
      </c>
      <c r="J6" s="139">
        <f>28.27*5750</f>
        <v>162552.5</v>
      </c>
      <c r="K6" s="139">
        <f>28.27*3943</f>
        <v>111468.61</v>
      </c>
      <c r="L6" s="139"/>
      <c r="M6" s="139"/>
      <c r="N6" s="139"/>
    </row>
    <row r="7" spans="1:14" ht="38.25">
      <c r="A7" s="127" t="s">
        <v>198</v>
      </c>
      <c r="B7" s="128"/>
      <c r="C7" s="33">
        <f>-'WA Monthly'!E37</f>
        <v>4512</v>
      </c>
      <c r="D7" s="33">
        <f>-'WA Monthly'!F37</f>
        <v>6519</v>
      </c>
      <c r="E7" s="33">
        <f>-'WA Monthly'!G37</f>
        <v>7796</v>
      </c>
      <c r="F7" s="33">
        <f>-'WA Monthly'!H37</f>
        <v>9072</v>
      </c>
      <c r="G7" s="33">
        <f>-'WA Monthly'!I37</f>
        <v>9658</v>
      </c>
      <c r="H7" s="33">
        <f>-'WA Monthly'!J37</f>
        <v>9973</v>
      </c>
      <c r="I7" s="33">
        <f>-'WA Monthly'!K37</f>
        <v>10852</v>
      </c>
      <c r="J7" s="33">
        <f>-'WA Monthly'!L37</f>
        <v>9167</v>
      </c>
      <c r="K7" s="33">
        <f>-'WA Monthly'!M37</f>
        <v>8151</v>
      </c>
      <c r="L7" s="33">
        <f>-'WA Monthly'!N37</f>
        <v>0</v>
      </c>
      <c r="M7" s="33">
        <f>-'WA Monthly'!O37</f>
        <v>0</v>
      </c>
      <c r="N7" s="33">
        <f>-'WA Monthly'!P37</f>
        <v>0</v>
      </c>
    </row>
    <row r="8" spans="1:14">
      <c r="A8" s="127" t="s">
        <v>225</v>
      </c>
      <c r="B8" s="128"/>
      <c r="C8" s="139">
        <f>30000/12</f>
        <v>2500</v>
      </c>
      <c r="D8" s="139">
        <f t="shared" ref="D8:N8" si="0">30000/12</f>
        <v>2500</v>
      </c>
      <c r="E8" s="139">
        <f t="shared" si="0"/>
        <v>2500</v>
      </c>
      <c r="F8" s="139">
        <f t="shared" si="0"/>
        <v>2500</v>
      </c>
      <c r="G8" s="139">
        <f t="shared" si="0"/>
        <v>2500</v>
      </c>
      <c r="H8" s="139">
        <f t="shared" si="0"/>
        <v>2500</v>
      </c>
      <c r="I8" s="139">
        <f t="shared" si="0"/>
        <v>2500</v>
      </c>
      <c r="J8" s="139">
        <f t="shared" si="0"/>
        <v>2500</v>
      </c>
      <c r="K8" s="139">
        <f t="shared" si="0"/>
        <v>2500</v>
      </c>
      <c r="L8" s="139">
        <f t="shared" si="0"/>
        <v>2500</v>
      </c>
      <c r="M8" s="139">
        <f t="shared" si="0"/>
        <v>2500</v>
      </c>
      <c r="N8" s="139">
        <f t="shared" si="0"/>
        <v>2500</v>
      </c>
    </row>
    <row r="10" spans="1:14" ht="13.15">
      <c r="A10" s="130" t="s">
        <v>199</v>
      </c>
    </row>
    <row r="11" spans="1:14">
      <c r="A11" s="127" t="s">
        <v>200</v>
      </c>
      <c r="B11" s="128"/>
      <c r="C11" s="139">
        <f>956*52.71</f>
        <v>50390.76</v>
      </c>
      <c r="D11" s="139">
        <f>2700*52.71</f>
        <v>142317</v>
      </c>
      <c r="E11" s="139">
        <f>3968*52.71</f>
        <v>209153.28</v>
      </c>
      <c r="F11" s="139">
        <f>4933*52.71</f>
        <v>260018.43</v>
      </c>
      <c r="G11" s="139">
        <f>5240*52.71</f>
        <v>276200.40000000002</v>
      </c>
      <c r="H11" s="139">
        <f>5464*52.71</f>
        <v>288007.44</v>
      </c>
      <c r="I11" s="139">
        <f>6589*52.71</f>
        <v>347306.19</v>
      </c>
      <c r="J11" s="139">
        <f>5750*52.71</f>
        <v>303082.5</v>
      </c>
      <c r="K11" s="139">
        <f>3943*52.71</f>
        <v>207835.53</v>
      </c>
      <c r="L11" s="139"/>
      <c r="M11" s="139"/>
      <c r="N11" s="139"/>
    </row>
    <row r="12" spans="1:14">
      <c r="A12" s="127" t="s">
        <v>201</v>
      </c>
      <c r="B12" s="128"/>
      <c r="C12" s="33">
        <f>'WA Monthly'!E52</f>
        <v>19928</v>
      </c>
      <c r="D12" s="33">
        <f>'WA Monthly'!F52</f>
        <v>44560</v>
      </c>
      <c r="E12" s="33">
        <f>'WA Monthly'!G52</f>
        <v>91436</v>
      </c>
      <c r="F12" s="33">
        <f>'WA Monthly'!H52</f>
        <v>78930</v>
      </c>
      <c r="G12" s="33">
        <f>'WA Monthly'!I52</f>
        <v>46214</v>
      </c>
      <c r="H12" s="33">
        <f>'WA Monthly'!J52</f>
        <v>40293</v>
      </c>
      <c r="I12" s="33">
        <f>'WA Monthly'!K52</f>
        <v>122334</v>
      </c>
      <c r="J12" s="33">
        <f>'WA Monthly'!L52</f>
        <v>224584</v>
      </c>
      <c r="K12" s="33">
        <f>'WA Monthly'!M52</f>
        <v>30165</v>
      </c>
      <c r="L12" s="33">
        <f>'WA Monthly'!N52</f>
        <v>0</v>
      </c>
      <c r="M12" s="33">
        <f>'WA Monthly'!O52</f>
        <v>0</v>
      </c>
      <c r="N12" s="33">
        <f>'WA Monthly'!P52</f>
        <v>0</v>
      </c>
    </row>
    <row r="13" spans="1:14">
      <c r="A13" s="129" t="s">
        <v>226</v>
      </c>
      <c r="B13" s="128"/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22" spans="1:14" ht="13.15">
      <c r="A22" s="130" t="s">
        <v>202</v>
      </c>
      <c r="B22" s="17"/>
    </row>
    <row r="23" spans="1:14" ht="25.5">
      <c r="A23" s="129" t="s">
        <v>203</v>
      </c>
      <c r="B23" s="133"/>
      <c r="C23" s="99">
        <v>657426.1</v>
      </c>
      <c r="D23" s="99">
        <v>657426.1</v>
      </c>
      <c r="E23" s="99">
        <v>657426.1</v>
      </c>
      <c r="F23" s="99">
        <v>657426.1</v>
      </c>
      <c r="G23" s="99">
        <v>657426.1</v>
      </c>
      <c r="H23" s="99">
        <v>657426.1</v>
      </c>
      <c r="I23" s="99">
        <v>657426.1</v>
      </c>
      <c r="J23" s="99">
        <v>657426.1</v>
      </c>
      <c r="K23" s="99">
        <v>657426.1</v>
      </c>
      <c r="L23" s="99"/>
      <c r="M23" s="99"/>
      <c r="N23" s="99"/>
    </row>
    <row r="24" spans="1:14">
      <c r="A24" s="129" t="s">
        <v>204</v>
      </c>
      <c r="B24" s="134"/>
      <c r="C24" s="99">
        <v>513030.82</v>
      </c>
      <c r="D24" s="99">
        <v>513030.82</v>
      </c>
      <c r="E24" s="99">
        <v>513030.82</v>
      </c>
      <c r="F24" s="99">
        <v>513030.82</v>
      </c>
      <c r="G24" s="99">
        <v>513030.82</v>
      </c>
      <c r="H24" s="99">
        <v>513030.82</v>
      </c>
      <c r="I24" s="99">
        <v>513030.82</v>
      </c>
      <c r="J24" s="99">
        <v>513030.82</v>
      </c>
      <c r="K24" s="99">
        <v>513030.82</v>
      </c>
      <c r="L24" s="99"/>
      <c r="M24" s="99"/>
      <c r="N24" s="99"/>
    </row>
    <row r="25" spans="1:14" ht="25.5">
      <c r="A25" s="129" t="s">
        <v>205</v>
      </c>
      <c r="B25" s="134"/>
      <c r="C25" s="131">
        <v>210485.37</v>
      </c>
      <c r="D25" s="131">
        <v>210485.37</v>
      </c>
      <c r="E25" s="131">
        <v>210485.37</v>
      </c>
      <c r="F25" s="131">
        <v>210485.37</v>
      </c>
      <c r="G25" s="131">
        <v>210485.37</v>
      </c>
      <c r="H25" s="131">
        <v>210485.37</v>
      </c>
      <c r="I25" s="131">
        <v>210485.37</v>
      </c>
      <c r="J25" s="131">
        <v>210485.37</v>
      </c>
      <c r="K25" s="131">
        <v>210485.37</v>
      </c>
      <c r="L25" s="131"/>
      <c r="M25" s="131"/>
      <c r="N25" s="131"/>
    </row>
    <row r="26" spans="1:14">
      <c r="B26" s="135"/>
      <c r="C26" s="132">
        <f>SUM(C23:C25)</f>
        <v>1380942.29</v>
      </c>
      <c r="D26" s="132">
        <f t="shared" ref="D26:N26" si="1">SUM(D23:D25)</f>
        <v>1380942.29</v>
      </c>
      <c r="E26" s="132">
        <f t="shared" si="1"/>
        <v>1380942.29</v>
      </c>
      <c r="F26" s="132">
        <f t="shared" si="1"/>
        <v>1380942.29</v>
      </c>
      <c r="G26" s="132">
        <f t="shared" si="1"/>
        <v>1380942.29</v>
      </c>
      <c r="H26" s="132">
        <f t="shared" si="1"/>
        <v>1380942.29</v>
      </c>
      <c r="I26" s="132">
        <f t="shared" si="1"/>
        <v>1380942.29</v>
      </c>
      <c r="J26" s="132">
        <f t="shared" si="1"/>
        <v>1380942.29</v>
      </c>
      <c r="K26" s="132">
        <f t="shared" si="1"/>
        <v>1380942.29</v>
      </c>
      <c r="L26" s="132">
        <f t="shared" si="1"/>
        <v>0</v>
      </c>
      <c r="M26" s="132">
        <f t="shared" si="1"/>
        <v>0</v>
      </c>
      <c r="N26" s="132">
        <f t="shared" si="1"/>
        <v>0</v>
      </c>
    </row>
    <row r="30" spans="1:14" ht="13.15">
      <c r="A30" s="130" t="s">
        <v>199</v>
      </c>
    </row>
    <row r="31" spans="1:14">
      <c r="A31" s="125" t="s">
        <v>211</v>
      </c>
      <c r="C31" s="7">
        <f>C11</f>
        <v>50391</v>
      </c>
      <c r="D31" s="7">
        <f t="shared" ref="D31:M32" si="2">D11</f>
        <v>142317</v>
      </c>
      <c r="E31" s="7">
        <f t="shared" si="2"/>
        <v>209153</v>
      </c>
      <c r="F31" s="7">
        <f t="shared" si="2"/>
        <v>260018</v>
      </c>
      <c r="G31" s="7">
        <f t="shared" si="2"/>
        <v>276200</v>
      </c>
      <c r="H31" s="7">
        <f t="shared" si="2"/>
        <v>288007</v>
      </c>
      <c r="I31" s="7">
        <f t="shared" si="2"/>
        <v>347306</v>
      </c>
      <c r="J31" s="7">
        <f t="shared" si="2"/>
        <v>303083</v>
      </c>
      <c r="K31" s="7">
        <f t="shared" si="2"/>
        <v>207836</v>
      </c>
      <c r="L31" s="7">
        <f t="shared" si="2"/>
        <v>0</v>
      </c>
      <c r="M31" s="136">
        <f t="shared" si="2"/>
        <v>0</v>
      </c>
      <c r="N31" s="136">
        <f t="shared" ref="N31" si="3">N11</f>
        <v>0</v>
      </c>
    </row>
    <row r="32" spans="1:14">
      <c r="A32" s="125" t="s">
        <v>212</v>
      </c>
      <c r="C32" s="7">
        <f>C12</f>
        <v>19928</v>
      </c>
      <c r="D32" s="7">
        <f t="shared" si="2"/>
        <v>44560</v>
      </c>
      <c r="E32" s="7">
        <f t="shared" si="2"/>
        <v>91436</v>
      </c>
      <c r="F32" s="7">
        <f t="shared" si="2"/>
        <v>78930</v>
      </c>
      <c r="G32" s="7">
        <f t="shared" si="2"/>
        <v>46214</v>
      </c>
      <c r="H32" s="7">
        <f t="shared" si="2"/>
        <v>40293</v>
      </c>
      <c r="I32" s="7">
        <f t="shared" si="2"/>
        <v>122334</v>
      </c>
      <c r="J32" s="7">
        <f t="shared" si="2"/>
        <v>224584</v>
      </c>
      <c r="K32" s="7">
        <f t="shared" si="2"/>
        <v>30165</v>
      </c>
      <c r="L32" s="7">
        <f t="shared" si="2"/>
        <v>0</v>
      </c>
      <c r="M32" s="136">
        <f t="shared" si="2"/>
        <v>0</v>
      </c>
      <c r="N32" s="136">
        <f t="shared" ref="N32" si="4">N12</f>
        <v>0</v>
      </c>
    </row>
    <row r="33" spans="1:14">
      <c r="A33" s="137" t="s">
        <v>68</v>
      </c>
      <c r="B33" s="7">
        <f>SUM(C33:N33)</f>
        <v>2782755</v>
      </c>
      <c r="C33" s="7">
        <f>SUM(C31:C32)</f>
        <v>70319</v>
      </c>
      <c r="D33" s="7">
        <f t="shared" ref="D33:M33" si="5">SUM(D31:D32)</f>
        <v>186877</v>
      </c>
      <c r="E33" s="7">
        <f t="shared" si="5"/>
        <v>300589</v>
      </c>
      <c r="F33" s="7">
        <f t="shared" si="5"/>
        <v>338948</v>
      </c>
      <c r="G33" s="7">
        <f t="shared" si="5"/>
        <v>322414</v>
      </c>
      <c r="H33" s="7">
        <f t="shared" si="5"/>
        <v>328300</v>
      </c>
      <c r="I33" s="7">
        <f t="shared" si="5"/>
        <v>469640</v>
      </c>
      <c r="J33" s="7">
        <f t="shared" si="5"/>
        <v>527667</v>
      </c>
      <c r="K33" s="7">
        <f t="shared" si="5"/>
        <v>238001</v>
      </c>
      <c r="L33" s="7">
        <f t="shared" si="5"/>
        <v>0</v>
      </c>
      <c r="M33" s="136">
        <f t="shared" si="5"/>
        <v>0</v>
      </c>
      <c r="N33" s="136">
        <f t="shared" ref="N33" si="6">SUM(N31:N32)</f>
        <v>0</v>
      </c>
    </row>
    <row r="35" spans="1:14" ht="13.15">
      <c r="A35" s="130" t="s">
        <v>213</v>
      </c>
    </row>
    <row r="36" spans="1:14">
      <c r="A36" t="s">
        <v>214</v>
      </c>
      <c r="C36" s="138">
        <v>37934</v>
      </c>
      <c r="D36" s="138">
        <v>107136</v>
      </c>
      <c r="E36" s="138">
        <v>157450</v>
      </c>
      <c r="F36" s="138">
        <v>195741</v>
      </c>
      <c r="G36" s="138">
        <v>207923</v>
      </c>
      <c r="H36" s="138">
        <v>216812</v>
      </c>
      <c r="I36" s="138">
        <v>261452</v>
      </c>
      <c r="J36" s="138">
        <v>228160</v>
      </c>
      <c r="K36" s="138">
        <v>156458</v>
      </c>
      <c r="L36" s="138"/>
      <c r="M36" s="138"/>
      <c r="N36" s="138"/>
    </row>
    <row r="37" spans="1:14">
      <c r="A37" t="s">
        <v>215</v>
      </c>
      <c r="C37" s="5">
        <f>C6</f>
        <v>27026</v>
      </c>
      <c r="D37" s="5">
        <f t="shared" ref="D37:M37" si="7">D6</f>
        <v>76329</v>
      </c>
      <c r="E37" s="5">
        <f t="shared" si="7"/>
        <v>112175</v>
      </c>
      <c r="F37" s="5">
        <f t="shared" si="7"/>
        <v>139456</v>
      </c>
      <c r="G37" s="5">
        <f t="shared" si="7"/>
        <v>148135</v>
      </c>
      <c r="H37" s="5">
        <f t="shared" si="7"/>
        <v>154467</v>
      </c>
      <c r="I37" s="5">
        <f t="shared" si="7"/>
        <v>186271</v>
      </c>
      <c r="J37" s="5">
        <f t="shared" si="7"/>
        <v>162553</v>
      </c>
      <c r="K37" s="5">
        <f t="shared" si="7"/>
        <v>111469</v>
      </c>
      <c r="L37" s="5">
        <f t="shared" si="7"/>
        <v>0</v>
      </c>
      <c r="M37" s="5">
        <f t="shared" si="7"/>
        <v>0</v>
      </c>
      <c r="N37" s="5">
        <f t="shared" ref="N37" si="8">N6</f>
        <v>0</v>
      </c>
    </row>
    <row r="38" spans="1:14">
      <c r="A38" t="s">
        <v>216</v>
      </c>
      <c r="C38" s="5">
        <f>C5</f>
        <v>13718</v>
      </c>
      <c r="D38" s="5">
        <f t="shared" ref="D38:M38" si="9">D5</f>
        <v>13718</v>
      </c>
      <c r="E38" s="5">
        <f t="shared" si="9"/>
        <v>13718</v>
      </c>
      <c r="F38" s="5">
        <f t="shared" si="9"/>
        <v>13718</v>
      </c>
      <c r="G38" s="5">
        <f t="shared" si="9"/>
        <v>13718</v>
      </c>
      <c r="H38" s="5">
        <f t="shared" si="9"/>
        <v>13718</v>
      </c>
      <c r="I38" s="5">
        <f t="shared" si="9"/>
        <v>13718</v>
      </c>
      <c r="J38" s="5">
        <f t="shared" si="9"/>
        <v>13718</v>
      </c>
      <c r="K38" s="5">
        <f t="shared" si="9"/>
        <v>13718</v>
      </c>
      <c r="L38" s="5">
        <f t="shared" si="9"/>
        <v>0</v>
      </c>
      <c r="M38" s="5">
        <f t="shared" si="9"/>
        <v>0</v>
      </c>
      <c r="N38" s="5">
        <f t="shared" ref="N38" si="10">N5</f>
        <v>0</v>
      </c>
    </row>
    <row r="39" spans="1:14">
      <c r="A39" s="17" t="s">
        <v>217</v>
      </c>
      <c r="C39" s="5">
        <f>C7</f>
        <v>4512</v>
      </c>
      <c r="D39" s="5">
        <f t="shared" ref="D39:M40" si="11">D7</f>
        <v>6519</v>
      </c>
      <c r="E39" s="5">
        <f t="shared" si="11"/>
        <v>7796</v>
      </c>
      <c r="F39" s="5">
        <f t="shared" si="11"/>
        <v>9072</v>
      </c>
      <c r="G39" s="5">
        <f t="shared" si="11"/>
        <v>9658</v>
      </c>
      <c r="H39" s="5">
        <f t="shared" si="11"/>
        <v>9973</v>
      </c>
      <c r="I39" s="5">
        <f t="shared" si="11"/>
        <v>10852</v>
      </c>
      <c r="J39" s="5">
        <f t="shared" si="11"/>
        <v>9167</v>
      </c>
      <c r="K39" s="5">
        <f t="shared" si="11"/>
        <v>8151</v>
      </c>
      <c r="L39" s="5">
        <f t="shared" si="11"/>
        <v>0</v>
      </c>
      <c r="M39" s="5">
        <f t="shared" si="11"/>
        <v>0</v>
      </c>
      <c r="N39" s="5">
        <f t="shared" ref="N39" si="12">N7</f>
        <v>0</v>
      </c>
    </row>
    <row r="40" spans="1:14">
      <c r="A40" t="s">
        <v>218</v>
      </c>
      <c r="C40" s="5">
        <f>C8</f>
        <v>2500</v>
      </c>
      <c r="D40" s="5">
        <f t="shared" si="11"/>
        <v>2500</v>
      </c>
      <c r="E40" s="5">
        <f t="shared" si="11"/>
        <v>2500</v>
      </c>
      <c r="F40" s="5">
        <f t="shared" si="11"/>
        <v>2500</v>
      </c>
      <c r="G40" s="5">
        <f t="shared" si="11"/>
        <v>2500</v>
      </c>
      <c r="H40" s="5">
        <f t="shared" si="11"/>
        <v>2500</v>
      </c>
      <c r="I40" s="5">
        <f t="shared" si="11"/>
        <v>2500</v>
      </c>
      <c r="J40" s="5">
        <f t="shared" si="11"/>
        <v>2500</v>
      </c>
      <c r="K40" s="5">
        <f t="shared" si="11"/>
        <v>2500</v>
      </c>
      <c r="L40" s="5">
        <f t="shared" si="11"/>
        <v>2500</v>
      </c>
      <c r="M40" s="5">
        <f t="shared" si="11"/>
        <v>2500</v>
      </c>
      <c r="N40" s="5">
        <f t="shared" ref="N40" si="13">N8</f>
        <v>2500</v>
      </c>
    </row>
    <row r="41" spans="1:14">
      <c r="A41" s="137" t="s">
        <v>68</v>
      </c>
      <c r="B41" s="7">
        <f>SUM(C41:N41)</f>
        <v>2916109</v>
      </c>
      <c r="C41" s="5">
        <f>SUM(C36:C40)</f>
        <v>85690</v>
      </c>
      <c r="D41" s="5">
        <f t="shared" ref="D41:M41" si="14">SUM(D36:D40)</f>
        <v>206202</v>
      </c>
      <c r="E41" s="5">
        <f t="shared" si="14"/>
        <v>293639</v>
      </c>
      <c r="F41" s="5">
        <f t="shared" si="14"/>
        <v>360487</v>
      </c>
      <c r="G41" s="5">
        <f t="shared" si="14"/>
        <v>381934</v>
      </c>
      <c r="H41" s="5">
        <f t="shared" si="14"/>
        <v>397470</v>
      </c>
      <c r="I41" s="5">
        <f t="shared" si="14"/>
        <v>474793</v>
      </c>
      <c r="J41" s="5">
        <f t="shared" si="14"/>
        <v>416098</v>
      </c>
      <c r="K41" s="5">
        <f t="shared" si="14"/>
        <v>292296</v>
      </c>
      <c r="L41" s="5">
        <f t="shared" si="14"/>
        <v>2500</v>
      </c>
      <c r="M41" s="5">
        <f t="shared" si="14"/>
        <v>2500</v>
      </c>
      <c r="N41" s="5">
        <f t="shared" ref="N41" si="15">SUM(N36:N40)</f>
        <v>2500</v>
      </c>
    </row>
    <row r="42" spans="1:14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>
      <c r="A43" s="137" t="s">
        <v>219</v>
      </c>
      <c r="B43" s="7">
        <f>SUM(C43:N43)</f>
        <v>-133354</v>
      </c>
      <c r="C43" s="5">
        <f>C33-C41</f>
        <v>-15371</v>
      </c>
      <c r="D43" s="5">
        <f t="shared" ref="D43:M43" si="16">D33-D41</f>
        <v>-19325</v>
      </c>
      <c r="E43" s="5">
        <f t="shared" si="16"/>
        <v>6950</v>
      </c>
      <c r="F43" s="5">
        <f t="shared" si="16"/>
        <v>-21539</v>
      </c>
      <c r="G43" s="5">
        <f t="shared" si="16"/>
        <v>-59520</v>
      </c>
      <c r="H43" s="5">
        <f t="shared" si="16"/>
        <v>-69170</v>
      </c>
      <c r="I43" s="5">
        <f t="shared" si="16"/>
        <v>-5153</v>
      </c>
      <c r="J43" s="5">
        <f t="shared" si="16"/>
        <v>111569</v>
      </c>
      <c r="K43" s="5">
        <f t="shared" si="16"/>
        <v>-54295</v>
      </c>
      <c r="L43" s="5">
        <f t="shared" si="16"/>
        <v>-2500</v>
      </c>
      <c r="M43" s="5">
        <f t="shared" si="16"/>
        <v>-2500</v>
      </c>
      <c r="N43" s="5">
        <f t="shared" ref="N43" si="17">N33-N41</f>
        <v>-2500</v>
      </c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6F49E-F574-4ADF-A328-6B3259BA5166}"/>
</file>

<file path=customXml/itemProps2.xml><?xml version="1.0" encoding="utf-8"?>
<ds:datastoreItem xmlns:ds="http://schemas.openxmlformats.org/officeDocument/2006/customXml" ds:itemID="{C0A5BEB7-42C5-436E-928C-C2205CE2718F}"/>
</file>

<file path=customXml/itemProps3.xml><?xml version="1.0" encoding="utf-8"?>
<ds:datastoreItem xmlns:ds="http://schemas.openxmlformats.org/officeDocument/2006/customXml" ds:itemID="{BCF8D482-D567-40FB-8CAE-8CC5C9710365}"/>
</file>

<file path=customXml/itemProps4.xml><?xml version="1.0" encoding="utf-8"?>
<ds:datastoreItem xmlns:ds="http://schemas.openxmlformats.org/officeDocument/2006/customXml" ds:itemID="{2949B5E8-1C9C-4EF1-861E-CF46FFFA0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Input Tab</vt:lpstr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Brandon, Annette</cp:lastModifiedBy>
  <cp:lastPrinted>2020-05-06T15:49:43Z</cp:lastPrinted>
  <dcterms:created xsi:type="dcterms:W3CDTF">2002-02-05T19:51:48Z</dcterms:created>
  <dcterms:modified xsi:type="dcterms:W3CDTF">2020-10-14T17:19:31Z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