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13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TIVE\Cases\UE\UE_UG_170485-86_Avista_2017_GRC\1_Filings\Testimony_Direct_Response\PC\David Garrett\"/>
    </mc:Choice>
  </mc:AlternateContent>
  <bookViews>
    <workbookView xWindow="0" yWindow="0" windowWidth="25200" windowHeight="11850" tabRatio="917" activeTab="11"/>
  </bookViews>
  <sheets>
    <sheet name="2 Final WACC" sheetId="64" r:id="rId1"/>
    <sheet name="3 Proxy Sum" sheetId="3" r:id="rId2"/>
    <sheet name="4 Stock Price" sheetId="4" r:id="rId3"/>
    <sheet name="5 Div Yields" sheetId="29" r:id="rId4"/>
    <sheet name="6 Growth Determinants" sheetId="52" r:id="rId5"/>
    <sheet name="7 DCF Result" sheetId="53" r:id="rId6"/>
    <sheet name="8 Risk Free Rate" sheetId="10" r:id="rId7"/>
    <sheet name="9 Beta" sheetId="15" r:id="rId8"/>
    <sheet name="10 Implied ERP" sheetId="21" r:id="rId9"/>
    <sheet name="11 ERP Result" sheetId="61" r:id="rId10"/>
    <sheet name="12 CAPM Result" sheetId="7" r:id="rId11"/>
    <sheet name="13 COE Summary" sheetId="17" r:id="rId12"/>
    <sheet name="14 Market COE" sheetId="59" r:id="rId13"/>
    <sheet name="15 Historic ROE" sheetId="60" r:id="rId14"/>
    <sheet name="16 Optimal Cap Structure" sheetId="63" r:id="rId15"/>
    <sheet name="17 Competitive Debt Ratios" sheetId="65" r:id="rId16"/>
    <sheet name="18 Proxy Debt Ratios" sheetId="54" r:id="rId17"/>
  </sheets>
  <definedNames>
    <definedName name="_xlnm.Print_Area" localSheetId="9">'11 ERP Result'!$A$5:$E$26</definedName>
    <definedName name="_xlnm.Print_Area" localSheetId="13">'15 Historic ROE'!$A$1:$M$65</definedName>
    <definedName name="_xlnm.Print_Area" localSheetId="14">'16 Optimal Cap Structure'!$A$1:$W$46</definedName>
    <definedName name="_xlnm.Print_Area" localSheetId="15">'17 Competitive Debt Ratios'!$A$1:$E$60</definedName>
    <definedName name="_xlnm.Print_Area" localSheetId="0">'2 Final WACC'!$A$5:$U$22</definedName>
    <definedName name="solver_adj" localSheetId="8" hidden="1">'10 Implied ERP'!$C$32</definedName>
    <definedName name="solver_cvg" localSheetId="8" hidden="1">0.0001</definedName>
    <definedName name="solver_drv" localSheetId="8" hidden="1">1</definedName>
    <definedName name="solver_eng" localSheetId="8" hidden="1">1</definedName>
    <definedName name="solver_est" localSheetId="8" hidden="1">1</definedName>
    <definedName name="solver_itr" localSheetId="8" hidden="1">100</definedName>
    <definedName name="solver_lin" localSheetId="8" hidden="1">2</definedName>
    <definedName name="solver_mip" localSheetId="8" hidden="1">2147483647</definedName>
    <definedName name="solver_mni" localSheetId="8" hidden="1">30</definedName>
    <definedName name="solver_mrt" localSheetId="8" hidden="1">0.075</definedName>
    <definedName name="solver_msl" localSheetId="8" hidden="1">2</definedName>
    <definedName name="solver_neg" localSheetId="8" hidden="1">2</definedName>
    <definedName name="solver_nod" localSheetId="8" hidden="1">2147483647</definedName>
    <definedName name="solver_num" localSheetId="8" hidden="1">0</definedName>
    <definedName name="solver_nwt" localSheetId="8" hidden="1">1</definedName>
    <definedName name="solver_opt" localSheetId="8" hidden="1">'10 Implied ERP'!$C$28</definedName>
    <definedName name="solver_pre" localSheetId="8" hidden="1">0.000001</definedName>
    <definedName name="solver_rbv" localSheetId="8" hidden="1">1</definedName>
    <definedName name="solver_rlx" localSheetId="8" hidden="1">1</definedName>
    <definedName name="solver_rsd" localSheetId="8" hidden="1">0</definedName>
    <definedName name="solver_scl" localSheetId="8" hidden="1">2</definedName>
    <definedName name="solver_sho" localSheetId="8" hidden="1">2</definedName>
    <definedName name="solver_ssz" localSheetId="8" hidden="1">100</definedName>
    <definedName name="solver_tim" localSheetId="8" hidden="1">100</definedName>
    <definedName name="solver_tol" localSheetId="8" hidden="1">0.05</definedName>
    <definedName name="solver_typ" localSheetId="8" hidden="1">3</definedName>
    <definedName name="solver_val" localSheetId="8" hidden="1">2517</definedName>
    <definedName name="solver_ver" localSheetId="8" hidden="1">3</definedName>
  </definedNames>
  <calcPr calcId="162913"/>
</workbook>
</file>

<file path=xl/calcChain.xml><?xml version="1.0" encoding="utf-8"?>
<calcChain xmlns="http://schemas.openxmlformats.org/spreadsheetml/2006/main">
  <c r="E19" i="63" l="1"/>
  <c r="D15" i="64"/>
  <c r="C14" i="61" l="1"/>
  <c r="C15" i="21"/>
  <c r="C14" i="21" l="1"/>
  <c r="K11" i="21"/>
  <c r="M11" i="21"/>
  <c r="O11" i="21"/>
  <c r="Q11" i="21" l="1"/>
  <c r="E12" i="53" l="1"/>
  <c r="C8" i="54" l="1"/>
  <c r="C9" i="54"/>
  <c r="C10" i="54"/>
  <c r="C11" i="54"/>
  <c r="C12" i="54"/>
  <c r="C13" i="54"/>
  <c r="C14" i="54"/>
  <c r="C15" i="54"/>
  <c r="C16" i="54"/>
  <c r="C17" i="54"/>
  <c r="C18" i="54"/>
  <c r="C19" i="54"/>
  <c r="C20" i="54"/>
  <c r="C21" i="54"/>
  <c r="C22" i="54"/>
  <c r="C23" i="54"/>
  <c r="C24" i="54"/>
  <c r="A8" i="54"/>
  <c r="A9" i="54"/>
  <c r="A10" i="54"/>
  <c r="A11" i="54"/>
  <c r="A12" i="54"/>
  <c r="A13" i="54"/>
  <c r="A14" i="54"/>
  <c r="A15" i="54"/>
  <c r="A16" i="54"/>
  <c r="A17" i="54"/>
  <c r="A18" i="54"/>
  <c r="A19" i="54"/>
  <c r="A20" i="54"/>
  <c r="A21" i="54"/>
  <c r="A22" i="54"/>
  <c r="A23" i="54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L4" i="4"/>
  <c r="K4" i="4"/>
  <c r="J4" i="4"/>
  <c r="H4" i="4"/>
  <c r="G4" i="4"/>
  <c r="F4" i="4"/>
  <c r="E4" i="4"/>
  <c r="D4" i="4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6" i="3"/>
  <c r="S13" i="64" l="1"/>
  <c r="R18" i="64" s="1"/>
  <c r="M26" i="65"/>
  <c r="K26" i="65"/>
  <c r="E56" i="65"/>
  <c r="C56" i="65"/>
  <c r="E12" i="63"/>
  <c r="Q9" i="64"/>
  <c r="S34" i="63"/>
  <c r="W34" i="63" s="1"/>
  <c r="K34" i="63"/>
  <c r="C34" i="63"/>
  <c r="S33" i="63"/>
  <c r="W33" i="63" s="1"/>
  <c r="K33" i="63"/>
  <c r="C33" i="63"/>
  <c r="S32" i="63"/>
  <c r="W32" i="63" s="1"/>
  <c r="K32" i="63"/>
  <c r="M32" i="63" s="1"/>
  <c r="O32" i="63" s="1"/>
  <c r="C32" i="63"/>
  <c r="S31" i="63"/>
  <c r="W31" i="63" s="1"/>
  <c r="K31" i="63"/>
  <c r="M31" i="63" s="1"/>
  <c r="O31" i="63" s="1"/>
  <c r="C31" i="63"/>
  <c r="S30" i="63"/>
  <c r="W30" i="63" s="1"/>
  <c r="K30" i="63"/>
  <c r="M30" i="63" s="1"/>
  <c r="O30" i="63" s="1"/>
  <c r="C30" i="63"/>
  <c r="S29" i="63"/>
  <c r="W29" i="63" s="1"/>
  <c r="K29" i="63"/>
  <c r="M29" i="63" s="1"/>
  <c r="O29" i="63" s="1"/>
  <c r="C29" i="63"/>
  <c r="S28" i="63"/>
  <c r="W28" i="63" s="1"/>
  <c r="K28" i="63"/>
  <c r="M28" i="63" s="1"/>
  <c r="C28" i="63"/>
  <c r="E18" i="63"/>
  <c r="E11" i="63"/>
  <c r="Q11" i="64" l="1"/>
  <c r="L18" i="64" s="1"/>
  <c r="M34" i="63"/>
  <c r="O34" i="63" s="1"/>
  <c r="M33" i="63"/>
  <c r="O33" i="63" s="1"/>
  <c r="O13" i="64"/>
  <c r="F18" i="64" s="1"/>
  <c r="C13" i="52" l="1"/>
  <c r="E36" i="10" l="1"/>
  <c r="E16" i="63" s="1"/>
  <c r="W16" i="63" l="1"/>
  <c r="W9" i="63"/>
  <c r="W8" i="63"/>
  <c r="W18" i="63"/>
  <c r="W10" i="63"/>
  <c r="W13" i="63"/>
  <c r="W15" i="63"/>
  <c r="W11" i="63"/>
  <c r="W19" i="63"/>
  <c r="W12" i="63"/>
  <c r="W14" i="63"/>
  <c r="W17" i="63"/>
  <c r="C16" i="61" l="1"/>
  <c r="C18" i="61" s="1"/>
  <c r="I17" i="7" l="1"/>
  <c r="I25" i="7"/>
  <c r="I18" i="7"/>
  <c r="E17" i="63"/>
  <c r="I26" i="7"/>
  <c r="I11" i="7"/>
  <c r="I19" i="7"/>
  <c r="I27" i="7"/>
  <c r="I23" i="7"/>
  <c r="I24" i="7"/>
  <c r="I12" i="7"/>
  <c r="I20" i="7"/>
  <c r="I10" i="7"/>
  <c r="I22" i="7"/>
  <c r="I16" i="7"/>
  <c r="I13" i="7"/>
  <c r="I21" i="7"/>
  <c r="I14" i="7"/>
  <c r="I15" i="7"/>
  <c r="Q17" i="60"/>
  <c r="L50" i="60" l="1"/>
  <c r="L27" i="60"/>
  <c r="L22" i="60" a="1"/>
  <c r="L22" i="60" s="1"/>
  <c r="L25" i="60" s="1"/>
  <c r="L21" i="60"/>
  <c r="Q18" i="60"/>
  <c r="Q16" i="60"/>
  <c r="Q15" i="60"/>
  <c r="Q14" i="60"/>
  <c r="Q13" i="60"/>
  <c r="Q12" i="60"/>
  <c r="Q11" i="60"/>
  <c r="Q10" i="60"/>
  <c r="Q9" i="60"/>
  <c r="Q8" i="60"/>
  <c r="Q7" i="60"/>
  <c r="E26" i="54" l="1"/>
  <c r="A24" i="54"/>
  <c r="C7" i="54"/>
  <c r="A7" i="54"/>
  <c r="O10" i="21" l="1"/>
  <c r="M10" i="21"/>
  <c r="Q10" i="21" s="1"/>
  <c r="K10" i="21"/>
  <c r="G11" i="7" l="1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10" i="7"/>
  <c r="E29" i="29" l="1"/>
  <c r="A12" i="53" s="1"/>
  <c r="G29" i="7" l="1"/>
  <c r="E15" i="63" s="1"/>
  <c r="E28" i="63" l="1"/>
  <c r="E29" i="63"/>
  <c r="G29" i="63" s="1"/>
  <c r="U29" i="63" s="1"/>
  <c r="E32" i="63"/>
  <c r="G32" i="63" s="1"/>
  <c r="U32" i="63" s="1"/>
  <c r="E33" i="63"/>
  <c r="G33" i="63" s="1"/>
  <c r="U33" i="63" s="1"/>
  <c r="E30" i="63"/>
  <c r="G30" i="63" s="1"/>
  <c r="U30" i="63" s="1"/>
  <c r="E34" i="63"/>
  <c r="G34" i="63" s="1"/>
  <c r="U34" i="63" s="1"/>
  <c r="E31" i="63"/>
  <c r="G31" i="63" s="1"/>
  <c r="U31" i="63" s="1"/>
  <c r="G28" i="63"/>
  <c r="U28" i="63" s="1"/>
  <c r="G16" i="3"/>
  <c r="G9" i="3"/>
  <c r="G10" i="3"/>
  <c r="G19" i="3"/>
  <c r="G18" i="3"/>
  <c r="G23" i="3"/>
  <c r="G21" i="3"/>
  <c r="G11" i="3"/>
  <c r="G12" i="3"/>
  <c r="G15" i="3"/>
  <c r="G14" i="3"/>
  <c r="G13" i="3"/>
  <c r="G7" i="3"/>
  <c r="G20" i="3"/>
  <c r="G22" i="3"/>
  <c r="G6" i="3"/>
  <c r="G8" i="3"/>
  <c r="G17" i="3"/>
  <c r="D7" i="4" l="1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D6" i="4"/>
  <c r="E6" i="4"/>
  <c r="F6" i="4"/>
  <c r="G6" i="4"/>
  <c r="H6" i="4"/>
  <c r="I6" i="4"/>
  <c r="J6" i="4"/>
  <c r="K6" i="4"/>
  <c r="G18" i="29" s="1"/>
  <c r="I18" i="29" s="1"/>
  <c r="L6" i="4"/>
  <c r="G19" i="29" s="1"/>
  <c r="I19" i="29" s="1"/>
  <c r="M6" i="4"/>
  <c r="G20" i="29" s="1"/>
  <c r="I20" i="29" s="1"/>
  <c r="N6" i="4"/>
  <c r="O6" i="4"/>
  <c r="P6" i="4"/>
  <c r="Q6" i="4"/>
  <c r="R6" i="4"/>
  <c r="S6" i="4"/>
  <c r="T6" i="4"/>
  <c r="C6" i="4"/>
  <c r="A27" i="7" l="1"/>
  <c r="A26" i="15"/>
  <c r="C10" i="29"/>
  <c r="A27" i="29"/>
  <c r="A10" i="29"/>
  <c r="T4" i="4"/>
  <c r="S4" i="4"/>
  <c r="R4" i="4"/>
  <c r="Q4" i="4"/>
  <c r="P4" i="4"/>
  <c r="O4" i="4"/>
  <c r="N4" i="4"/>
  <c r="M4" i="4"/>
  <c r="I4" i="4"/>
  <c r="C4" i="4"/>
  <c r="C7" i="4"/>
  <c r="B7" i="4"/>
  <c r="G10" i="29"/>
  <c r="I10" i="29" s="1"/>
  <c r="G11" i="29"/>
  <c r="I11" i="29" s="1"/>
  <c r="G12" i="29"/>
  <c r="I12" i="29" s="1"/>
  <c r="G13" i="29"/>
  <c r="I13" i="29" s="1"/>
  <c r="G14" i="29"/>
  <c r="I14" i="29" s="1"/>
  <c r="G15" i="29"/>
  <c r="I15" i="29" s="1"/>
  <c r="G16" i="29"/>
  <c r="I16" i="29" s="1"/>
  <c r="G17" i="29"/>
  <c r="I17" i="29" s="1"/>
  <c r="G21" i="29"/>
  <c r="I21" i="29" s="1"/>
  <c r="G22" i="29"/>
  <c r="I22" i="29" s="1"/>
  <c r="G23" i="29"/>
  <c r="I23" i="29" s="1"/>
  <c r="G24" i="29"/>
  <c r="I24" i="29" s="1"/>
  <c r="G25" i="29"/>
  <c r="I25" i="29" s="1"/>
  <c r="G26" i="29"/>
  <c r="I26" i="29" s="1"/>
  <c r="G27" i="29"/>
  <c r="I27" i="29" s="1"/>
  <c r="B6" i="4"/>
  <c r="C17" i="21" s="1"/>
  <c r="M6" i="21"/>
  <c r="O6" i="21"/>
  <c r="M7" i="21"/>
  <c r="O7" i="21"/>
  <c r="M8" i="21"/>
  <c r="O8" i="21"/>
  <c r="M9" i="21"/>
  <c r="O9" i="21"/>
  <c r="K9" i="21"/>
  <c r="K8" i="21"/>
  <c r="K7" i="21"/>
  <c r="K6" i="21"/>
  <c r="C9" i="15"/>
  <c r="A9" i="15"/>
  <c r="C10" i="7"/>
  <c r="A10" i="7"/>
  <c r="Q7" i="21" l="1"/>
  <c r="C9" i="59"/>
  <c r="C11" i="59"/>
  <c r="C13" i="59"/>
  <c r="E10" i="7"/>
  <c r="C15" i="52"/>
  <c r="I29" i="29"/>
  <c r="G29" i="29"/>
  <c r="C12" i="53" s="1"/>
  <c r="H12" i="53" s="1"/>
  <c r="C9" i="17" s="1"/>
  <c r="Q8" i="21"/>
  <c r="E11" i="7"/>
  <c r="E27" i="7"/>
  <c r="C16" i="21"/>
  <c r="C30" i="21" s="1"/>
  <c r="C15" i="59" s="1"/>
  <c r="E12" i="7"/>
  <c r="E19" i="7"/>
  <c r="E16" i="7"/>
  <c r="E22" i="7"/>
  <c r="E24" i="7"/>
  <c r="E13" i="7"/>
  <c r="E20" i="7"/>
  <c r="E14" i="7"/>
  <c r="E21" i="7"/>
  <c r="E18" i="7"/>
  <c r="E17" i="7"/>
  <c r="E23" i="7"/>
  <c r="E26" i="7"/>
  <c r="E15" i="7"/>
  <c r="E25" i="7"/>
  <c r="E28" i="15"/>
  <c r="Q6" i="21"/>
  <c r="Q9" i="21"/>
  <c r="K24" i="21" l="1"/>
  <c r="C17" i="59"/>
  <c r="L10" i="7"/>
  <c r="L23" i="7" l="1"/>
  <c r="L18" i="7"/>
  <c r="L22" i="7"/>
  <c r="L14" i="7"/>
  <c r="L21" i="7"/>
  <c r="L15" i="7"/>
  <c r="L26" i="7"/>
  <c r="L19" i="7"/>
  <c r="L20" i="7"/>
  <c r="G24" i="21"/>
  <c r="G26" i="21" s="1"/>
  <c r="L11" i="7"/>
  <c r="L24" i="7"/>
  <c r="L13" i="7"/>
  <c r="L16" i="7"/>
  <c r="L17" i="7"/>
  <c r="L27" i="7"/>
  <c r="L25" i="7"/>
  <c r="E24" i="21"/>
  <c r="E26" i="21" s="1"/>
  <c r="C24" i="21"/>
  <c r="C26" i="21" s="1"/>
  <c r="I24" i="21"/>
  <c r="I26" i="21" s="1"/>
  <c r="K25" i="21"/>
  <c r="K26" i="21" s="1"/>
  <c r="C28" i="21" l="1"/>
  <c r="L29" i="7"/>
  <c r="C11" i="17" s="1"/>
  <c r="C13" i="17" l="1"/>
</calcChain>
</file>

<file path=xl/sharedStrings.xml><?xml version="1.0" encoding="utf-8"?>
<sst xmlns="http://schemas.openxmlformats.org/spreadsheetml/2006/main" count="574" uniqueCount="376">
  <si>
    <t>Company</t>
  </si>
  <si>
    <t>Ticker</t>
  </si>
  <si>
    <t>Price</t>
  </si>
  <si>
    <t>[1]</t>
  </si>
  <si>
    <t>[2]</t>
  </si>
  <si>
    <t>[3]</t>
  </si>
  <si>
    <t>[4]</t>
  </si>
  <si>
    <t>[5]</t>
  </si>
  <si>
    <t>Standard Deviation</t>
  </si>
  <si>
    <t>30-day Average</t>
  </si>
  <si>
    <t>Date</t>
  </si>
  <si>
    <t>Return</t>
  </si>
  <si>
    <t>^GSPC</t>
  </si>
  <si>
    <t>Source</t>
  </si>
  <si>
    <t>Long-term Debt</t>
  </si>
  <si>
    <t>Capital Structure</t>
  </si>
  <si>
    <t>Weighted Cost</t>
  </si>
  <si>
    <t>Common Equity</t>
  </si>
  <si>
    <t>LOW</t>
  </si>
  <si>
    <t>HIGH</t>
  </si>
  <si>
    <t>Cost Rates</t>
  </si>
  <si>
    <t>Recommended Range for</t>
  </si>
  <si>
    <t>Capital Asset Pricing Model</t>
  </si>
  <si>
    <t>[6]</t>
  </si>
  <si>
    <t>[7]</t>
  </si>
  <si>
    <t>[8]</t>
  </si>
  <si>
    <t>Financial Strength</t>
  </si>
  <si>
    <t>Rate</t>
  </si>
  <si>
    <t>[9]</t>
  </si>
  <si>
    <t>Dividends</t>
  </si>
  <si>
    <t>Buyback Yield</t>
  </si>
  <si>
    <t>Dividend Yield</t>
  </si>
  <si>
    <t>Operating Earnings</t>
  </si>
  <si>
    <t>Buybacks</t>
  </si>
  <si>
    <t>Year</t>
  </si>
  <si>
    <t>Earnings Yield</t>
  </si>
  <si>
    <t>Gross Cash Yield</t>
  </si>
  <si>
    <t>Index Value</t>
  </si>
  <si>
    <t>Cash Yield</t>
  </si>
  <si>
    <t>Growth Rate</t>
  </si>
  <si>
    <t>[10]</t>
  </si>
  <si>
    <t>Risk-free Rate</t>
  </si>
  <si>
    <t>[11]</t>
  </si>
  <si>
    <t>Current Index Value</t>
  </si>
  <si>
    <t>Expected Dividends</t>
  </si>
  <si>
    <t>Expected Terminal Value</t>
  </si>
  <si>
    <t>Present Value</t>
  </si>
  <si>
    <t>Intrinsic Index Value</t>
  </si>
  <si>
    <t>[12]</t>
  </si>
  <si>
    <t>[13]</t>
  </si>
  <si>
    <t>[14]</t>
  </si>
  <si>
    <t>[15]</t>
  </si>
  <si>
    <t>[16]</t>
  </si>
  <si>
    <t>[17]</t>
  </si>
  <si>
    <t>Implied Equity Risk Premium</t>
  </si>
  <si>
    <t>[5] = [2] / [1]</t>
  </si>
  <si>
    <t>[6] = [3] / [1]</t>
  </si>
  <si>
    <t>[7] = [4] / [1]</t>
  </si>
  <si>
    <t>[8] = [6] + [7]</t>
  </si>
  <si>
    <t>[9] = Average of [8]</t>
  </si>
  <si>
    <t>[18]</t>
  </si>
  <si>
    <t>[19]</t>
  </si>
  <si>
    <t>Beta</t>
  </si>
  <si>
    <t>ROE</t>
  </si>
  <si>
    <t>AEE</t>
  </si>
  <si>
    <t>POR</t>
  </si>
  <si>
    <t>Value Line Region</t>
  </si>
  <si>
    <t>Value Line Safety Rank</t>
  </si>
  <si>
    <t>Market Category</t>
  </si>
  <si>
    <t>Market Cap. ($ millions)</t>
  </si>
  <si>
    <t>Dividend</t>
  </si>
  <si>
    <t>Stock Price</t>
  </si>
  <si>
    <r>
      <t>(d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)</t>
    </r>
  </si>
  <si>
    <r>
      <t>(P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)</t>
    </r>
  </si>
  <si>
    <t>(g)</t>
  </si>
  <si>
    <t>Results</t>
  </si>
  <si>
    <t>Required Return on Market</t>
  </si>
  <si>
    <t>[20]</t>
  </si>
  <si>
    <t>Quarter</t>
  </si>
  <si>
    <t>Cases Filed</t>
  </si>
  <si>
    <t>Average</t>
  </si>
  <si>
    <t>Arithmetic</t>
  </si>
  <si>
    <t>Geometric</t>
  </si>
  <si>
    <t>Industry</t>
  </si>
  <si>
    <t>Broadcasting</t>
  </si>
  <si>
    <t>[19] = [20] + [11]</t>
  </si>
  <si>
    <t>[1] Market value of S&amp;P 500</t>
  </si>
  <si>
    <t>Cost of Equity</t>
  </si>
  <si>
    <t>Risk Free Rate</t>
  </si>
  <si>
    <t>Average Return on All Stocks</t>
  </si>
  <si>
    <t>Average Utility Awarded ROE</t>
  </si>
  <si>
    <t>[4] = Average of [3]</t>
  </si>
  <si>
    <t>[5] = Geometric mean of [3]</t>
  </si>
  <si>
    <t>[6] = Average ([4],[5])</t>
  </si>
  <si>
    <t>[7] = Average of [2]</t>
  </si>
  <si>
    <r>
      <t>[13-16] Expected dividends = [9]*[12]*(1+[10])</t>
    </r>
    <r>
      <rPr>
        <vertAlign val="superscript"/>
        <sz val="9"/>
        <color theme="1"/>
        <rFont val="Calibri"/>
        <family val="2"/>
        <scheme val="minor"/>
      </rPr>
      <t>n</t>
    </r>
    <r>
      <rPr>
        <sz val="9"/>
        <color theme="1"/>
        <rFont val="Calibri"/>
        <family val="2"/>
        <scheme val="minor"/>
      </rPr>
      <t xml:space="preserve"> ; Present value = expected dividend / (1+[11]+[19])</t>
    </r>
    <r>
      <rPr>
        <vertAlign val="superscript"/>
        <sz val="9"/>
        <color theme="1"/>
        <rFont val="Calibri"/>
        <family val="2"/>
        <scheme val="minor"/>
      </rPr>
      <t>n</t>
    </r>
    <r>
      <rPr>
        <sz val="9"/>
        <color theme="1"/>
        <rFont val="Calibri"/>
        <family val="2"/>
        <scheme val="minor"/>
      </rPr>
      <t xml:space="preserve"> </t>
    </r>
  </si>
  <si>
    <r>
      <t>[17] Expected terminal value = expected dividend * (1+[11]) / [19] ; Present value = (expected dividend + expected terminal value) / (1+[11]+[19])</t>
    </r>
    <r>
      <rPr>
        <vertAlign val="superscript"/>
        <sz val="9"/>
        <color theme="1"/>
        <rFont val="Calibri"/>
        <family val="2"/>
        <scheme val="minor"/>
      </rPr>
      <t>n</t>
    </r>
  </si>
  <si>
    <t>[18] = Sum([13-17]) present values.</t>
  </si>
  <si>
    <t>[20] Internal rate of return calculation setting [18] equal to [12] and solving for the discount rate</t>
  </si>
  <si>
    <t>Damodaran</t>
  </si>
  <si>
    <t>Average Awarded</t>
  </si>
  <si>
    <t>Annual Market</t>
  </si>
  <si>
    <t>Risk-Free</t>
  </si>
  <si>
    <t>Value Line</t>
  </si>
  <si>
    <t>Risk</t>
  </si>
  <si>
    <t>CAPM</t>
  </si>
  <si>
    <t xml:space="preserve">Rate </t>
  </si>
  <si>
    <t>Premium</t>
  </si>
  <si>
    <t>Company ERP</t>
  </si>
  <si>
    <t>Result</t>
  </si>
  <si>
    <t>Debt Ratio</t>
  </si>
  <si>
    <t>Discounted Cash Flow Model</t>
  </si>
  <si>
    <t>Model</t>
  </si>
  <si>
    <t>CMS</t>
  </si>
  <si>
    <t>DCF</t>
  </si>
  <si>
    <t>A</t>
  </si>
  <si>
    <t>B++</t>
  </si>
  <si>
    <t>B+</t>
  </si>
  <si>
    <t>[2] Large Cap &gt; $10 billion; Mid Cap &gt; $2 billion; Small Cap &gt; $200 million</t>
  </si>
  <si>
    <t>[8] Annual required market returns.  NYU Stern School of Business. http://pages.stern.nyu.edu/~adamodar/ (adding risk-free rate to implied ERP)</t>
  </si>
  <si>
    <t>Average annual awards</t>
  </si>
  <si>
    <t xml:space="preserve">All prices are adjusted closing prices reported by Yahoo! Finance, http://finance.yahoo.com </t>
  </si>
  <si>
    <r>
      <t>[10] = Compund annual growth rate of [2] = (end value / beginning value)^</t>
    </r>
    <r>
      <rPr>
        <vertAlign val="superscript"/>
        <sz val="9"/>
        <color theme="1"/>
        <rFont val="Calibri"/>
        <family val="2"/>
        <scheme val="minor"/>
      </rPr>
      <t>1/4</t>
    </r>
    <r>
      <rPr>
        <sz val="9"/>
        <color theme="1"/>
        <rFont val="Calibri"/>
        <family val="2"/>
        <scheme val="minor"/>
      </rPr>
      <t>-1</t>
    </r>
  </si>
  <si>
    <t>[1] Edison Electric Institute Financial Update.  Number of cases filed in each quarter.</t>
  </si>
  <si>
    <t>[2] Edison Electric Institute Financial Update.  Average awarded utility ROE each quarter.</t>
  </si>
  <si>
    <t xml:space="preserve">[3] Historical stock returns.  NYU Stern School of Business. http://pages.stern.nyu.edu/~adamodar/. </t>
  </si>
  <si>
    <t>Ameren Corp.</t>
  </si>
  <si>
    <t>CMS Energy Corp.</t>
  </si>
  <si>
    <t>Portland General</t>
  </si>
  <si>
    <t>Nominal GDP</t>
  </si>
  <si>
    <t>Yield</t>
  </si>
  <si>
    <t>Stock</t>
  </si>
  <si>
    <t>Inflation</t>
  </si>
  <si>
    <t>*Betas from Value Line Investment Survey</t>
  </si>
  <si>
    <t>Garrett</t>
  </si>
  <si>
    <t>[1] IESE Business School Survey</t>
  </si>
  <si>
    <t>[2] Graham and Harvey Survey</t>
  </si>
  <si>
    <t>of Equity</t>
  </si>
  <si>
    <t>ALLETE</t>
  </si>
  <si>
    <t>El Paso Electric</t>
  </si>
  <si>
    <t>Otter Tail Corp.</t>
  </si>
  <si>
    <t>[3] = [1] / [2]</t>
  </si>
  <si>
    <t>Awarded Rate of Return</t>
  </si>
  <si>
    <t>Debt ratios from Value Line Investment Survey</t>
  </si>
  <si>
    <t>[6] = [1] + [2] * [3]</t>
  </si>
  <si>
    <t>*Daily Treasury Yield Curve Rates on 30-year T-bonds, http://www.treasury.gov/resources-center/data-chart-center/interest-rates/.</t>
  </si>
  <si>
    <t>Black Hills</t>
  </si>
  <si>
    <t>Avista Corp.</t>
  </si>
  <si>
    <t>NorthWestern Corp.</t>
  </si>
  <si>
    <t>ALE</t>
  </si>
  <si>
    <t>AVA</t>
  </si>
  <si>
    <t>BKH</t>
  </si>
  <si>
    <t>EE</t>
  </si>
  <si>
    <t>NWE</t>
  </si>
  <si>
    <t>OTTR</t>
  </si>
  <si>
    <t>Estimate</t>
  </si>
  <si>
    <t>Graham Harvey Survey</t>
  </si>
  <si>
    <t>IESE Survey</t>
  </si>
  <si>
    <t>[4] From implied ERP exhibit herein</t>
  </si>
  <si>
    <t>Market Cost</t>
  </si>
  <si>
    <t>RECOMMENDED</t>
  </si>
  <si>
    <t>IESE Business School Survey</t>
  </si>
  <si>
    <t>Graham &amp; Harvey Survey</t>
  </si>
  <si>
    <t>Duff &amp; Phelps Report</t>
  </si>
  <si>
    <t>[3] Duff &amp; Phelps Client Alert 2016</t>
  </si>
  <si>
    <t xml:space="preserve">[4] Highest ERP est., http://pages.stern.nyu.edu/~adamodar/ </t>
  </si>
  <si>
    <t>[3] Recent highest reported ERP + risk-free rate</t>
  </si>
  <si>
    <t>[2] Average reported ERP + risk-free rate</t>
  </si>
  <si>
    <t>[1] Average reported ERP + riskfree rate</t>
  </si>
  <si>
    <t>Steel</t>
  </si>
  <si>
    <t>DTE Energy Co.</t>
  </si>
  <si>
    <t>DTE</t>
  </si>
  <si>
    <t>IDA</t>
  </si>
  <si>
    <t>[1], [4], [5], [6] Value Line Investment Survey</t>
  </si>
  <si>
    <t>Moody's Ratings</t>
  </si>
  <si>
    <t>A3</t>
  </si>
  <si>
    <t>Baa1</t>
  </si>
  <si>
    <t>[3] Bond ratings</t>
  </si>
  <si>
    <t>Inputs</t>
  </si>
  <si>
    <t>Ratings Table</t>
  </si>
  <si>
    <t>Coverage</t>
  </si>
  <si>
    <t>Bond</t>
  </si>
  <si>
    <t>Interest</t>
  </si>
  <si>
    <t>EBIT</t>
  </si>
  <si>
    <t>Ratio</t>
  </si>
  <si>
    <t>Rating</t>
  </si>
  <si>
    <t>Spread</t>
  </si>
  <si>
    <t>Interest Expense</t>
  </si>
  <si>
    <t>Aaa/AAA</t>
  </si>
  <si>
    <t>Book Debt</t>
  </si>
  <si>
    <t>Aa2/AA</t>
  </si>
  <si>
    <t>Book Equity</t>
  </si>
  <si>
    <t>A1/A+</t>
  </si>
  <si>
    <t>Debt / Capital</t>
  </si>
  <si>
    <t>A2/A</t>
  </si>
  <si>
    <t>Debt / Equity</t>
  </si>
  <si>
    <t>A3/A-</t>
  </si>
  <si>
    <t>Debt Cost</t>
  </si>
  <si>
    <t xml:space="preserve"> </t>
  </si>
  <si>
    <t>2.5 - 2.99</t>
  </si>
  <si>
    <t>Baa2/BBB</t>
  </si>
  <si>
    <t>Tax Rate</t>
  </si>
  <si>
    <t>Ba1/BB+</t>
  </si>
  <si>
    <t>Unlevered Beta</t>
  </si>
  <si>
    <t>Ba2/BB</t>
  </si>
  <si>
    <t>B1/B+</t>
  </si>
  <si>
    <t>Equity Risk Premium</t>
  </si>
  <si>
    <t>B2/B</t>
  </si>
  <si>
    <t>Coverage Ratio</t>
  </si>
  <si>
    <t>1.25 - 1.49</t>
  </si>
  <si>
    <t>B3/B-</t>
  </si>
  <si>
    <t>Bond Rating</t>
  </si>
  <si>
    <t>Caa/CCC</t>
  </si>
  <si>
    <t>Figure</t>
  </si>
  <si>
    <t>[21]</t>
  </si>
  <si>
    <t>[22]</t>
  </si>
  <si>
    <t>[23]</t>
  </si>
  <si>
    <t>[24]</t>
  </si>
  <si>
    <t>[25]</t>
  </si>
  <si>
    <t>[26]</t>
  </si>
  <si>
    <t>[27]</t>
  </si>
  <si>
    <t>[28]</t>
  </si>
  <si>
    <t>[29]</t>
  </si>
  <si>
    <t>Optimal Capital Structure Calculation</t>
  </si>
  <si>
    <t>Debt</t>
  </si>
  <si>
    <t>D/E</t>
  </si>
  <si>
    <t>Levered</t>
  </si>
  <si>
    <t>True Cost</t>
  </si>
  <si>
    <t>Awarded</t>
  </si>
  <si>
    <t>Pre-tax</t>
  </si>
  <si>
    <t>After-tax</t>
  </si>
  <si>
    <t>Optimal</t>
  </si>
  <si>
    <t>WACC at</t>
  </si>
  <si>
    <t>Level</t>
  </si>
  <si>
    <t>Expense</t>
  </si>
  <si>
    <t>WACC</t>
  </si>
  <si>
    <t>∞</t>
  </si>
  <si>
    <t>[12] = [1] / [2]</t>
  </si>
  <si>
    <t>[21] = [10] + [20] * [11]</t>
  </si>
  <si>
    <t>[13] Company bond rating</t>
  </si>
  <si>
    <t>[22] Recommended awarded ROE</t>
  </si>
  <si>
    <t>[5] = [3] / ([3] + [4])</t>
  </si>
  <si>
    <t>[14] Ranges of coverage ratios</t>
  </si>
  <si>
    <t>[23] = [18] * ([3] + [4]); (000's)</t>
  </si>
  <si>
    <t>[6] = [3] / [4]</t>
  </si>
  <si>
    <t>[15] Moody's / S&amp;P bond ratings</t>
  </si>
  <si>
    <t>[24] = [22] * [7]; (000's)</t>
  </si>
  <si>
    <t>[16] NYU spread over risk-free rate</t>
  </si>
  <si>
    <t>[25] = [1] / [23]</t>
  </si>
  <si>
    <t>[8] Estimated corporate tax rate</t>
  </si>
  <si>
    <t>[17] = [16] + [10] = est. debt cost</t>
  </si>
  <si>
    <t>[26] Debt cost given coverage ratio per Ratings Table</t>
  </si>
  <si>
    <t>[9] Average beta / (1+(1 - [8])*[6])</t>
  </si>
  <si>
    <t>[18] = debt / total capital</t>
  </si>
  <si>
    <t>[27] = [25] * (1 - [8])</t>
  </si>
  <si>
    <t xml:space="preserve">[19] = [18] / (1 - [18])  </t>
  </si>
  <si>
    <t>[28] = ([18] * [26]) + ((1 - [18]) * [21])</t>
  </si>
  <si>
    <t>[20] = [9] * (1 + (1 - [8]) * [6]</t>
  </si>
  <si>
    <t>[29] = ([18] * [26]) + ((1 - [18]) * [22])</t>
  </si>
  <si>
    <t>[3], [4] Company Schedule DPH-31 (000's)</t>
  </si>
  <si>
    <t>[1], [2] Q-AG-01-002 AG-1-2 Attachment (11) (000's)</t>
  </si>
  <si>
    <t>[7] Company Schedule DPH-31</t>
  </si>
  <si>
    <t>[10] From DJG risk-free rate exhibit</t>
  </si>
  <si>
    <t>Number of Fimrs</t>
  </si>
  <si>
    <t>Advertising</t>
  </si>
  <si>
    <t>Air Transport</t>
  </si>
  <si>
    <t>Auto &amp; Truck</t>
  </si>
  <si>
    <t>Bank (Money Center)</t>
  </si>
  <si>
    <t>Beverage (Soft)</t>
  </si>
  <si>
    <t>Brokerage &amp; Investment Banking</t>
  </si>
  <si>
    <t>Cable TV</t>
  </si>
  <si>
    <t>Coal &amp; Related Energy</t>
  </si>
  <si>
    <t>Hospitals/Healthcare Facilities</t>
  </si>
  <si>
    <t>Hotel/Gaming</t>
  </si>
  <si>
    <t>Office Equipment &amp; Services</t>
  </si>
  <si>
    <t>Packaging &amp; Container</t>
  </si>
  <si>
    <t>R.E.I.T.</t>
  </si>
  <si>
    <t>Restaurant/Dining</t>
  </si>
  <si>
    <t>Retail (Automotive)</t>
  </si>
  <si>
    <t>Retail (Building Supply)</t>
  </si>
  <si>
    <t>Retail (Distributors)</t>
  </si>
  <si>
    <t>Telecom (Wireless)</t>
  </si>
  <si>
    <t>Telecom. Services</t>
  </si>
  <si>
    <t>Tobacco</t>
  </si>
  <si>
    <t>Trucking</t>
  </si>
  <si>
    <t>Total / Average</t>
  </si>
  <si>
    <t>http://pages.stern.nyu.edu/~adamodar/New_Home_Page/datafile/dbtfund.htm</t>
  </si>
  <si>
    <t>Power</t>
  </si>
  <si>
    <t>Food Wholesalers</t>
  </si>
  <si>
    <t>Retail (Grocery and Food)</t>
  </si>
  <si>
    <t>Real Estate (Operations &amp; Services)</t>
  </si>
  <si>
    <t>Transportation</t>
  </si>
  <si>
    <t>Chemical (Basic)</t>
  </si>
  <si>
    <t>Construction Supplies</t>
  </si>
  <si>
    <t>Environmental &amp; Waste Services</t>
  </si>
  <si>
    <t>Farming/Agriculture</t>
  </si>
  <si>
    <t>Business &amp; Consumer Services</t>
  </si>
  <si>
    <t>Green &amp; Renewable Energy</t>
  </si>
  <si>
    <t>Computer Services</t>
  </si>
  <si>
    <t>Oil/Gas Distribution</t>
  </si>
  <si>
    <t>Utility (Water)</t>
  </si>
  <si>
    <t>Rubber&amp; Tires</t>
  </si>
  <si>
    <t>Drugs (Biotechnology)</t>
  </si>
  <si>
    <t>Chemical (Specialty)</t>
  </si>
  <si>
    <t>Recreation</t>
  </si>
  <si>
    <t>Software (System &amp; Application)</t>
  </si>
  <si>
    <t>Metals &amp; Mining</t>
  </si>
  <si>
    <t>Beverage (Alcoholic)</t>
  </si>
  <si>
    <t>Information Services</t>
  </si>
  <si>
    <t>Household Products</t>
  </si>
  <si>
    <t>Chemical (Diversified)</t>
  </si>
  <si>
    <t>Aerospace/Defense</t>
  </si>
  <si>
    <t>Building Materials</t>
  </si>
  <si>
    <t>Oil/Gas (Production and Exploration)</t>
  </si>
  <si>
    <t>Investments &amp; Asset Management</t>
  </si>
  <si>
    <t>Auto Parts</t>
  </si>
  <si>
    <t>8.75% ROE</t>
  </si>
  <si>
    <t>[2] Average stock price from DJG stock price exhibit.</t>
  </si>
  <si>
    <t>[1], [2] CBO Long-Term Budget Outlook 2016 - 2046</t>
  </si>
  <si>
    <t>[3] From DJG risk-free rate exhibit</t>
  </si>
  <si>
    <t>Growth Determinant</t>
  </si>
  <si>
    <t>[1] Average proxy dividend from DJG dividend exhibit</t>
  </si>
  <si>
    <t>[2] Average proxy stock price from DJG dividend exhibit</t>
  </si>
  <si>
    <t>[3] Highest growth rate from DJG growth determinant exhibit</t>
  </si>
  <si>
    <r>
      <t>[4] Quarterly DCF Approximation = [d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>(1 + g)</t>
    </r>
    <r>
      <rPr>
        <vertAlign val="superscript"/>
        <sz val="9"/>
        <color theme="1"/>
        <rFont val="Calibri"/>
        <family val="2"/>
        <scheme val="minor"/>
      </rPr>
      <t>0.25</t>
    </r>
    <r>
      <rPr>
        <sz val="9"/>
        <color theme="1"/>
        <rFont val="Calibri"/>
        <family val="2"/>
        <scheme val="minor"/>
      </rPr>
      <t>/P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+ (1 + g)</t>
    </r>
    <r>
      <rPr>
        <vertAlign val="superscript"/>
        <sz val="9"/>
        <color theme="1"/>
        <rFont val="Calibri"/>
        <family val="2"/>
        <scheme val="minor"/>
      </rPr>
      <t>0.25</t>
    </r>
    <r>
      <rPr>
        <sz val="9"/>
        <color theme="1"/>
        <rFont val="Calibri"/>
        <family val="2"/>
        <scheme val="minor"/>
      </rPr>
      <t>]</t>
    </r>
    <r>
      <rPr>
        <vertAlign val="superscript"/>
        <sz val="9"/>
        <color theme="1"/>
        <rFont val="Calibri"/>
        <family val="2"/>
        <scheme val="minor"/>
      </rPr>
      <t>4</t>
    </r>
    <r>
      <rPr>
        <sz val="9"/>
        <color theme="1"/>
        <rFont val="Calibri"/>
        <family val="2"/>
        <scheme val="minor"/>
      </rPr>
      <t xml:space="preserve"> - 1</t>
    </r>
  </si>
  <si>
    <t>[11] Risk-free rate from DJG risk-free rate exhibit</t>
  </si>
  <si>
    <t>[12] 30-day average of closing index prices from DJG stock price exhibit</t>
  </si>
  <si>
    <t>[5] From DJG implied ERP exhibit</t>
  </si>
  <si>
    <t>[1] From DJG risk-free rate exhibit</t>
  </si>
  <si>
    <t>[2] From DJG beta exhibit</t>
  </si>
  <si>
    <t>[3] From DJG equity risk premium exhibit</t>
  </si>
  <si>
    <t>[11] From DJG equity risk premium exhibit</t>
  </si>
  <si>
    <t>Avangrid, Inc.</t>
  </si>
  <si>
    <t>Edison International</t>
  </si>
  <si>
    <t>Exelon Corp.</t>
  </si>
  <si>
    <t>Hawaiian Elec.</t>
  </si>
  <si>
    <t>IDACORP, Inc.</t>
  </si>
  <si>
    <t>PG&amp;E Corp.</t>
  </si>
  <si>
    <t>Sempra Energy</t>
  </si>
  <si>
    <t>AGR</t>
  </si>
  <si>
    <t>Dominion Energy</t>
  </si>
  <si>
    <t>D</t>
  </si>
  <si>
    <t>EIX</t>
  </si>
  <si>
    <t>EXC</t>
  </si>
  <si>
    <t>HE</t>
  </si>
  <si>
    <t>PCG</t>
  </si>
  <si>
    <t>SRE</t>
  </si>
  <si>
    <t>NMF</t>
  </si>
  <si>
    <t>[1] Third quarter 2017 dividends per share.  Nasdaq.com</t>
  </si>
  <si>
    <t>Baa2</t>
  </si>
  <si>
    <t>[1-4] S&amp;P Quarterly Press Releases, data found at https://us.spindices.com/indices/equity/sp-500 (additional info tab) (all dollar figures are in $ billions)</t>
  </si>
  <si>
    <t>NA</t>
  </si>
  <si>
    <t>Highest</t>
  </si>
  <si>
    <t>8.5 - 10.00</t>
  </si>
  <si>
    <t>6.5 - 8.49</t>
  </si>
  <si>
    <t>5.5 - 6.49</t>
  </si>
  <si>
    <t>4.25 - 5.49</t>
  </si>
  <si>
    <t>3.0 - 4.24</t>
  </si>
  <si>
    <t>2.25 - 2.49</t>
  </si>
  <si>
    <t>2.0 - 2.24</t>
  </si>
  <si>
    <t>1.75 - 1.99</t>
  </si>
  <si>
    <t>1.5 - 1.74</t>
  </si>
  <si>
    <t>0.8 - 1.24</t>
  </si>
  <si>
    <t>9.9% ROE</t>
  </si>
  <si>
    <t>Dockets UE-170485 and UG-170486</t>
  </si>
  <si>
    <t>Exhibit DJG-4</t>
  </si>
  <si>
    <t>Terminal Growth Rates</t>
  </si>
  <si>
    <t>Page 5 of 17</t>
  </si>
  <si>
    <t>Page 6 of 17</t>
  </si>
  <si>
    <t>Final DCF Result</t>
  </si>
  <si>
    <t>Beta Results</t>
  </si>
  <si>
    <t>Page 8 of 17</t>
  </si>
  <si>
    <t>Page 12 of 17</t>
  </si>
  <si>
    <t>Cost of Equity Summary</t>
  </si>
  <si>
    <t>Market Cost of Equity</t>
  </si>
  <si>
    <t>Page 13 of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</si>
</sst>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"/>
    <numFmt numFmtId="166" formatCode="#,##0.000_);[Red]\(#,##0.000\)"/>
    <numFmt numFmtId="167" formatCode="0.00_);[Red]\(0.00\)"/>
    <numFmt numFmtId="168" formatCode="_(* #,##0_);_(* \(#,##0\);_(* &quot;-&quot;??_);_(@_)"/>
    <numFmt numFmtId="169" formatCode="0.000_);[Red]\(0.000\)"/>
    <numFmt numFmtId="170" formatCode="#,##0.0000_);[Red]\(#,##0.0000\)"/>
    <numFmt numFmtId="171" formatCode="mm/dd/yy;@"/>
    <numFmt numFmtId="172" formatCode="0.0"/>
    <numFmt numFmtId="173" formatCode="###0;###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name val="Arial"/>
      <family val="2"/>
    </font>
    <font>
      <sz val="9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"/>
    </font>
    <font>
      <sz val="11"/>
      <color theme="1"/>
      <name val="Calibri"/>
      <family val="2"/>
    </font>
    <font>
      <vertAlign val="subscript"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14" fontId="0" fillId="0" borderId="0" xfId="0" applyNumberFormat="1"/>
    <xf numFmtId="166" fontId="0" fillId="0" borderId="0" xfId="0" applyNumberFormat="1" applyAlignment="1">
      <alignment horizontal="center"/>
    </xf>
    <xf numFmtId="167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/>
    <xf numFmtId="0" fontId="3" fillId="0" borderId="0" xfId="0" applyFont="1"/>
    <xf numFmtId="0" fontId="0" fillId="0" borderId="1" xfId="0" applyFill="1" applyBorder="1" applyAlignment="1">
      <alignment horizontal="center" wrapText="1"/>
    </xf>
    <xf numFmtId="10" fontId="0" fillId="0" borderId="0" xfId="0" applyNumberFormat="1"/>
    <xf numFmtId="0" fontId="0" fillId="0" borderId="0" xfId="0" applyFont="1" applyAlignment="1">
      <alignment horizontal="center"/>
    </xf>
    <xf numFmtId="168" fontId="0" fillId="0" borderId="0" xfId="2" applyNumberFormat="1" applyFont="1"/>
    <xf numFmtId="0" fontId="3" fillId="0" borderId="0" xfId="0" applyFont="1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Border="1"/>
    <xf numFmtId="164" fontId="0" fillId="0" borderId="0" xfId="1" applyNumberFormat="1" applyFont="1" applyBorder="1" applyAlignment="1">
      <alignment horizontal="center" vertical="center"/>
    </xf>
    <xf numFmtId="0" fontId="0" fillId="0" borderId="0" xfId="0" applyBorder="1"/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/>
    <xf numFmtId="0" fontId="3" fillId="0" borderId="0" xfId="0" applyFont="1" applyBorder="1"/>
    <xf numFmtId="0" fontId="3" fillId="0" borderId="0" xfId="0" applyFont="1" applyAlignment="1">
      <alignment horizontal="center" vertical="center" wrapText="1"/>
    </xf>
    <xf numFmtId="164" fontId="0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right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69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165" fontId="0" fillId="0" borderId="0" xfId="0" applyNumberFormat="1" applyAlignment="1">
      <alignment horizontal="center"/>
    </xf>
    <xf numFmtId="10" fontId="3" fillId="0" borderId="0" xfId="1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70" fontId="0" fillId="0" borderId="0" xfId="2" applyNumberFormat="1" applyFont="1" applyAlignment="1">
      <alignment horizontal="center"/>
    </xf>
    <xf numFmtId="0" fontId="0" fillId="0" borderId="0" xfId="0"/>
    <xf numFmtId="10" fontId="0" fillId="0" borderId="0" xfId="1" applyNumberFormat="1" applyFon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0" fontId="3" fillId="0" borderId="0" xfId="1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5" fontId="0" fillId="0" borderId="0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Alignment="1">
      <alignment horizontal="center"/>
    </xf>
    <xf numFmtId="10" fontId="3" fillId="0" borderId="0" xfId="0" applyNumberFormat="1" applyFont="1"/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7" fontId="0" fillId="0" borderId="0" xfId="2" applyNumberFormat="1" applyFont="1" applyAlignment="1">
      <alignment horizontal="right" indent="1"/>
    </xf>
    <xf numFmtId="37" fontId="0" fillId="0" borderId="0" xfId="2" applyNumberFormat="1" applyFont="1" applyAlignment="1">
      <alignment horizontal="center"/>
    </xf>
    <xf numFmtId="37" fontId="0" fillId="0" borderId="0" xfId="2" applyNumberFormat="1" applyFont="1" applyAlignment="1">
      <alignment horizontal="right" indent="2"/>
    </xf>
    <xf numFmtId="0" fontId="0" fillId="0" borderId="1" xfId="0" applyFont="1" applyBorder="1" applyAlignment="1">
      <alignment horizontal="left"/>
    </xf>
    <xf numFmtId="10" fontId="3" fillId="0" borderId="1" xfId="0" applyNumberFormat="1" applyFont="1" applyBorder="1"/>
    <xf numFmtId="0" fontId="0" fillId="0" borderId="0" xfId="0" applyFont="1" applyBorder="1" applyAlignment="1">
      <alignment horizontal="left"/>
    </xf>
    <xf numFmtId="10" fontId="3" fillId="0" borderId="0" xfId="0" applyNumberFormat="1" applyFont="1" applyBorder="1"/>
    <xf numFmtId="2" fontId="0" fillId="0" borderId="0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Border="1" applyAlignment="1">
      <alignment horizontal="center"/>
    </xf>
    <xf numFmtId="10" fontId="0" fillId="0" borderId="0" xfId="1" applyNumberFormat="1" applyFont="1" applyBorder="1" applyAlignment="1">
      <alignment horizontal="right" indent="2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Border="1" applyAlignment="1">
      <alignment horizontal="center"/>
    </xf>
    <xf numFmtId="171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left" indent="2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1" xfId="0" applyBorder="1" applyAlignment="1">
      <alignment horizontal="center"/>
    </xf>
    <xf numFmtId="172" fontId="0" fillId="0" borderId="1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/>
    <xf numFmtId="17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7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8" fillId="0" borderId="0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173" fontId="8" fillId="0" borderId="0" xfId="0" applyNumberFormat="1" applyFont="1" applyFill="1" applyBorder="1" applyAlignment="1">
      <alignment horizontal="center" vertical="top" wrapText="1"/>
    </xf>
    <xf numFmtId="10" fontId="8" fillId="0" borderId="0" xfId="1" applyNumberFormat="1" applyFont="1" applyFill="1" applyBorder="1" applyAlignment="1">
      <alignment horizontal="right" vertical="top" wrapText="1" indent="4"/>
    </xf>
    <xf numFmtId="10" fontId="8" fillId="0" borderId="0" xfId="1" applyNumberFormat="1" applyFont="1" applyFill="1" applyBorder="1" applyAlignment="1">
      <alignment horizontal="right" vertical="top" indent="4"/>
    </xf>
    <xf numFmtId="10" fontId="8" fillId="0" borderId="1" xfId="1" applyNumberFormat="1" applyFont="1" applyFill="1" applyBorder="1" applyAlignment="1">
      <alignment horizontal="right" vertical="top" indent="4"/>
    </xf>
    <xf numFmtId="0" fontId="8" fillId="0" borderId="0" xfId="1" applyNumberFormat="1" applyFont="1" applyFill="1" applyBorder="1" applyAlignment="1">
      <alignment horizontal="center" vertical="top"/>
    </xf>
    <xf numFmtId="0" fontId="8" fillId="0" borderId="0" xfId="1" applyNumberFormat="1" applyFont="1" applyFill="1" applyBorder="1" applyAlignment="1">
      <alignment horizontal="left" vertical="top"/>
    </xf>
    <xf numFmtId="0" fontId="8" fillId="0" borderId="10" xfId="0" applyFont="1" applyFill="1" applyBorder="1" applyAlignment="1">
      <alignment horizontal="center" wrapText="1"/>
    </xf>
    <xf numFmtId="10" fontId="8" fillId="0" borderId="10" xfId="1" applyNumberFormat="1" applyFont="1" applyFill="1" applyBorder="1" applyAlignment="1">
      <alignment horizontal="right" vertical="top" indent="4"/>
    </xf>
    <xf numFmtId="0" fontId="8" fillId="0" borderId="1" xfId="1" applyNumberFormat="1" applyFont="1" applyFill="1" applyBorder="1" applyAlignment="1">
      <alignment horizontal="center" vertical="top"/>
    </xf>
    <xf numFmtId="0" fontId="8" fillId="0" borderId="0" xfId="1" applyNumberFormat="1" applyFont="1" applyFill="1" applyBorder="1" applyAlignment="1">
      <alignment horizontal="left" vertical="top" indent="2"/>
    </xf>
    <xf numFmtId="1" fontId="0" fillId="0" borderId="0" xfId="0" applyNumberFormat="1" applyBorder="1" applyAlignment="1">
      <alignment horizontal="center"/>
    </xf>
    <xf numFmtId="10" fontId="0" fillId="0" borderId="0" xfId="0" applyNumberForma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8" fillId="0" borderId="1" xfId="1" applyNumberFormat="1" applyFont="1" applyFill="1" applyBorder="1" applyAlignment="1">
      <alignment horizontal="left" vertical="top" indent="2"/>
    </xf>
    <xf numFmtId="0" fontId="10" fillId="0" borderId="0" xfId="1" applyNumberFormat="1" applyFont="1" applyFill="1" applyBorder="1" applyAlignment="1">
      <alignment horizontal="left" vertical="top"/>
    </xf>
    <xf numFmtId="164" fontId="0" fillId="0" borderId="1" xfId="1" applyNumberFormat="1" applyFont="1" applyBorder="1" applyAlignment="1">
      <alignment horizontal="center"/>
    </xf>
    <xf numFmtId="10" fontId="8" fillId="0" borderId="0" xfId="0" applyNumberFormat="1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left" vertical="top"/>
    </xf>
    <xf numFmtId="0" fontId="8" fillId="0" borderId="10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/>
    </xf>
    <xf numFmtId="0" fontId="8" fillId="0" borderId="1" xfId="1" applyNumberFormat="1" applyFont="1" applyFill="1" applyBorder="1" applyAlignment="1">
      <alignment horizontal="left" vertical="top"/>
    </xf>
    <xf numFmtId="10" fontId="8" fillId="0" borderId="0" xfId="1" applyNumberFormat="1" applyFont="1" applyFill="1" applyBorder="1" applyAlignment="1">
      <alignment horizontal="right" vertical="top" indent="3"/>
    </xf>
    <xf numFmtId="10" fontId="8" fillId="0" borderId="1" xfId="1" applyNumberFormat="1" applyFont="1" applyFill="1" applyBorder="1" applyAlignment="1">
      <alignment horizontal="right" vertical="top" indent="3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right"/>
    </xf>
    <xf numFmtId="14" fontId="0" fillId="0" borderId="0" xfId="0" applyNumberFormat="1" applyBorder="1" applyAlignment="1">
      <alignment horizontal="right"/>
    </xf>
    <xf numFmtId="0" fontId="11" fillId="0" borderId="0" xfId="0" applyFont="1"/>
    <xf numFmtId="166" fontId="0" fillId="0" borderId="1" xfId="0" applyNumberFormat="1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69" fontId="0" fillId="0" borderId="1" xfId="1" applyNumberFormat="1" applyFont="1" applyBorder="1" applyAlignment="1">
      <alignment horizontal="center"/>
    </xf>
    <xf numFmtId="10" fontId="3" fillId="0" borderId="1" xfId="1" applyNumberFormat="1" applyFont="1" applyBorder="1" applyAlignment="1">
      <alignment horizontal="center"/>
    </xf>
    <xf numFmtId="0" fontId="11" fillId="0" borderId="0" xfId="0" applyFont="1" applyAlignment="1">
      <alignment vertical="top"/>
    </xf>
    <xf numFmtId="0" fontId="13" fillId="0" borderId="13" xfId="0" applyFont="1" applyBorder="1" applyAlignment="1">
      <alignment horizontal="left" indent="1"/>
    </xf>
    <xf numFmtId="2" fontId="13" fillId="0" borderId="13" xfId="0" applyNumberFormat="1" applyFont="1" applyBorder="1" applyAlignment="1">
      <alignment horizontal="right" indent="1"/>
    </xf>
    <xf numFmtId="0" fontId="13" fillId="0" borderId="13" xfId="0" applyFont="1" applyBorder="1" applyAlignment="1">
      <alignment horizontal="right" indent="1"/>
    </xf>
    <xf numFmtId="0" fontId="14" fillId="0" borderId="1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164" fontId="15" fillId="0" borderId="1" xfId="0" applyNumberFormat="1" applyFont="1" applyBorder="1" applyAlignment="1">
      <alignment horizontal="center"/>
    </xf>
    <xf numFmtId="10" fontId="8" fillId="0" borderId="0" xfId="0" applyNumberFormat="1" applyFont="1" applyFill="1" applyBorder="1" applyAlignment="1">
      <alignment horizontal="left" vertical="top"/>
    </xf>
    <xf numFmtId="0" fontId="3" fillId="0" borderId="0" xfId="0" applyFont="1" applyBorder="1" applyAlignment="1">
      <alignment horizontal="center"/>
    </xf>
    <xf numFmtId="0" fontId="0" fillId="0" borderId="0" xfId="0"/>
    <xf numFmtId="10" fontId="0" fillId="0" borderId="1" xfId="0" applyNumberFormat="1" applyBorder="1" applyAlignment="1">
      <alignment horizontal="center"/>
    </xf>
    <xf numFmtId="9" fontId="0" fillId="0" borderId="0" xfId="1" applyNumberFormat="1" applyFont="1" applyAlignment="1">
      <alignment horizontal="center"/>
    </xf>
    <xf numFmtId="9" fontId="0" fillId="0" borderId="1" xfId="1" applyNumberFormat="1" applyFont="1" applyBorder="1" applyAlignment="1">
      <alignment horizontal="center"/>
    </xf>
    <xf numFmtId="10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1" xfId="0" applyFont="1" applyBorder="1"/>
    <xf numFmtId="0" fontId="0" fillId="0" borderId="0" xfId="0"/>
    <xf numFmtId="171" fontId="0" fillId="0" borderId="0" xfId="0" applyNumberFormat="1" applyBorder="1" applyAlignment="1">
      <alignment horizontal="center"/>
    </xf>
    <xf numFmtId="10" fontId="18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0" fontId="10" fillId="0" borderId="0" xfId="1" applyNumberFormat="1" applyFont="1" applyFill="1" applyBorder="1" applyAlignment="1">
      <alignment horizontal="right" vertical="top" indent="3"/>
    </xf>
    <xf numFmtId="0" fontId="3" fillId="0" borderId="0" xfId="0" applyFont="1"/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0" fontId="11" fillId="0" borderId="0" xfId="0" applyFont="1"/>
    <xf numFmtId="0" fontId="0" fillId="0" borderId="1" xfId="0" applyBorder="1" applyAlignment="1">
      <alignment horizontal="center"/>
    </xf>
    <xf numFmtId="0" fontId="0" fillId="0" borderId="0" xfId="0"/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40" fontId="0" fillId="0" borderId="0" xfId="0" applyNumberFormat="1" applyAlignment="1">
      <alignment horizontal="center"/>
    </xf>
    <xf numFmtId="40" fontId="0" fillId="0" borderId="0" xfId="2" applyNumberFormat="1" applyFont="1" applyAlignment="1">
      <alignment horizontal="center"/>
    </xf>
    <xf numFmtId="40" fontId="0" fillId="0" borderId="0" xfId="0" applyNumberFormat="1" applyAlignment="1">
      <alignment horizontal="right" indent="2"/>
    </xf>
    <xf numFmtId="40" fontId="0" fillId="0" borderId="0" xfId="1" applyNumberFormat="1" applyFont="1" applyAlignment="1">
      <alignment horizontal="right" indent="2"/>
    </xf>
    <xf numFmtId="40" fontId="0" fillId="0" borderId="0" xfId="0" applyNumberFormat="1" applyAlignment="1">
      <alignment horizontal="right" indent="3"/>
    </xf>
    <xf numFmtId="40" fontId="0" fillId="0" borderId="0" xfId="2" applyNumberFormat="1" applyFont="1" applyAlignment="1">
      <alignment horizontal="right" indent="3"/>
    </xf>
    <xf numFmtId="8" fontId="3" fillId="0" borderId="0" xfId="0" applyNumberFormat="1" applyFont="1" applyAlignment="1">
      <alignment horizontal="right" indent="3"/>
    </xf>
    <xf numFmtId="10" fontId="0" fillId="0" borderId="10" xfId="1" applyNumberFormat="1" applyFont="1" applyBorder="1" applyAlignment="1">
      <alignment horizontal="right" indent="2"/>
    </xf>
    <xf numFmtId="40" fontId="0" fillId="0" borderId="1" xfId="1" applyNumberFormat="1" applyFont="1" applyBorder="1" applyAlignment="1">
      <alignment horizontal="right" indent="2"/>
    </xf>
    <xf numFmtId="8" fontId="3" fillId="0" borderId="0" xfId="0" applyNumberFormat="1" applyFont="1" applyAlignment="1">
      <alignment horizontal="right" indent="2"/>
    </xf>
    <xf numFmtId="10" fontId="3" fillId="0" borderId="0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0" fontId="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40" fontId="0" fillId="0" borderId="0" xfId="0" applyNumberFormat="1" applyFont="1" applyAlignment="1">
      <alignment horizontal="right" indent="3"/>
    </xf>
    <xf numFmtId="167" fontId="1" fillId="0" borderId="0" xfId="1" applyNumberFormat="1" applyFont="1" applyAlignment="1">
      <alignment horizontal="center"/>
    </xf>
    <xf numFmtId="10" fontId="0" fillId="0" borderId="0" xfId="0" applyNumberFormat="1" applyFont="1" applyAlignment="1">
      <alignment horizontal="center"/>
    </xf>
    <xf numFmtId="40" fontId="0" fillId="0" borderId="1" xfId="2" applyNumberFormat="1" applyFont="1" applyBorder="1" applyAlignment="1">
      <alignment horizontal="center"/>
    </xf>
    <xf numFmtId="169" fontId="0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1" fillId="0" borderId="0" xfId="0" applyFont="1"/>
    <xf numFmtId="164" fontId="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164" fontId="6" fillId="0" borderId="12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10" fillId="0" borderId="0" xfId="1" applyNumberFormat="1" applyFont="1" applyFill="1" applyBorder="1" applyAlignment="1">
      <alignment horizontal="right" vertical="top" indent="4"/>
    </xf>
    <xf numFmtId="1" fontId="0" fillId="0" borderId="0" xfId="0" applyNumberFormat="1" applyAlignment="1">
      <alignment horizontal="right" indent="1"/>
    </xf>
    <xf numFmtId="1" fontId="0" fillId="0" borderId="0" xfId="0" applyNumberFormat="1"/>
    <xf numFmtId="1" fontId="0" fillId="0" borderId="1" xfId="0" applyNumberFormat="1" applyBorder="1" applyAlignment="1">
      <alignment horizontal="right" indent="1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/>
    <xf numFmtId="0" fontId="11" fillId="0" borderId="0" xfId="0" applyFont="1"/>
    <xf numFmtId="0" fontId="8" fillId="0" borderId="0" xfId="0" applyFont="1" applyFill="1" applyBorder="1" applyAlignment="1">
      <alignment horizontal="center" vertical="top"/>
    </xf>
    <xf numFmtId="0" fontId="8" fillId="0" borderId="0" xfId="1" applyNumberFormat="1" applyFont="1" applyFill="1" applyBorder="1" applyAlignment="1">
      <alignment horizontal="left" vertical="top" wrapText="1"/>
    </xf>
    <xf numFmtId="166" fontId="0" fillId="0" borderId="0" xfId="0" applyNumberFormat="1" applyAlignment="1">
      <alignment horizontal="right" indent="2"/>
    </xf>
    <xf numFmtId="166" fontId="0" fillId="0" borderId="0" xfId="2" applyNumberFormat="1" applyFont="1" applyAlignment="1">
      <alignment horizontal="right" indent="2"/>
    </xf>
    <xf numFmtId="166" fontId="0" fillId="0" borderId="1" xfId="0" applyNumberFormat="1" applyBorder="1" applyAlignment="1">
      <alignment horizontal="right" indent="2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11" fillId="0" borderId="0" xfId="0" applyFont="1"/>
    <xf numFmtId="10" fontId="0" fillId="0" borderId="0" xfId="1" applyNumberFormat="1" applyFont="1" applyAlignment="1">
      <alignment horizontal="right" indent="1"/>
    </xf>
    <xf numFmtId="10" fontId="0" fillId="0" borderId="0" xfId="1" applyNumberFormat="1" applyFont="1" applyAlignment="1">
      <alignment horizontal="right" indent="4"/>
    </xf>
    <xf numFmtId="0" fontId="0" fillId="0" borderId="14" xfId="0" applyBorder="1"/>
    <xf numFmtId="3" fontId="0" fillId="0" borderId="0" xfId="0" applyNumberFormat="1"/>
    <xf numFmtId="42" fontId="0" fillId="0" borderId="0" xfId="0" applyNumberFormat="1"/>
    <xf numFmtId="42" fontId="0" fillId="0" borderId="0" xfId="0" applyNumberFormat="1" applyAlignment="1">
      <alignment horizontal="center"/>
    </xf>
    <xf numFmtId="10" fontId="0" fillId="0" borderId="0" xfId="0" applyNumberFormat="1" applyAlignment="1">
      <alignment horizontal="right" indent="1"/>
    </xf>
    <xf numFmtId="9" fontId="0" fillId="0" borderId="0" xfId="1" applyNumberFormat="1" applyFont="1"/>
    <xf numFmtId="165" fontId="0" fillId="0" borderId="0" xfId="0" applyNumberFormat="1"/>
    <xf numFmtId="10" fontId="0" fillId="0" borderId="0" xfId="0" applyNumberFormat="1" applyFill="1" applyAlignment="1">
      <alignment horizontal="right"/>
    </xf>
    <xf numFmtId="9" fontId="0" fillId="0" borderId="0" xfId="1" applyFont="1" applyAlignment="1">
      <alignment horizontal="right" indent="1"/>
    </xf>
    <xf numFmtId="9" fontId="0" fillId="0" borderId="0" xfId="1" applyNumberFormat="1" applyFont="1" applyAlignment="1">
      <alignment horizontal="right" indent="1"/>
    </xf>
    <xf numFmtId="0" fontId="19" fillId="0" borderId="0" xfId="0" applyNumberFormat="1" applyFont="1" applyAlignment="1">
      <alignment horizontal="center"/>
    </xf>
    <xf numFmtId="9" fontId="0" fillId="0" borderId="0" xfId="1" applyFont="1" applyFill="1" applyAlignment="1">
      <alignment horizontal="right" indent="1"/>
    </xf>
    <xf numFmtId="172" fontId="0" fillId="0" borderId="0" xfId="0" applyNumberFormat="1" applyAlignment="1">
      <alignment horizontal="right" indent="2"/>
    </xf>
    <xf numFmtId="10" fontId="0" fillId="0" borderId="0" xfId="1" applyNumberFormat="1" applyFont="1" applyFill="1" applyAlignment="1">
      <alignment horizontal="right" indent="1"/>
    </xf>
    <xf numFmtId="9" fontId="1" fillId="0" borderId="0" xfId="1" applyFont="1" applyFill="1" applyAlignment="1">
      <alignment horizontal="right" indent="1"/>
    </xf>
    <xf numFmtId="9" fontId="0" fillId="0" borderId="0" xfId="1" applyNumberFormat="1" applyFont="1" applyFill="1" applyAlignment="1">
      <alignment horizontal="right" indent="1"/>
    </xf>
    <xf numFmtId="9" fontId="0" fillId="0" borderId="0" xfId="1" applyNumberFormat="1" applyFont="1" applyFill="1"/>
    <xf numFmtId="165" fontId="0" fillId="0" borderId="0" xfId="0" applyNumberFormat="1" applyFill="1" applyAlignment="1">
      <alignment horizontal="center"/>
    </xf>
    <xf numFmtId="165" fontId="0" fillId="0" borderId="0" xfId="0" applyNumberFormat="1" applyFill="1"/>
    <xf numFmtId="10" fontId="0" fillId="0" borderId="0" xfId="0" applyNumberFormat="1" applyFill="1" applyAlignment="1">
      <alignment horizontal="right" indent="1"/>
    </xf>
    <xf numFmtId="10" fontId="0" fillId="0" borderId="0" xfId="0" applyNumberFormat="1" applyFill="1"/>
    <xf numFmtId="3" fontId="0" fillId="0" borderId="0" xfId="0" applyNumberFormat="1" applyFill="1"/>
    <xf numFmtId="2" fontId="0" fillId="0" borderId="0" xfId="0" applyNumberFormat="1" applyFill="1" applyAlignment="1">
      <alignment horizontal="center"/>
    </xf>
    <xf numFmtId="172" fontId="0" fillId="0" borderId="0" xfId="0" applyNumberFormat="1" applyFill="1" applyAlignment="1">
      <alignment horizontal="right" indent="2"/>
    </xf>
    <xf numFmtId="10" fontId="1" fillId="0" borderId="0" xfId="1" applyNumberFormat="1" applyFont="1" applyFill="1" applyAlignment="1">
      <alignment horizontal="right" indent="1"/>
    </xf>
    <xf numFmtId="0" fontId="11" fillId="0" borderId="0" xfId="0" applyFont="1" applyAlignment="1">
      <alignment horizontal="left" indent="1"/>
    </xf>
    <xf numFmtId="10" fontId="1" fillId="2" borderId="0" xfId="1" applyNumberFormat="1" applyFont="1" applyFill="1" applyAlignment="1">
      <alignment horizontal="right" indent="1"/>
    </xf>
    <xf numFmtId="9" fontId="1" fillId="2" borderId="0" xfId="1" applyFont="1" applyFill="1" applyAlignment="1">
      <alignment horizontal="right" indent="1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/>
    </xf>
    <xf numFmtId="10" fontId="0" fillId="0" borderId="15" xfId="1" applyNumberFormat="1" applyFont="1" applyBorder="1" applyAlignment="1">
      <alignment horizontal="right" indent="1"/>
    </xf>
    <xf numFmtId="10" fontId="0" fillId="0" borderId="15" xfId="1" applyNumberFormat="1" applyFont="1" applyBorder="1"/>
    <xf numFmtId="10" fontId="0" fillId="0" borderId="15" xfId="0" applyNumberFormat="1" applyBorder="1" applyAlignment="1">
      <alignment horizontal="right" indent="1"/>
    </xf>
    <xf numFmtId="0" fontId="0" fillId="0" borderId="0" xfId="0" applyAlignment="1">
      <alignment horizontal="center"/>
    </xf>
    <xf numFmtId="0" fontId="0" fillId="0" borderId="0" xfId="0"/>
    <xf numFmtId="0" fontId="11" fillId="0" borderId="0" xfId="0" applyFont="1"/>
    <xf numFmtId="0" fontId="0" fillId="0" borderId="0" xfId="0"/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/>
    <xf numFmtId="0" fontId="21" fillId="0" borderId="1" xfId="0" applyFont="1" applyBorder="1"/>
    <xf numFmtId="0" fontId="21" fillId="0" borderId="0" xfId="0" applyFont="1"/>
    <xf numFmtId="0" fontId="21" fillId="0" borderId="0" xfId="0" applyFont="1" applyBorder="1" applyAlignment="1">
      <alignment horizontal="left"/>
    </xf>
    <xf numFmtId="10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0" fontId="21" fillId="0" borderId="0" xfId="1" applyNumberFormat="1" applyFont="1"/>
    <xf numFmtId="0" fontId="21" fillId="0" borderId="0" xfId="0" applyFont="1" applyAlignment="1">
      <alignment horizontal="left"/>
    </xf>
    <xf numFmtId="164" fontId="21" fillId="0" borderId="0" xfId="1" applyNumberFormat="1" applyFont="1" applyBorder="1" applyAlignment="1">
      <alignment horizontal="center"/>
    </xf>
    <xf numFmtId="10" fontId="21" fillId="0" borderId="0" xfId="1" applyNumberFormat="1" applyFont="1" applyAlignment="1">
      <alignment horizontal="center"/>
    </xf>
    <xf numFmtId="0" fontId="21" fillId="0" borderId="0" xfId="0" applyFont="1" applyAlignment="1">
      <alignment horizontal="left" indent="1"/>
    </xf>
    <xf numFmtId="10" fontId="21" fillId="0" borderId="0" xfId="1" applyNumberFormat="1" applyFont="1" applyBorder="1" applyAlignment="1">
      <alignment horizontal="center"/>
    </xf>
    <xf numFmtId="164" fontId="21" fillId="0" borderId="0" xfId="0" applyNumberFormat="1" applyFont="1"/>
    <xf numFmtId="10" fontId="21" fillId="0" borderId="0" xfId="0" applyNumberFormat="1" applyFont="1" applyBorder="1" applyAlignment="1">
      <alignment horizontal="left"/>
    </xf>
    <xf numFmtId="164" fontId="21" fillId="0" borderId="1" xfId="1" applyNumberFormat="1" applyFont="1" applyBorder="1" applyAlignment="1">
      <alignment horizontal="center"/>
    </xf>
    <xf numFmtId="164" fontId="21" fillId="0" borderId="0" xfId="0" applyNumberFormat="1" applyFont="1" applyBorder="1" applyAlignment="1">
      <alignment horizontal="center"/>
    </xf>
    <xf numFmtId="10" fontId="21" fillId="0" borderId="0" xfId="0" applyNumberFormat="1" applyFont="1" applyBorder="1" applyAlignment="1">
      <alignment horizontal="center"/>
    </xf>
    <xf numFmtId="164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0" fontId="22" fillId="0" borderId="1" xfId="0" applyFont="1" applyBorder="1"/>
    <xf numFmtId="10" fontId="22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0" borderId="0" xfId="0"/>
    <xf numFmtId="0" fontId="24" fillId="0" borderId="1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  <xf numFmtId="0" fontId="25" fillId="0" borderId="0" xfId="0" applyFont="1" applyFill="1" applyAlignment="1">
      <alignment horizontal="left" indent="1"/>
    </xf>
    <xf numFmtId="38" fontId="25" fillId="0" borderId="0" xfId="0" applyNumberFormat="1" applyFont="1" applyAlignment="1">
      <alignment horizontal="right" indent="1"/>
    </xf>
    <xf numFmtId="38" fontId="25" fillId="0" borderId="0" xfId="0" applyNumberFormat="1" applyFont="1" applyAlignment="1">
      <alignment horizontal="right" indent="3"/>
    </xf>
    <xf numFmtId="38" fontId="25" fillId="0" borderId="0" xfId="0" applyNumberFormat="1" applyFont="1" applyFill="1" applyAlignment="1">
      <alignment horizontal="left" indent="1"/>
    </xf>
    <xf numFmtId="38" fontId="25" fillId="0" borderId="0" xfId="0" applyNumberFormat="1" applyFont="1" applyFill="1" applyAlignment="1">
      <alignment horizontal="left" indent="2"/>
    </xf>
    <xf numFmtId="0" fontId="25" fillId="0" borderId="0" xfId="0" applyFont="1" applyFill="1" applyAlignment="1">
      <alignment horizontal="left" indent="3"/>
    </xf>
    <xf numFmtId="164" fontId="25" fillId="0" borderId="0" xfId="1" applyNumberFormat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5" fillId="0" borderId="0" xfId="0" applyFont="1" applyAlignment="1">
      <alignment horizontal="left" indent="3"/>
    </xf>
    <xf numFmtId="38" fontId="25" fillId="0" borderId="0" xfId="0" applyNumberFormat="1" applyFont="1" applyAlignment="1">
      <alignment horizontal="left" indent="1"/>
    </xf>
    <xf numFmtId="168" fontId="25" fillId="0" borderId="0" xfId="2" applyNumberFormat="1" applyFont="1"/>
    <xf numFmtId="38" fontId="25" fillId="0" borderId="0" xfId="2" applyNumberFormat="1" applyFont="1" applyAlignment="1">
      <alignment horizontal="right" indent="3"/>
    </xf>
    <xf numFmtId="0" fontId="25" fillId="0" borderId="1" xfId="0" applyFont="1" applyBorder="1"/>
    <xf numFmtId="0" fontId="26" fillId="0" borderId="1" xfId="0" applyFont="1" applyFill="1" applyBorder="1" applyAlignment="1">
      <alignment horizontal="center"/>
    </xf>
    <xf numFmtId="38" fontId="25" fillId="0" borderId="1" xfId="0" applyNumberFormat="1" applyFont="1" applyBorder="1" applyAlignment="1">
      <alignment horizontal="right" indent="2"/>
    </xf>
    <xf numFmtId="38" fontId="25" fillId="0" borderId="1" xfId="0" applyNumberFormat="1" applyFont="1" applyBorder="1" applyAlignment="1">
      <alignment horizontal="right" indent="3"/>
    </xf>
    <xf numFmtId="38" fontId="25" fillId="0" borderId="1" xfId="0" applyNumberFormat="1" applyFont="1" applyBorder="1" applyAlignment="1">
      <alignment horizontal="left" indent="1"/>
    </xf>
    <xf numFmtId="38" fontId="25" fillId="0" borderId="1" xfId="0" applyNumberFormat="1" applyFont="1" applyBorder="1" applyAlignment="1">
      <alignment horizontal="left" indent="2"/>
    </xf>
    <xf numFmtId="164" fontId="25" fillId="0" borderId="1" xfId="1" applyNumberFormat="1" applyFont="1" applyBorder="1" applyAlignment="1">
      <alignment horizontal="left" indent="2"/>
    </xf>
    <xf numFmtId="164" fontId="25" fillId="0" borderId="1" xfId="1" applyNumberFormat="1" applyFont="1" applyBorder="1" applyAlignment="1">
      <alignment horizontal="center"/>
    </xf>
    <xf numFmtId="0" fontId="25" fillId="0" borderId="1" xfId="0" applyFont="1" applyBorder="1" applyAlignment="1">
      <alignment horizontal="left" indent="3"/>
    </xf>
    <xf numFmtId="0" fontId="25" fillId="0" borderId="0" xfId="0" applyFont="1" applyBorder="1"/>
    <xf numFmtId="0" fontId="26" fillId="0" borderId="0" xfId="0" applyFont="1" applyFill="1" applyAlignment="1">
      <alignment horizontal="center"/>
    </xf>
    <xf numFmtId="38" fontId="25" fillId="0" borderId="0" xfId="0" applyNumberFormat="1" applyFont="1" applyAlignment="1">
      <alignment horizontal="right" indent="2"/>
    </xf>
    <xf numFmtId="38" fontId="25" fillId="0" borderId="0" xfId="0" applyNumberFormat="1" applyFont="1" applyAlignment="1">
      <alignment horizontal="left" indent="2"/>
    </xf>
    <xf numFmtId="0" fontId="25" fillId="0" borderId="0" xfId="0" applyFont="1" applyAlignment="1">
      <alignment horizontal="left" indent="2"/>
    </xf>
    <xf numFmtId="164" fontId="25" fillId="0" borderId="0" xfId="1" applyNumberFormat="1" applyFont="1" applyAlignment="1">
      <alignment horizontal="center"/>
    </xf>
    <xf numFmtId="0" fontId="27" fillId="0" borderId="0" xfId="0" applyFont="1"/>
    <xf numFmtId="10" fontId="3" fillId="0" borderId="12" xfId="1" applyNumberFormat="1" applyFont="1" applyFill="1" applyBorder="1" applyAlignment="1">
      <alignment horizontal="center"/>
    </xf>
    <xf numFmtId="10" fontId="21" fillId="3" borderId="0" xfId="1" applyNumberFormat="1" applyFont="1" applyFill="1"/>
    <xf numFmtId="10" fontId="0" fillId="0" borderId="0" xfId="1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0" fontId="0" fillId="4" borderId="0" xfId="1" applyNumberFormat="1" applyFont="1" applyFill="1" applyBorder="1" applyAlignment="1">
      <alignment horizontal="right" indent="1"/>
    </xf>
    <xf numFmtId="10" fontId="0" fillId="2" borderId="0" xfId="1" applyNumberFormat="1" applyFont="1" applyFill="1" applyAlignment="1">
      <alignment horizontal="right" indent="1"/>
    </xf>
    <xf numFmtId="9" fontId="0" fillId="2" borderId="0" xfId="1" applyFont="1" applyFill="1" applyAlignment="1">
      <alignment horizontal="right" indent="1"/>
    </xf>
    <xf numFmtId="9" fontId="1" fillId="4" borderId="0" xfId="1" applyFont="1" applyFill="1" applyAlignment="1">
      <alignment horizontal="right" indent="1"/>
    </xf>
    <xf numFmtId="0" fontId="28" fillId="0" borderId="1" xfId="0" applyFont="1" applyBorder="1"/>
    <xf numFmtId="9" fontId="28" fillId="0" borderId="1" xfId="1" applyFont="1" applyBorder="1"/>
    <xf numFmtId="0" fontId="28" fillId="0" borderId="0" xfId="0" applyFont="1"/>
    <xf numFmtId="0" fontId="29" fillId="0" borderId="1" xfId="0" applyFont="1" applyBorder="1" applyAlignment="1">
      <alignment horizontal="center"/>
    </xf>
    <xf numFmtId="0" fontId="28" fillId="0" borderId="0" xfId="0" applyFont="1" applyBorder="1"/>
    <xf numFmtId="9" fontId="29" fillId="0" borderId="1" xfId="1" applyFont="1" applyBorder="1" applyAlignment="1">
      <alignment horizontal="center"/>
    </xf>
    <xf numFmtId="0" fontId="28" fillId="0" borderId="0" xfId="0" applyFont="1" applyAlignment="1">
      <alignment horizontal="center"/>
    </xf>
    <xf numFmtId="9" fontId="28" fillId="0" borderId="0" xfId="1" applyFont="1" applyAlignment="1">
      <alignment horizontal="center"/>
    </xf>
    <xf numFmtId="0" fontId="29" fillId="2" borderId="0" xfId="0" applyFont="1" applyFill="1"/>
    <xf numFmtId="9" fontId="29" fillId="2" borderId="0" xfId="1" applyFont="1" applyFill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9" fontId="28" fillId="0" borderId="1" xfId="1" applyFont="1" applyBorder="1" applyAlignment="1">
      <alignment horizontal="center"/>
    </xf>
    <xf numFmtId="9" fontId="29" fillId="0" borderId="0" xfId="1" applyFont="1" applyAlignment="1">
      <alignment horizontal="center"/>
    </xf>
    <xf numFmtId="0" fontId="30" fillId="0" borderId="0" xfId="0" applyFont="1"/>
    <xf numFmtId="9" fontId="28" fillId="0" borderId="0" xfId="1" applyFont="1"/>
    <xf numFmtId="0" fontId="0" fillId="0" borderId="0" xfId="0"/>
    <xf numFmtId="0" fontId="3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2" xfId="1" applyNumberFormat="1" applyFont="1" applyBorder="1" applyAlignment="1">
      <alignment horizontal="center" vertical="center"/>
    </xf>
    <xf numFmtId="10" fontId="0" fillId="0" borderId="3" xfId="1" applyNumberFormat="1" applyFont="1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10" fontId="0" fillId="0" borderId="5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0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0" fontId="3" fillId="0" borderId="0" xfId="0" applyNumberFormat="1" applyFont="1" applyAlignment="1">
      <alignment horizontal="center" vertical="center"/>
    </xf>
    <xf numFmtId="10" fontId="5" fillId="0" borderId="7" xfId="0" applyNumberFormat="1" applyFont="1" applyBorder="1" applyAlignment="1">
      <alignment horizontal="center"/>
    </xf>
    <xf numFmtId="10" fontId="5" fillId="0" borderId="8" xfId="0" applyNumberFormat="1" applyFont="1" applyBorder="1" applyAlignment="1">
      <alignment horizontal="center"/>
    </xf>
    <xf numFmtId="10" fontId="5" fillId="0" borderId="9" xfId="0" applyNumberFormat="1" applyFont="1" applyBorder="1" applyAlignment="1">
      <alignment horizontal="center"/>
    </xf>
    <xf numFmtId="10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10" fontId="0" fillId="0" borderId="0" xfId="1" applyNumberFormat="1" applyFont="1" applyAlignment="1">
      <alignment horizontal="right" vertical="top" indent="4"/>
    </xf>
    <xf numFmtId="0" fontId="27" fillId="0" borderId="0" xfId="0" applyFont="1" applyAlignment="1"/>
    <xf numFmtId="14" fontId="11" fillId="0" borderId="0" xfId="0" applyNumberFormat="1" applyFont="1"/>
    <xf numFmtId="0" fontId="0" fillId="0" borderId="0" xfId="0"/>
    <xf numFmtId="0" fontId="6" fillId="0" borderId="1" xfId="0" applyFont="1" applyBorder="1" applyAlignment="1">
      <alignment horizontal="center"/>
    </xf>
    <xf numFmtId="0" fontId="11" fillId="0" borderId="0" xfId="0" applyFont="1" applyFill="1"/>
    <xf numFmtId="0" fontId="11" fillId="0" borderId="0" xfId="0" applyFont="1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/>
    </xf>
    <xf numFmtId="0" fontId="23" fillId="0" borderId="0" xfId="0" applyFont="1" applyAlignment="1">
      <alignment wrapText="1"/>
    </xf>
    <xf numFmtId="0" fontId="14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11" fillId="0" borderId="0" xfId="0" applyFont="1" applyAlignment="1">
      <alignment horizontal="left" indent="1"/>
    </xf>
    <xf numFmtId="0" fontId="30" fillId="0" borderId="0" xfId="0" applyFont="1"/>
  </cellXfs>
  <cellStyles count="11">
    <cellStyle name="_x000a_bidires=100_x000d_" xfId="3"/>
    <cellStyle name="Comma" xfId="2" builtinId="3"/>
    <cellStyle name="Comma 2" xfId="6"/>
    <cellStyle name="Currency 15" xfId="9"/>
    <cellStyle name="Normal" xfId="0" builtinId="0"/>
    <cellStyle name="Normal 2" xfId="4"/>
    <cellStyle name="Normal 4 2" xfId="8"/>
    <cellStyle name="Percent" xfId="1" builtinId="5"/>
    <cellStyle name="Percent 10" xfId="10"/>
    <cellStyle name="Percent 2" xfId="5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Awarded Returns on Equity</c:v>
          </c:tx>
          <c:spPr>
            <a:ln w="5080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'15 Historic ROE'!$P$7:$P$18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xVal>
          <c:yVal>
            <c:numRef>
              <c:f>'15 Historic ROE'!$Q$7:$Q$18</c:f>
              <c:numCache>
                <c:formatCode>0.00%</c:formatCode>
                <c:ptCount val="12"/>
                <c:pt idx="0">
                  <c:v>0.10522500000000001</c:v>
                </c:pt>
                <c:pt idx="1">
                  <c:v>0.10302500000000001</c:v>
                </c:pt>
                <c:pt idx="2">
                  <c:v>0.102575</c:v>
                </c:pt>
                <c:pt idx="3">
                  <c:v>0.10340000000000001</c:v>
                </c:pt>
                <c:pt idx="4">
                  <c:v>0.10465000000000001</c:v>
                </c:pt>
                <c:pt idx="5">
                  <c:v>0.10285</c:v>
                </c:pt>
                <c:pt idx="6">
                  <c:v>0.10252500000000001</c:v>
                </c:pt>
                <c:pt idx="7">
                  <c:v>0.10147500000000001</c:v>
                </c:pt>
                <c:pt idx="8">
                  <c:v>9.9899999999999989E-2</c:v>
                </c:pt>
                <c:pt idx="9">
                  <c:v>9.9324999999999997E-2</c:v>
                </c:pt>
                <c:pt idx="10">
                  <c:v>9.7800000000000012E-2</c:v>
                </c:pt>
                <c:pt idx="11">
                  <c:v>9.7900000000000001E-2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7F-42DD-84F3-5B49AD350598}"/>
            </c:ext>
          </c:extLst>
        </c:ser>
        <c:ser>
          <c:idx val="1"/>
          <c:order val="1"/>
          <c:tx>
            <c:v>Market Cost of Equity</c:v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'15 Historic ROE'!$I$37:$I$48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xVal>
          <c:yVal>
            <c:numRef>
              <c:f>'15 Historic ROE'!$L$37:$L$48</c:f>
              <c:numCache>
                <c:formatCode>0.00%</c:formatCode>
                <c:ptCount val="12"/>
                <c:pt idx="0">
                  <c:v>8.4699999999999998E-2</c:v>
                </c:pt>
                <c:pt idx="1">
                  <c:v>8.8599999999999998E-2</c:v>
                </c:pt>
                <c:pt idx="2">
                  <c:v>8.3900000000000002E-2</c:v>
                </c:pt>
                <c:pt idx="3">
                  <c:v>8.6400000000000005E-2</c:v>
                </c:pt>
                <c:pt idx="4">
                  <c:v>8.199999999999999E-2</c:v>
                </c:pt>
                <c:pt idx="5">
                  <c:v>8.4900000000000003E-2</c:v>
                </c:pt>
                <c:pt idx="6">
                  <c:v>7.8899999999999998E-2</c:v>
                </c:pt>
                <c:pt idx="7">
                  <c:v>7.5399999999999995E-2</c:v>
                </c:pt>
                <c:pt idx="8">
                  <c:v>0.08</c:v>
                </c:pt>
                <c:pt idx="9">
                  <c:v>7.9500000000000001E-2</c:v>
                </c:pt>
                <c:pt idx="10">
                  <c:v>8.3900000000000002E-2</c:v>
                </c:pt>
                <c:pt idx="11">
                  <c:v>8.14E-2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7F-42DD-84F3-5B49AD350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337440"/>
        <c:axId val="392338000"/>
      </c:scatterChart>
      <c:valAx>
        <c:axId val="392337440"/>
        <c:scaling>
          <c:orientation val="minMax"/>
          <c:max val="2016"/>
          <c:min val="2005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338000"/>
        <c:crosses val="autoZero"/>
        <c:crossBetween val="midCat"/>
        <c:majorUnit val="2"/>
      </c:valAx>
      <c:valAx>
        <c:axId val="392338000"/>
        <c:scaling>
          <c:orientation val="minMax"/>
          <c:max val="0.11000000000000001"/>
          <c:min val="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14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337440"/>
        <c:crosses val="autoZero"/>
        <c:crossBetween val="midCat"/>
        <c:majorUnit val="1.0000000000000002E-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59233769083493"/>
          <c:y val="3.43784477010044E-2"/>
          <c:w val="0.65471692249448366"/>
          <c:h val="0.80726374600295259"/>
        </c:manualLayout>
      </c:layout>
      <c:barChart>
        <c:barDir val="col"/>
        <c:grouping val="clustered"/>
        <c:varyColors val="0"/>
        <c:ser>
          <c:idx val="0"/>
          <c:order val="0"/>
          <c:tx>
            <c:v>Cost of Debt</c:v>
          </c:tx>
          <c:spPr>
            <a:pattFill prst="ltHorz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numRef>
              <c:f>'16 Optimal Cap Structure'!$A$31:$A$34</c:f>
              <c:numCache>
                <c:formatCode>0%</c:formatCode>
                <c:ptCount val="4"/>
                <c:pt idx="0">
                  <c:v>0.4</c:v>
                </c:pt>
                <c:pt idx="1">
                  <c:v>0.5</c:v>
                </c:pt>
                <c:pt idx="2">
                  <c:v>0.6</c:v>
                </c:pt>
                <c:pt idx="3">
                  <c:v>0.7</c:v>
                </c:pt>
              </c:numCache>
            </c:numRef>
          </c:cat>
          <c:val>
            <c:numRef>
              <c:f>'16 Optimal Cap Structure'!$S$31:$S$34</c:f>
              <c:numCache>
                <c:formatCode>0.00%</c:formatCode>
                <c:ptCount val="4"/>
                <c:pt idx="0">
                  <c:v>2.639E-2</c:v>
                </c:pt>
                <c:pt idx="1">
                  <c:v>2.639E-2</c:v>
                </c:pt>
                <c:pt idx="2">
                  <c:v>2.8665E-2</c:v>
                </c:pt>
                <c:pt idx="3">
                  <c:v>3.4515000000000004E-2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4-4F5C-861B-26ED6B152F68}"/>
            </c:ext>
          </c:extLst>
        </c:ser>
        <c:ser>
          <c:idx val="1"/>
          <c:order val="1"/>
          <c:tx>
            <c:v>Cost of Equity</c:v>
          </c:tx>
          <c:spPr>
            <a:pattFill prst="dkUpDiag">
              <a:fgClr>
                <a:schemeClr val="accent2"/>
              </a:fgClr>
              <a:bgClr>
                <a:schemeClr val="bg1"/>
              </a:bgClr>
            </a:pattFill>
          </c:spPr>
          <c:invertIfNegative val="0"/>
          <c:cat>
            <c:numRef>
              <c:f>'16 Optimal Cap Structure'!$A$31:$A$34</c:f>
              <c:numCache>
                <c:formatCode>0%</c:formatCode>
                <c:ptCount val="4"/>
                <c:pt idx="0">
                  <c:v>0.4</c:v>
                </c:pt>
                <c:pt idx="1">
                  <c:v>0.5</c:v>
                </c:pt>
                <c:pt idx="2">
                  <c:v>0.6</c:v>
                </c:pt>
                <c:pt idx="3">
                  <c:v>0.7</c:v>
                </c:pt>
              </c:numCache>
            </c:numRef>
          </c:cat>
          <c:val>
            <c:numRef>
              <c:f>'16 Optimal Cap Structure'!$G$31:$G$34</c:f>
              <c:numCache>
                <c:formatCode>0.00%</c:formatCode>
                <c:ptCount val="4"/>
                <c:pt idx="0">
                  <c:v>6.2893976892074516E-2</c:v>
                </c:pt>
                <c:pt idx="1">
                  <c:v>6.8157562546302827E-2</c:v>
                </c:pt>
                <c:pt idx="2">
                  <c:v>7.6052941027645302E-2</c:v>
                </c:pt>
                <c:pt idx="3">
                  <c:v>8.9211905163216101E-2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4-4F5C-861B-26ED6B152F68}"/>
            </c:ext>
          </c:extLst>
        </c:ser>
        <c:ser>
          <c:idx val="2"/>
          <c:order val="2"/>
          <c:tx>
            <c:v>WACC</c:v>
          </c:tx>
          <c:spPr>
            <a:solidFill>
              <a:schemeClr val="accent3"/>
            </a:solidFill>
          </c:spPr>
          <c:invertIfNegative val="0"/>
          <c:cat>
            <c:numRef>
              <c:f>'16 Optimal Cap Structure'!$A$31:$A$34</c:f>
              <c:numCache>
                <c:formatCode>0%</c:formatCode>
                <c:ptCount val="4"/>
                <c:pt idx="0">
                  <c:v>0.4</c:v>
                </c:pt>
                <c:pt idx="1">
                  <c:v>0.5</c:v>
                </c:pt>
                <c:pt idx="2">
                  <c:v>0.6</c:v>
                </c:pt>
                <c:pt idx="3">
                  <c:v>0.7</c:v>
                </c:pt>
              </c:numCache>
            </c:numRef>
          </c:cat>
          <c:val>
            <c:numRef>
              <c:f>'16 Optimal Cap Structure'!$W$31:$W$34</c:f>
              <c:numCache>
                <c:formatCode>0.00%</c:formatCode>
                <c:ptCount val="4"/>
                <c:pt idx="0">
                  <c:v>6.9956000000000004E-2</c:v>
                </c:pt>
                <c:pt idx="1">
                  <c:v>6.2695000000000001E-2</c:v>
                </c:pt>
                <c:pt idx="2">
                  <c:v>5.6799000000000002E-2</c:v>
                </c:pt>
                <c:pt idx="3">
                  <c:v>5.3860500000000006E-2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4-4F5C-861B-26ED6B152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5"/>
        <c:overlap val="-23"/>
        <c:axId val="392341360"/>
        <c:axId val="392341920"/>
      </c:barChart>
      <c:catAx>
        <c:axId val="39234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Debt Ratio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392341920"/>
        <c:crosses val="autoZero"/>
        <c:auto val="1"/>
        <c:lblAlgn val="ctr"/>
        <c:lblOffset val="100"/>
        <c:tickLblSkip val="1"/>
        <c:noMultiLvlLbl val="0"/>
      </c:catAx>
      <c:valAx>
        <c:axId val="392341920"/>
        <c:scaling>
          <c:orientation val="minMax"/>
          <c:max val="8.0000000000000043E-2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Cost of Capital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392341360"/>
        <c:crosses val="autoZero"/>
        <c:crossBetween val="between"/>
        <c:majorUnit val="2.0000000000000011E-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392642</xdr:colOff>
      <xdr:row>5</xdr:row>
      <xdr:rowOff>76412</xdr:rowOff>
    </xdr:from>
    <xdr:to>
      <xdr:col>29</xdr:col>
      <xdr:colOff>164042</xdr:colOff>
      <xdr:row>35</xdr:row>
      <xdr:rowOff>30692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0.35721</cdr:x>
      <cdr:y>0.73697</cdr:y>
    </cdr:from>
    <cdr:to>
      <cdr:x>0.48532</cdr:x>
      <cdr:y>0.89826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37710A97-EF9B-432A-BAF7-7C16A7C25830}"/>
            </a:ext>
          </a:extLst>
        </cdr:cNvPr>
        <cdr:cNvSpPr txBox="1"/>
      </cdr:nvSpPr>
      <cdr:spPr>
        <a:xfrm xmlns:a="http://schemas.openxmlformats.org/drawingml/2006/main">
          <a:off x="2549525" y="41780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1558</xdr:colOff>
      <xdr:row>4</xdr:row>
      <xdr:rowOff>153785</xdr:rowOff>
    </xdr:from>
    <xdr:to>
      <xdr:col>32</xdr:col>
      <xdr:colOff>586393</xdr:colOff>
      <xdr:row>26</xdr:row>
      <xdr:rowOff>54725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28E0C0-DDEF-4C30-A76B-DBF10C2FF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0.72492</cdr:x>
      <cdr:y>0.25507</cdr:y>
    </cdr:from>
    <cdr:to>
      <cdr:x>0.7473</cdr:x>
      <cdr:y>0.28602</cdr:y>
    </cdr:to>
    <cdr:sp macro="" textlink="">
      <cdr:nvSpPr>
        <cdr:cNvPr id="2" name="4-Point Star 1"/>
        <cdr:cNvSpPr/>
      </cdr:nvSpPr>
      <cdr:spPr>
        <a:xfrm xmlns:a="http://schemas.openxmlformats.org/drawingml/2006/main">
          <a:off x="3848778" y="1046162"/>
          <a:ext cx="118821" cy="126941"/>
        </a:xfrm>
        <a:prstGeom xmlns:a="http://schemas.openxmlformats.org/drawingml/2006/main" prst="star4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3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0.66287</cdr:x>
      <cdr:y>0.85317</cdr:y>
    </cdr:from>
    <cdr:to>
      <cdr:x>0.7384</cdr:x>
      <cdr:y>0.90346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19318" y="3499247"/>
          <a:ext cx="401006" cy="20626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V26"/>
  <sheetViews>
    <sheetView view="pageLayout" topLeftCell="A4" zoomScaleNormal="100" workbookViewId="0">
      <selection activeCell="H27" sqref="H27"/>
    </sheetView>
  </sheetViews>
  <sheetFormatPr defaultRowHeight="15" x14ac:dyDescent="0.25"/>
  <cols>
    <col min="1" max="1" width="16.7109375" style="242" customWidth="1"/>
    <col min="2" max="3" width="2.7109375" style="242" customWidth="1"/>
    <col min="4" max="4" width="16.7109375" style="242" customWidth="1"/>
    <col min="5" max="22" width="3.42578125" style="242" customWidth="1"/>
    <col min="23" max="16384" width="9.140625" style="242"/>
  </cols>
  <sheetData>
    <row r="1" spans="1:22" s="373" customFormat="1" x14ac:dyDescent="0.25">
      <c r="U1" s="374"/>
    </row>
    <row r="2" spans="1:22" s="373" customFormat="1" x14ac:dyDescent="0.25">
      <c r="U2" s="374"/>
    </row>
    <row r="3" spans="1:22" s="373" customFormat="1" x14ac:dyDescent="0.25">
      <c r="U3" s="374"/>
    </row>
    <row r="4" spans="1:22" s="373" customFormat="1" x14ac:dyDescent="0.25">
      <c r="U4" s="374"/>
    </row>
    <row r="5" spans="1:22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7" spans="1:22" x14ac:dyDescent="0.25">
      <c r="A7" s="237" t="s">
        <v>13</v>
      </c>
      <c r="B7" s="241"/>
      <c r="C7" s="241"/>
      <c r="D7" s="237" t="s">
        <v>15</v>
      </c>
      <c r="E7" s="31"/>
      <c r="F7" s="31"/>
      <c r="G7" s="376" t="s">
        <v>20</v>
      </c>
      <c r="H7" s="376"/>
      <c r="I7" s="376"/>
      <c r="J7" s="376"/>
      <c r="K7" s="376"/>
      <c r="L7" s="376"/>
      <c r="O7" s="376" t="s">
        <v>16</v>
      </c>
      <c r="P7" s="376"/>
      <c r="Q7" s="376"/>
      <c r="R7" s="376"/>
      <c r="S7" s="376"/>
      <c r="T7" s="376"/>
    </row>
    <row r="8" spans="1:22" x14ac:dyDescent="0.25">
      <c r="E8" s="27"/>
      <c r="M8" s="27"/>
      <c r="U8" s="27"/>
      <c r="V8" s="27"/>
    </row>
    <row r="9" spans="1:22" x14ac:dyDescent="0.25">
      <c r="A9" s="18" t="s">
        <v>14</v>
      </c>
      <c r="B9" s="241"/>
      <c r="C9" s="241"/>
      <c r="D9" s="245">
        <v>0.51500000000000001</v>
      </c>
      <c r="E9" s="33"/>
      <c r="F9" s="96"/>
      <c r="G9" s="19"/>
      <c r="H9" s="19"/>
      <c r="I9" s="377">
        <v>5.62E-2</v>
      </c>
      <c r="J9" s="377"/>
      <c r="M9" s="27"/>
      <c r="N9" s="19"/>
      <c r="O9" s="19"/>
      <c r="P9" s="19"/>
      <c r="Q9" s="377">
        <f>D9*I9</f>
        <v>2.8943E-2</v>
      </c>
      <c r="R9" s="377"/>
      <c r="U9" s="27"/>
      <c r="V9" s="27"/>
    </row>
    <row r="10" spans="1:22" ht="6" customHeight="1" x14ac:dyDescent="0.25">
      <c r="D10" s="245"/>
      <c r="E10" s="25"/>
      <c r="F10" s="19"/>
      <c r="G10" s="19"/>
      <c r="H10" s="19"/>
      <c r="I10" s="96"/>
      <c r="J10" s="96"/>
      <c r="M10" s="27"/>
      <c r="N10" s="19"/>
      <c r="O10" s="19"/>
      <c r="P10" s="19"/>
      <c r="Q10" s="96"/>
      <c r="R10" s="96"/>
      <c r="U10" s="27"/>
      <c r="V10" s="27"/>
    </row>
    <row r="11" spans="1:22" x14ac:dyDescent="0.25">
      <c r="D11" s="245"/>
      <c r="E11" s="25"/>
      <c r="F11" s="19"/>
      <c r="G11" s="19"/>
      <c r="H11" s="20"/>
      <c r="I11" s="378">
        <v>0.09</v>
      </c>
      <c r="J11" s="379"/>
      <c r="K11" s="22"/>
      <c r="M11" s="27"/>
      <c r="N11" s="19"/>
      <c r="O11" s="19"/>
      <c r="P11" s="20"/>
      <c r="Q11" s="378">
        <f>D12*I11</f>
        <v>4.3649999999999994E-2</v>
      </c>
      <c r="R11" s="379"/>
      <c r="S11" s="22"/>
      <c r="U11" s="27"/>
      <c r="V11" s="27"/>
    </row>
    <row r="12" spans="1:22" x14ac:dyDescent="0.25">
      <c r="A12" s="392" t="s">
        <v>17</v>
      </c>
      <c r="B12" s="29"/>
      <c r="C12" s="29"/>
      <c r="D12" s="393">
        <v>0.48499999999999999</v>
      </c>
      <c r="E12" s="26"/>
      <c r="F12" s="24"/>
      <c r="H12" s="21"/>
      <c r="I12" s="380"/>
      <c r="J12" s="381"/>
      <c r="K12" s="23"/>
      <c r="M12" s="27"/>
      <c r="P12" s="21"/>
      <c r="Q12" s="380"/>
      <c r="R12" s="381"/>
      <c r="S12" s="23"/>
      <c r="U12" s="27"/>
      <c r="V12" s="27"/>
    </row>
    <row r="13" spans="1:22" x14ac:dyDescent="0.25">
      <c r="A13" s="392"/>
      <c r="B13" s="29"/>
      <c r="C13" s="29"/>
      <c r="D13" s="393"/>
      <c r="E13" s="26"/>
      <c r="F13" s="24"/>
      <c r="G13" s="377">
        <v>8.7499999999999994E-2</v>
      </c>
      <c r="H13" s="377"/>
      <c r="K13" s="385">
        <v>9.2499999999999999E-2</v>
      </c>
      <c r="L13" s="385"/>
      <c r="M13" s="239"/>
      <c r="N13" s="19"/>
      <c r="O13" s="377">
        <f>D12*G13</f>
        <v>4.2437499999999996E-2</v>
      </c>
      <c r="P13" s="377"/>
      <c r="S13" s="385">
        <f>D12*K13</f>
        <v>4.48625E-2</v>
      </c>
      <c r="T13" s="385"/>
      <c r="U13" s="239"/>
      <c r="V13" s="27"/>
    </row>
    <row r="14" spans="1:22" ht="15" customHeight="1" x14ac:dyDescent="0.25"/>
    <row r="15" spans="1:22" x14ac:dyDescent="0.25">
      <c r="A15" s="22"/>
      <c r="B15" s="22"/>
      <c r="C15" s="22"/>
      <c r="D15" s="164" t="str">
        <f>IF(D9+D12=1," ",FALSE)</f>
        <v xml:space="preserve"> 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1:22" x14ac:dyDescent="0.25">
      <c r="A16" s="27"/>
      <c r="B16" s="27"/>
      <c r="C16" s="27"/>
      <c r="D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 spans="1:21" ht="15.75" thickBot="1" x14ac:dyDescent="0.3">
      <c r="B17" s="386"/>
      <c r="C17" s="386"/>
    </row>
    <row r="18" spans="1:21" ht="18" customHeight="1" thickBot="1" x14ac:dyDescent="0.4">
      <c r="F18" s="387">
        <f>Q9+O13</f>
        <v>7.13805E-2</v>
      </c>
      <c r="G18" s="387"/>
      <c r="H18" s="387"/>
      <c r="I18" s="387"/>
      <c r="L18" s="388">
        <f>Q9+Q11</f>
        <v>7.2592999999999991E-2</v>
      </c>
      <c r="M18" s="389"/>
      <c r="N18" s="389"/>
      <c r="O18" s="390"/>
      <c r="R18" s="391">
        <f>Q9+S13</f>
        <v>7.3805499999999996E-2</v>
      </c>
      <c r="S18" s="391"/>
      <c r="T18" s="391"/>
      <c r="U18" s="391"/>
    </row>
    <row r="19" spans="1:21" ht="18" customHeight="1" x14ac:dyDescent="0.25">
      <c r="A19" s="382" t="s">
        <v>21</v>
      </c>
      <c r="B19" s="382"/>
      <c r="C19" s="382"/>
      <c r="D19" s="382"/>
      <c r="E19" s="241"/>
      <c r="H19" s="28"/>
      <c r="I19" s="22"/>
      <c r="J19" s="22"/>
      <c r="K19" s="22"/>
      <c r="L19" s="22"/>
      <c r="M19" s="22"/>
      <c r="N19" s="28"/>
      <c r="O19" s="22"/>
      <c r="P19" s="22"/>
      <c r="Q19" s="22"/>
      <c r="R19" s="22"/>
      <c r="S19" s="30"/>
    </row>
    <row r="20" spans="1:21" ht="18" customHeight="1" x14ac:dyDescent="0.25">
      <c r="A20" s="382" t="s">
        <v>142</v>
      </c>
      <c r="B20" s="382"/>
      <c r="C20" s="382"/>
      <c r="D20" s="382"/>
      <c r="F20" s="383" t="s">
        <v>18</v>
      </c>
      <c r="G20" s="383"/>
      <c r="H20" s="383"/>
      <c r="I20" s="383"/>
      <c r="L20" s="384" t="s">
        <v>160</v>
      </c>
      <c r="M20" s="384"/>
      <c r="N20" s="384"/>
      <c r="O20" s="384"/>
      <c r="R20" s="383" t="s">
        <v>19</v>
      </c>
      <c r="S20" s="383"/>
      <c r="T20" s="383"/>
      <c r="U20" s="383"/>
    </row>
    <row r="21" spans="1:21" ht="14.45" customHeight="1" x14ac:dyDescent="0.25">
      <c r="A21" s="146"/>
      <c r="B21" s="146"/>
      <c r="C21" s="146"/>
      <c r="D21" s="146"/>
      <c r="E21" s="22"/>
      <c r="F21" s="147"/>
      <c r="G21" s="147"/>
      <c r="H21" s="147"/>
      <c r="I21" s="147"/>
      <c r="J21" s="22"/>
      <c r="K21" s="22"/>
      <c r="L21" s="22"/>
      <c r="M21" s="147"/>
      <c r="N21" s="147"/>
      <c r="O21" s="22"/>
      <c r="P21" s="22"/>
      <c r="Q21" s="22"/>
      <c r="R21" s="147"/>
      <c r="S21" s="147"/>
      <c r="T21" s="147"/>
      <c r="U21" s="147"/>
    </row>
    <row r="22" spans="1:21" ht="14.45" customHeight="1" x14ac:dyDescent="0.25">
      <c r="A22" s="32"/>
      <c r="B22" s="32"/>
      <c r="C22" s="32"/>
      <c r="D22" s="32"/>
      <c r="F22" s="240"/>
      <c r="G22" s="240"/>
      <c r="H22" s="240"/>
      <c r="I22" s="240"/>
      <c r="M22" s="35"/>
      <c r="N22" s="35"/>
      <c r="R22" s="240"/>
      <c r="S22" s="240"/>
      <c r="T22" s="240"/>
      <c r="U22" s="240"/>
    </row>
    <row r="23" spans="1:21" ht="14.45" customHeight="1" x14ac:dyDescent="0.25"/>
    <row r="24" spans="1:21" ht="14.45" customHeight="1" x14ac:dyDescent="0.25"/>
    <row r="25" spans="1:21" ht="14.45" customHeight="1" x14ac:dyDescent="0.25"/>
    <row r="26" spans="1:21" ht="14.45" customHeight="1" x14ac:dyDescent="0.25"/>
  </sheetData>
  <mergeCells count="21">
    <mergeCell ref="A20:D20"/>
    <mergeCell ref="F20:I20"/>
    <mergeCell ref="L20:O20"/>
    <mergeCell ref="R20:U20"/>
    <mergeCell ref="S13:T13"/>
    <mergeCell ref="B17:C17"/>
    <mergeCell ref="F18:I18"/>
    <mergeCell ref="L18:O18"/>
    <mergeCell ref="R18:U18"/>
    <mergeCell ref="A19:D19"/>
    <mergeCell ref="A12:A13"/>
    <mergeCell ref="D12:D13"/>
    <mergeCell ref="G13:H13"/>
    <mergeCell ref="K13:L13"/>
    <mergeCell ref="O13:P13"/>
    <mergeCell ref="G7:L7"/>
    <mergeCell ref="O7:T7"/>
    <mergeCell ref="I9:J9"/>
    <mergeCell ref="Q9:R9"/>
    <mergeCell ref="I11:J12"/>
    <mergeCell ref="Q11:R12"/>
  </mergeCells>
  <printOptions horizontalCentered="1"/>
  <pageMargins left="0.7" right="0.7" top="0.75" bottom="0.75" header="0.3" footer="0.3"/>
  <pageSetup scale="93" orientation="portrait" r:id="rId1"/>
  <headerFooter scaleWithDoc="0">
    <oddHeader xml:space="preserve">&amp;R&amp;"-,Bold"&amp;8Dockets UE-170485 and UG-170486
Exhibit DJG-4
Weighted Average Awarded Return Recommendation
Page 1 of 17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P29"/>
  <sheetViews>
    <sheetView view="pageLayout" zoomScaleNormal="100" workbookViewId="0">
      <selection activeCell="O1" sqref="O1"/>
    </sheetView>
  </sheetViews>
  <sheetFormatPr defaultRowHeight="15" x14ac:dyDescent="0.25"/>
  <cols>
    <col min="1" max="1" width="35.5703125" style="313" bestFit="1" customWidth="1"/>
    <col min="2" max="2" width="2.7109375" style="313" customWidth="1"/>
    <col min="3" max="3" width="6.7109375" style="313" customWidth="1"/>
    <col min="4" max="4" width="2.7109375" style="313" customWidth="1"/>
    <col min="5" max="5" width="12.28515625" style="313" customWidth="1"/>
    <col min="6" max="6" width="2.7109375" style="313" customWidth="1"/>
    <col min="7" max="7" width="12.28515625" style="313" customWidth="1"/>
    <col min="8" max="8" width="2.7109375" style="313" customWidth="1"/>
    <col min="9" max="9" width="12.28515625" style="313" customWidth="1"/>
    <col min="10" max="10" width="2.7109375" style="313" customWidth="1"/>
    <col min="11" max="11" width="12.28515625" style="313" customWidth="1"/>
    <col min="12" max="12" width="2.7109375" style="313" customWidth="1"/>
    <col min="13" max="13" width="12.28515625" style="313" customWidth="1"/>
    <col min="14" max="14" width="2.7109375" style="313" customWidth="1"/>
    <col min="15" max="15" width="12.28515625" style="313" customWidth="1"/>
    <col min="16" max="16" width="2.7109375" style="313" customWidth="1"/>
    <col min="17" max="16384" width="9.140625" style="313"/>
  </cols>
  <sheetData>
    <row r="1" spans="1:16" ht="18.75" x14ac:dyDescent="0.3">
      <c r="A1" s="312"/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</row>
    <row r="2" spans="1:16" ht="19.5" customHeight="1" x14ac:dyDescent="0.3">
      <c r="A2" s="311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</row>
    <row r="3" spans="1:16" ht="19.5" customHeight="1" x14ac:dyDescent="0.25">
      <c r="E3" s="314" t="s">
        <v>3</v>
      </c>
      <c r="F3" s="314"/>
      <c r="G3" s="314" t="s">
        <v>4</v>
      </c>
      <c r="H3" s="314"/>
      <c r="I3" s="314" t="s">
        <v>5</v>
      </c>
      <c r="J3" s="314"/>
      <c r="K3" s="314" t="s">
        <v>6</v>
      </c>
      <c r="L3" s="314"/>
      <c r="M3" s="314" t="s">
        <v>7</v>
      </c>
      <c r="N3" s="314"/>
      <c r="O3" s="314" t="s">
        <v>23</v>
      </c>
    </row>
    <row r="4" spans="1:16" ht="19.5" customHeight="1" x14ac:dyDescent="0.25"/>
    <row r="5" spans="1:16" ht="30" x14ac:dyDescent="0.25">
      <c r="A5" s="315" t="s">
        <v>0</v>
      </c>
      <c r="B5" s="316"/>
      <c r="C5" s="315" t="s">
        <v>1</v>
      </c>
      <c r="D5" s="316"/>
      <c r="E5" s="317" t="s">
        <v>69</v>
      </c>
      <c r="F5" s="318"/>
      <c r="G5" s="317" t="s">
        <v>68</v>
      </c>
      <c r="H5" s="318"/>
      <c r="I5" s="317" t="s">
        <v>174</v>
      </c>
      <c r="J5" s="318"/>
      <c r="K5" s="317" t="s">
        <v>67</v>
      </c>
      <c r="L5" s="318"/>
      <c r="M5" s="317" t="s">
        <v>26</v>
      </c>
      <c r="N5" s="318"/>
      <c r="O5" s="317" t="s">
        <v>66</v>
      </c>
    </row>
    <row r="6" spans="1:16" ht="19.5" customHeight="1" x14ac:dyDescent="0.25">
      <c r="A6" s="313" t="s">
        <v>138</v>
      </c>
      <c r="C6" s="319" t="s">
        <v>149</v>
      </c>
      <c r="E6" s="320">
        <v>4000</v>
      </c>
      <c r="F6" s="321"/>
      <c r="G6" s="322" t="str">
        <f t="shared" ref="G6:G23" si="0">IF(E6&gt;=200000,"Mega Cap",IF(E6&gt;=10000,"Large Cap",IF(E6&gt;=2000,"Mid Cap",IF(E6&gt;=300,"Small Cap",IF(E6&gt;=50,"Micro Cap",IF(E6&lt;50,"Nano Cap"))))))</f>
        <v>Mid Cap</v>
      </c>
      <c r="H6" s="323"/>
      <c r="I6" s="324" t="s">
        <v>175</v>
      </c>
      <c r="J6" s="325"/>
      <c r="K6" s="326">
        <v>2</v>
      </c>
      <c r="M6" s="327" t="s">
        <v>115</v>
      </c>
      <c r="N6" s="327"/>
      <c r="O6" s="328" t="str">
        <f>IF(OR(C6="ALE",C6="LNT",C6="AEE",C6="AEP",C6="CNL",C6="CMS",C6="CNP",C6="DTE",C6="EDE",C6="ETR",C6="GXP",C6="TEG",C6="ITC",C6="MGEE",C6="OGE",C6="OTTR",C6="VVC",C6="WEC",C6="WR"),"Central",IF(OR(C6="AGR",C6="ED",C6="D",C6="DUK",C6="ES",C6="EXC",C6="FE",C6="NEE",C6="PPL",C6="POM",C6="PEG",C6="SCG",C6="SO",C6="TE",C6="UIL",C6="UTL"),"East",IF(OR(C6="AVA",C6="BKH",C6="EIX",C6="EE",C6="HE",C6="IDA",C6="NWE",C6="PCG",C6="PNM",C6="PNW",C6="POR",C6="SRE",C6="XEL"),"West",0)))</f>
        <v>Central</v>
      </c>
    </row>
    <row r="7" spans="1:16" ht="19.5" customHeight="1" x14ac:dyDescent="0.25">
      <c r="A7" s="313" t="s">
        <v>126</v>
      </c>
      <c r="C7" s="319" t="s">
        <v>64</v>
      </c>
      <c r="E7" s="320">
        <v>15000</v>
      </c>
      <c r="F7" s="321"/>
      <c r="G7" s="322" t="str">
        <f t="shared" si="0"/>
        <v>Large Cap</v>
      </c>
      <c r="H7" s="323"/>
      <c r="I7" s="324" t="s">
        <v>176</v>
      </c>
      <c r="J7" s="325"/>
      <c r="K7" s="326">
        <v>2</v>
      </c>
      <c r="M7" s="327" t="s">
        <v>115</v>
      </c>
      <c r="N7" s="327"/>
      <c r="O7" s="328" t="str">
        <f t="shared" ref="O7:O23" si="1">IF(OR(C7="ALE",C7="LNT",C7="AEE",C7="AEP",C7="CNL",C7="CMS",C7="CNP",C7="DTE",C7="EDE",C7="ETR",C7="GXP",C7="TEG",C7="ITC",C7="MGEE",C7="OGE",C7="OTTR",C7="VVC",C7="WEC",C7="WR"),"Central",IF(OR(C7="AGR",C7="ED",C7="D",C7="DUK",C7="ES",C7="EXC",C7="FE",C7="NEE",C7="PPL",C7="POM",C7="PEG",C7="SCG",C7="SO",C7="TE",C7="UIL",C7="UTL"),"East",IF(OR(C7="AVA",C7="BKH",C7="EIX",C7="EE",C7="HE",C7="IDA",C7="NWE",C7="PCG",C7="PNM",C7="PNW",C7="POR",C7="SRE",C7="XEL"),"West",0)))</f>
        <v>Central</v>
      </c>
      <c r="P7" s="329"/>
    </row>
    <row r="8" spans="1:16" ht="19.5" customHeight="1" x14ac:dyDescent="0.25">
      <c r="A8" s="313" t="s">
        <v>332</v>
      </c>
      <c r="C8" s="319" t="s">
        <v>339</v>
      </c>
      <c r="E8" s="320">
        <v>15000</v>
      </c>
      <c r="F8" s="321"/>
      <c r="G8" s="322" t="str">
        <f t="shared" si="0"/>
        <v>Large Cap</v>
      </c>
      <c r="H8" s="323"/>
      <c r="I8" s="324" t="s">
        <v>176</v>
      </c>
      <c r="J8" s="325"/>
      <c r="K8" s="326">
        <v>2</v>
      </c>
      <c r="M8" s="327" t="s">
        <v>116</v>
      </c>
      <c r="N8" s="327"/>
      <c r="O8" s="328" t="str">
        <f t="shared" si="1"/>
        <v>East</v>
      </c>
      <c r="P8" s="329"/>
    </row>
    <row r="9" spans="1:16" ht="19.5" customHeight="1" x14ac:dyDescent="0.25">
      <c r="A9" s="313" t="s">
        <v>147</v>
      </c>
      <c r="C9" s="319" t="s">
        <v>150</v>
      </c>
      <c r="D9" s="314"/>
      <c r="E9" s="320">
        <v>3300</v>
      </c>
      <c r="F9" s="321"/>
      <c r="G9" s="322" t="str">
        <f t="shared" si="0"/>
        <v>Mid Cap</v>
      </c>
      <c r="H9" s="323"/>
      <c r="I9" s="324" t="s">
        <v>176</v>
      </c>
      <c r="J9" s="325"/>
      <c r="K9" s="326">
        <v>2</v>
      </c>
      <c r="L9" s="314"/>
      <c r="M9" s="327" t="s">
        <v>115</v>
      </c>
      <c r="N9" s="327"/>
      <c r="O9" s="328" t="str">
        <f t="shared" si="1"/>
        <v>West</v>
      </c>
    </row>
    <row r="10" spans="1:16" ht="19.5" customHeight="1" x14ac:dyDescent="0.25">
      <c r="A10" s="313" t="s">
        <v>146</v>
      </c>
      <c r="C10" s="319" t="s">
        <v>151</v>
      </c>
      <c r="E10" s="320">
        <v>3700</v>
      </c>
      <c r="F10" s="321"/>
      <c r="G10" s="322" t="str">
        <f t="shared" si="0"/>
        <v>Mid Cap</v>
      </c>
      <c r="H10" s="323"/>
      <c r="I10" s="324" t="s">
        <v>349</v>
      </c>
      <c r="J10" s="325"/>
      <c r="K10" s="326">
        <v>2</v>
      </c>
      <c r="M10" s="327" t="s">
        <v>115</v>
      </c>
      <c r="N10" s="327"/>
      <c r="O10" s="328" t="str">
        <f t="shared" si="1"/>
        <v>West</v>
      </c>
    </row>
    <row r="11" spans="1:16" ht="19.5" customHeight="1" x14ac:dyDescent="0.25">
      <c r="A11" s="313" t="s">
        <v>127</v>
      </c>
      <c r="C11" s="319" t="s">
        <v>113</v>
      </c>
      <c r="E11" s="320">
        <v>14000</v>
      </c>
      <c r="F11" s="321"/>
      <c r="G11" s="322" t="str">
        <f t="shared" si="0"/>
        <v>Large Cap</v>
      </c>
      <c r="H11" s="323"/>
      <c r="I11" s="324" t="s">
        <v>176</v>
      </c>
      <c r="J11" s="325"/>
      <c r="K11" s="326">
        <v>2</v>
      </c>
      <c r="M11" s="327" t="s">
        <v>116</v>
      </c>
      <c r="N11" s="327"/>
      <c r="O11" s="328" t="str">
        <f t="shared" si="1"/>
        <v>Central</v>
      </c>
    </row>
    <row r="12" spans="1:16" ht="19.5" customHeight="1" x14ac:dyDescent="0.25">
      <c r="A12" s="313" t="s">
        <v>340</v>
      </c>
      <c r="C12" s="319" t="s">
        <v>341</v>
      </c>
      <c r="E12" s="320">
        <v>50000</v>
      </c>
      <c r="F12" s="321"/>
      <c r="G12" s="322" t="str">
        <f t="shared" si="0"/>
        <v>Large Cap</v>
      </c>
      <c r="H12" s="323"/>
      <c r="I12" s="324" t="s">
        <v>349</v>
      </c>
      <c r="J12" s="325"/>
      <c r="K12" s="326">
        <v>2</v>
      </c>
      <c r="M12" s="327" t="s">
        <v>116</v>
      </c>
      <c r="N12" s="327"/>
      <c r="O12" s="328" t="str">
        <f t="shared" si="1"/>
        <v>East</v>
      </c>
    </row>
    <row r="13" spans="1:16" ht="19.5" customHeight="1" x14ac:dyDescent="0.25">
      <c r="A13" s="313" t="s">
        <v>170</v>
      </c>
      <c r="C13" s="319" t="s">
        <v>171</v>
      </c>
      <c r="E13" s="320">
        <v>20000</v>
      </c>
      <c r="F13" s="321"/>
      <c r="G13" s="322" t="str">
        <f t="shared" si="0"/>
        <v>Large Cap</v>
      </c>
      <c r="H13" s="323"/>
      <c r="I13" s="324" t="s">
        <v>176</v>
      </c>
      <c r="J13" s="325"/>
      <c r="K13" s="326">
        <v>2</v>
      </c>
      <c r="M13" s="327" t="s">
        <v>116</v>
      </c>
      <c r="N13" s="327"/>
      <c r="O13" s="328" t="str">
        <f t="shared" si="1"/>
        <v>Central</v>
      </c>
    </row>
    <row r="14" spans="1:16" ht="19.5" customHeight="1" x14ac:dyDescent="0.25">
      <c r="A14" s="313" t="s">
        <v>333</v>
      </c>
      <c r="C14" s="319" t="s">
        <v>342</v>
      </c>
      <c r="E14" s="320">
        <v>25000</v>
      </c>
      <c r="F14" s="321"/>
      <c r="G14" s="322" t="str">
        <f t="shared" si="0"/>
        <v>Large Cap</v>
      </c>
      <c r="H14" s="323"/>
      <c r="I14" s="324" t="s">
        <v>175</v>
      </c>
      <c r="J14" s="325"/>
      <c r="K14" s="326">
        <v>2</v>
      </c>
      <c r="M14" s="327" t="s">
        <v>115</v>
      </c>
      <c r="N14" s="327"/>
      <c r="O14" s="328" t="str">
        <f t="shared" si="1"/>
        <v>West</v>
      </c>
    </row>
    <row r="15" spans="1:16" ht="19.5" customHeight="1" x14ac:dyDescent="0.25">
      <c r="A15" s="313" t="s">
        <v>139</v>
      </c>
      <c r="C15" s="319" t="s">
        <v>152</v>
      </c>
      <c r="E15" s="320">
        <v>2100</v>
      </c>
      <c r="F15" s="321"/>
      <c r="G15" s="322" t="str">
        <f t="shared" si="0"/>
        <v>Mid Cap</v>
      </c>
      <c r="H15" s="323"/>
      <c r="I15" s="324" t="s">
        <v>176</v>
      </c>
      <c r="J15" s="325"/>
      <c r="K15" s="326">
        <v>2</v>
      </c>
      <c r="M15" s="327" t="s">
        <v>116</v>
      </c>
      <c r="N15" s="327"/>
      <c r="O15" s="328" t="str">
        <f t="shared" si="1"/>
        <v>West</v>
      </c>
    </row>
    <row r="16" spans="1:16" ht="19.5" customHeight="1" x14ac:dyDescent="0.25">
      <c r="A16" s="313" t="s">
        <v>334</v>
      </c>
      <c r="C16" s="319" t="s">
        <v>343</v>
      </c>
      <c r="D16" s="314"/>
      <c r="E16" s="320">
        <v>37000</v>
      </c>
      <c r="F16" s="330"/>
      <c r="G16" s="322" t="str">
        <f t="shared" si="0"/>
        <v>Large Cap</v>
      </c>
      <c r="H16" s="323"/>
      <c r="I16" s="324" t="s">
        <v>349</v>
      </c>
      <c r="J16" s="325"/>
      <c r="K16" s="326">
        <v>3</v>
      </c>
      <c r="L16" s="314"/>
      <c r="M16" s="327" t="s">
        <v>116</v>
      </c>
      <c r="N16" s="327"/>
      <c r="O16" s="328" t="str">
        <f t="shared" si="1"/>
        <v>East</v>
      </c>
    </row>
    <row r="17" spans="1:16" ht="19.5" customHeight="1" x14ac:dyDescent="0.25">
      <c r="A17" s="313" t="s">
        <v>335</v>
      </c>
      <c r="C17" s="319" t="s">
        <v>344</v>
      </c>
      <c r="D17" s="314"/>
      <c r="E17" s="320">
        <v>3500</v>
      </c>
      <c r="F17" s="321"/>
      <c r="G17" s="322" t="str">
        <f t="shared" si="0"/>
        <v>Mid Cap</v>
      </c>
      <c r="H17" s="323"/>
      <c r="I17" s="324" t="s">
        <v>349</v>
      </c>
      <c r="J17" s="325"/>
      <c r="K17" s="326">
        <v>2</v>
      </c>
      <c r="L17" s="314"/>
      <c r="M17" s="327" t="s">
        <v>115</v>
      </c>
      <c r="N17" s="327"/>
      <c r="O17" s="328" t="str">
        <f t="shared" si="1"/>
        <v>West</v>
      </c>
    </row>
    <row r="18" spans="1:16" ht="19.5" customHeight="1" x14ac:dyDescent="0.25">
      <c r="A18" s="313" t="s">
        <v>336</v>
      </c>
      <c r="C18" s="319" t="s">
        <v>172</v>
      </c>
      <c r="E18" s="320">
        <v>4200</v>
      </c>
      <c r="F18" s="321"/>
      <c r="G18" s="322" t="str">
        <f t="shared" si="0"/>
        <v>Mid Cap</v>
      </c>
      <c r="H18" s="323"/>
      <c r="I18" s="324" t="s">
        <v>176</v>
      </c>
      <c r="J18" s="325"/>
      <c r="K18" s="326">
        <v>2</v>
      </c>
      <c r="M18" s="327" t="s">
        <v>115</v>
      </c>
      <c r="N18" s="327"/>
      <c r="O18" s="328" t="str">
        <f t="shared" si="1"/>
        <v>West</v>
      </c>
    </row>
    <row r="19" spans="1:16" ht="19.5" customHeight="1" x14ac:dyDescent="0.25">
      <c r="A19" s="313" t="s">
        <v>148</v>
      </c>
      <c r="C19" s="319" t="s">
        <v>153</v>
      </c>
      <c r="D19" s="314"/>
      <c r="E19" s="320">
        <v>2900</v>
      </c>
      <c r="F19" s="321"/>
      <c r="G19" s="322" t="str">
        <f t="shared" si="0"/>
        <v>Mid Cap</v>
      </c>
      <c r="H19" s="323"/>
      <c r="I19" s="324" t="s">
        <v>176</v>
      </c>
      <c r="J19" s="325"/>
      <c r="K19" s="326">
        <v>3</v>
      </c>
      <c r="L19" s="314"/>
      <c r="M19" s="327" t="s">
        <v>117</v>
      </c>
      <c r="N19" s="327"/>
      <c r="O19" s="328" t="str">
        <f t="shared" si="1"/>
        <v>West</v>
      </c>
    </row>
    <row r="20" spans="1:16" ht="19.5" customHeight="1" x14ac:dyDescent="0.25">
      <c r="A20" s="313" t="s">
        <v>140</v>
      </c>
      <c r="C20" s="319" t="s">
        <v>154</v>
      </c>
      <c r="E20" s="320">
        <v>1700</v>
      </c>
      <c r="F20" s="321"/>
      <c r="G20" s="322" t="str">
        <f t="shared" si="0"/>
        <v>Small Cap</v>
      </c>
      <c r="H20" s="323"/>
      <c r="I20" s="324" t="s">
        <v>175</v>
      </c>
      <c r="J20" s="325"/>
      <c r="K20" s="326">
        <v>2</v>
      </c>
      <c r="M20" s="327" t="s">
        <v>115</v>
      </c>
      <c r="N20" s="327"/>
      <c r="O20" s="328" t="str">
        <f t="shared" si="1"/>
        <v>Central</v>
      </c>
    </row>
    <row r="21" spans="1:16" ht="19.5" customHeight="1" x14ac:dyDescent="0.25">
      <c r="A21" s="313" t="s">
        <v>337</v>
      </c>
      <c r="C21" s="319" t="s">
        <v>345</v>
      </c>
      <c r="E21" s="320">
        <v>34000</v>
      </c>
      <c r="F21" s="321"/>
      <c r="G21" s="322" t="str">
        <f t="shared" si="0"/>
        <v>Large Cap</v>
      </c>
      <c r="H21" s="323"/>
      <c r="I21" s="324" t="s">
        <v>175</v>
      </c>
      <c r="J21" s="325"/>
      <c r="K21" s="326">
        <v>2</v>
      </c>
      <c r="M21" s="327" t="s">
        <v>116</v>
      </c>
      <c r="N21" s="327"/>
      <c r="O21" s="328" t="str">
        <f t="shared" si="1"/>
        <v>West</v>
      </c>
    </row>
    <row r="22" spans="1:16" ht="19.5" customHeight="1" x14ac:dyDescent="0.25">
      <c r="A22" s="313" t="s">
        <v>128</v>
      </c>
      <c r="C22" s="319" t="s">
        <v>65</v>
      </c>
      <c r="E22" s="320">
        <v>4000</v>
      </c>
      <c r="F22" s="321"/>
      <c r="G22" s="322" t="str">
        <f t="shared" si="0"/>
        <v>Mid Cap</v>
      </c>
      <c r="H22" s="323"/>
      <c r="I22" s="324" t="s">
        <v>175</v>
      </c>
      <c r="J22" s="325"/>
      <c r="K22" s="326">
        <v>2</v>
      </c>
      <c r="M22" s="327" t="s">
        <v>116</v>
      </c>
      <c r="N22" s="327"/>
      <c r="O22" s="328" t="str">
        <f t="shared" si="1"/>
        <v>West</v>
      </c>
    </row>
    <row r="23" spans="1:16" ht="19.5" customHeight="1" x14ac:dyDescent="0.25">
      <c r="A23" s="313" t="s">
        <v>338</v>
      </c>
      <c r="C23" s="319" t="s">
        <v>346</v>
      </c>
      <c r="E23" s="320">
        <v>28000</v>
      </c>
      <c r="F23" s="321"/>
      <c r="G23" s="322" t="str">
        <f t="shared" si="0"/>
        <v>Large Cap</v>
      </c>
      <c r="H23" s="323"/>
      <c r="I23" s="324" t="s">
        <v>176</v>
      </c>
      <c r="J23" s="325"/>
      <c r="K23" s="326">
        <v>2</v>
      </c>
      <c r="M23" s="327" t="s">
        <v>115</v>
      </c>
      <c r="N23" s="327"/>
      <c r="O23" s="328" t="str">
        <f t="shared" si="1"/>
        <v>West</v>
      </c>
    </row>
    <row r="24" spans="1:16" ht="19.5" customHeight="1" x14ac:dyDescent="0.25">
      <c r="A24" s="331"/>
      <c r="B24" s="331"/>
      <c r="C24" s="332"/>
      <c r="D24" s="331"/>
      <c r="E24" s="333"/>
      <c r="F24" s="334"/>
      <c r="G24" s="335"/>
      <c r="H24" s="336"/>
      <c r="I24" s="337"/>
      <c r="J24" s="338"/>
      <c r="K24" s="315"/>
      <c r="L24" s="331"/>
      <c r="M24" s="339"/>
      <c r="N24" s="339"/>
      <c r="O24" s="335"/>
      <c r="P24" s="340"/>
    </row>
    <row r="25" spans="1:16" x14ac:dyDescent="0.25">
      <c r="C25" s="341"/>
      <c r="E25" s="342"/>
      <c r="F25" s="321"/>
      <c r="G25" s="343"/>
      <c r="H25" s="343"/>
      <c r="I25" s="344"/>
      <c r="J25" s="345"/>
      <c r="K25" s="314"/>
      <c r="M25" s="327"/>
      <c r="N25" s="327"/>
      <c r="O25" s="327"/>
    </row>
    <row r="27" spans="1:16" s="346" customFormat="1" ht="14.45" customHeight="1" x14ac:dyDescent="0.2">
      <c r="A27" s="394" t="s">
        <v>173</v>
      </c>
      <c r="B27" s="394"/>
      <c r="C27" s="394"/>
      <c r="D27" s="394"/>
      <c r="E27" s="394"/>
      <c r="F27" s="394"/>
      <c r="G27" s="394"/>
      <c r="H27" s="394"/>
      <c r="I27" s="394"/>
      <c r="J27" s="394"/>
      <c r="K27" s="394"/>
      <c r="L27" s="394"/>
      <c r="M27" s="394"/>
      <c r="N27" s="394"/>
      <c r="O27" s="394"/>
    </row>
    <row r="28" spans="1:16" s="346" customFormat="1" ht="14.45" customHeight="1" x14ac:dyDescent="0.2">
      <c r="A28" s="394" t="s">
        <v>118</v>
      </c>
      <c r="B28" s="394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394"/>
      <c r="O28" s="394"/>
    </row>
    <row r="29" spans="1:16" s="346" customFormat="1" ht="14.45" customHeight="1" x14ac:dyDescent="0.2">
      <c r="A29" s="394" t="s">
        <v>177</v>
      </c>
      <c r="B29" s="394"/>
      <c r="C29" s="394"/>
      <c r="D29" s="394"/>
      <c r="E29" s="394"/>
      <c r="F29" s="394"/>
      <c r="G29" s="394"/>
      <c r="H29" s="394"/>
      <c r="I29" s="394"/>
      <c r="J29" s="394"/>
      <c r="K29" s="394"/>
      <c r="L29" s="394"/>
      <c r="M29" s="394"/>
      <c r="N29" s="394"/>
      <c r="O29" s="394"/>
    </row>
  </sheetData>
  <sortState ref="A6:O23">
    <sortCondition ref="A6:A23"/>
  </sortState>
  <mergeCells count="3">
    <mergeCell ref="A27:O27"/>
    <mergeCell ref="A28:O28"/>
    <mergeCell ref="A29:O29"/>
  </mergeCells>
  <printOptions horizontalCentered="1"/>
  <pageMargins left="0.7" right="0.7" top="0.75" bottom="0.75" header="0.3" footer="0.3"/>
  <pageSetup scale="88" orientation="landscape" r:id="rId1"/>
  <headerFooter scaleWithDoc="0">
    <oddHeader xml:space="preserve">&amp;R&amp;"-,Bold"&amp;10Dockets UE-170485 and UG-170486
Exhibit DJG-4
Proxy Group Summary
Page 2 of 17&amp;"-,Regular"&amp;11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T50"/>
  <sheetViews>
    <sheetView view="pageLayout" zoomScaleNormal="80" workbookViewId="0">
      <selection activeCell="H1" sqref="H1"/>
    </sheetView>
  </sheetViews>
  <sheetFormatPr defaultRowHeight="15" x14ac:dyDescent="0.25"/>
  <cols>
    <col min="1" max="1" width="20.28515625" customWidth="1"/>
    <col min="2" max="2" width="7.7109375" style="51" customWidth="1"/>
    <col min="3" max="21" width="7.7109375" customWidth="1"/>
    <col min="22" max="23" width="12.7109375" customWidth="1"/>
  </cols>
  <sheetData>
    <row r="1" spans="1:20" ht="18.75" x14ac:dyDescent="0.3">
      <c r="A1" s="375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</row>
    <row r="2" spans="1:20" s="373" customFormat="1" ht="18.75" x14ac:dyDescent="0.3">
      <c r="A2" s="375"/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</row>
    <row r="3" spans="1:20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9.899999999999999" customHeight="1" x14ac:dyDescent="0.25">
      <c r="A4" s="91" t="s">
        <v>1</v>
      </c>
      <c r="B4" s="36" t="s">
        <v>12</v>
      </c>
      <c r="C4" s="1" t="str">
        <f>'3 Proxy Sum'!C6</f>
        <v>ALE</v>
      </c>
      <c r="D4" s="91" t="str">
        <f>'3 Proxy Sum'!C7</f>
        <v>AEE</v>
      </c>
      <c r="E4" s="91" t="str">
        <f>'3 Proxy Sum'!C8</f>
        <v>AGR</v>
      </c>
      <c r="F4" s="91" t="str">
        <f>'3 Proxy Sum'!C9</f>
        <v>AVA</v>
      </c>
      <c r="G4" s="91" t="str">
        <f>'3 Proxy Sum'!C10</f>
        <v>BKH</v>
      </c>
      <c r="H4" s="91" t="str">
        <f>'3 Proxy Sum'!C11</f>
        <v>CMS</v>
      </c>
      <c r="I4" s="91" t="str">
        <f>'3 Proxy Sum'!C12</f>
        <v>D</v>
      </c>
      <c r="J4" s="91" t="str">
        <f>'3 Proxy Sum'!C13</f>
        <v>DTE</v>
      </c>
      <c r="K4" s="91" t="str">
        <f>'3 Proxy Sum'!C14</f>
        <v>EIX</v>
      </c>
      <c r="L4" s="91" t="str">
        <f>'3 Proxy Sum'!C15</f>
        <v>EE</v>
      </c>
      <c r="M4" s="91" t="str">
        <f>'3 Proxy Sum'!C16</f>
        <v>EXC</v>
      </c>
      <c r="N4" s="91" t="str">
        <f>'3 Proxy Sum'!C17</f>
        <v>HE</v>
      </c>
      <c r="O4" s="91" t="str">
        <f>'3 Proxy Sum'!C18</f>
        <v>IDA</v>
      </c>
      <c r="P4" s="99" t="str">
        <f>'3 Proxy Sum'!C19</f>
        <v>NWE</v>
      </c>
      <c r="Q4" s="91" t="str">
        <f>'3 Proxy Sum'!C20</f>
        <v>OTTR</v>
      </c>
      <c r="R4" s="91" t="str">
        <f>'3 Proxy Sum'!C21</f>
        <v>PCG</v>
      </c>
      <c r="S4" s="91" t="str">
        <f>'3 Proxy Sum'!C22</f>
        <v>POR</v>
      </c>
      <c r="T4" s="91" t="str">
        <f>'3 Proxy Sum'!C23</f>
        <v>SRE</v>
      </c>
    </row>
    <row r="5" spans="1:20" ht="19.899999999999999" customHeight="1" x14ac:dyDescent="0.25">
      <c r="B5"/>
      <c r="C5" s="1"/>
      <c r="D5" s="1"/>
      <c r="E5" s="1"/>
      <c r="F5" s="1"/>
    </row>
    <row r="6" spans="1:20" ht="19.899999999999999" customHeight="1" x14ac:dyDescent="0.25">
      <c r="A6" s="93" t="s">
        <v>9</v>
      </c>
      <c r="B6" s="44">
        <f>AVERAGE(B9:B38)</f>
        <v>2516.5656900333333</v>
      </c>
      <c r="C6" s="43">
        <f t="shared" ref="C6:T6" si="0">AVERAGE(C9:C38)</f>
        <v>78.05199953333333</v>
      </c>
      <c r="D6" s="43">
        <f t="shared" si="0"/>
        <v>59.238125400000008</v>
      </c>
      <c r="E6" s="43">
        <f t="shared" si="0"/>
        <v>47.533266533333332</v>
      </c>
      <c r="F6" s="43">
        <f t="shared" si="0"/>
        <v>51.787000099999993</v>
      </c>
      <c r="G6" s="43">
        <f t="shared" si="0"/>
        <v>68.887667266666668</v>
      </c>
      <c r="H6" s="43">
        <f t="shared" si="0"/>
        <v>47.243999800000012</v>
      </c>
      <c r="I6" s="43">
        <f t="shared" si="0"/>
        <v>77.897999633333328</v>
      </c>
      <c r="J6" s="43">
        <f t="shared" si="0"/>
        <v>109.37969156666665</v>
      </c>
      <c r="K6" s="43">
        <f t="shared" si="0"/>
        <v>78.636581333333353</v>
      </c>
      <c r="L6" s="43">
        <f t="shared" si="0"/>
        <v>55.905694133333327</v>
      </c>
      <c r="M6" s="43">
        <f t="shared" si="0"/>
        <v>37.979332999999997</v>
      </c>
      <c r="N6" s="43">
        <f t="shared" si="0"/>
        <v>33.843333066666666</v>
      </c>
      <c r="O6" s="43">
        <f t="shared" si="0"/>
        <v>89.358333033333338</v>
      </c>
      <c r="P6" s="43">
        <f t="shared" si="0"/>
        <v>58.272868166666669</v>
      </c>
      <c r="Q6" s="43">
        <f t="shared" si="0"/>
        <v>43.753333099999992</v>
      </c>
      <c r="R6" s="43">
        <f t="shared" si="0"/>
        <v>67.523620466666657</v>
      </c>
      <c r="S6" s="43">
        <f t="shared" si="0"/>
        <v>46.303821866666667</v>
      </c>
      <c r="T6" s="43">
        <f t="shared" si="0"/>
        <v>115.60493880000003</v>
      </c>
    </row>
    <row r="7" spans="1:20" ht="19.899999999999999" customHeight="1" x14ac:dyDescent="0.25">
      <c r="A7" s="101" t="s">
        <v>8</v>
      </c>
      <c r="B7" s="102">
        <f>STDEV(B9:B38)</f>
        <v>29.367799744901781</v>
      </c>
      <c r="C7" s="103">
        <f t="shared" ref="C7:T7" si="1">STDEV(C9:C38)</f>
        <v>0.62525179193300107</v>
      </c>
      <c r="D7" s="103">
        <f t="shared" si="1"/>
        <v>0.81516575880786313</v>
      </c>
      <c r="E7" s="103">
        <f t="shared" si="1"/>
        <v>0.58978663029132394</v>
      </c>
      <c r="F7" s="103">
        <f t="shared" si="1"/>
        <v>0.34293006817238036</v>
      </c>
      <c r="G7" s="103">
        <f t="shared" si="1"/>
        <v>0.90815788143570408</v>
      </c>
      <c r="H7" s="103">
        <f t="shared" si="1"/>
        <v>0.80073495481555956</v>
      </c>
      <c r="I7" s="103">
        <f t="shared" si="1"/>
        <v>0.9964952441382614</v>
      </c>
      <c r="J7" s="103">
        <f t="shared" si="1"/>
        <v>1.5599783658544244</v>
      </c>
      <c r="K7" s="103">
        <f t="shared" si="1"/>
        <v>1.2026093622857466</v>
      </c>
      <c r="L7" s="103">
        <f t="shared" si="1"/>
        <v>1.1425922063040732</v>
      </c>
      <c r="M7" s="103">
        <f t="shared" si="1"/>
        <v>0.70857241796202597</v>
      </c>
      <c r="N7" s="103">
        <f t="shared" si="1"/>
        <v>0.38895359709273158</v>
      </c>
      <c r="O7" s="103">
        <f t="shared" si="1"/>
        <v>1.0402320702082235</v>
      </c>
      <c r="P7" s="103">
        <f t="shared" si="1"/>
        <v>0.79198091510452406</v>
      </c>
      <c r="Q7" s="103">
        <f t="shared" si="1"/>
        <v>1.1011696228977859</v>
      </c>
      <c r="R7" s="103">
        <f t="shared" si="1"/>
        <v>4.0342027134728324</v>
      </c>
      <c r="S7" s="103">
        <f t="shared" si="1"/>
        <v>0.61358105673630092</v>
      </c>
      <c r="T7" s="103">
        <f t="shared" si="1"/>
        <v>1.9323766707510179</v>
      </c>
    </row>
    <row r="8" spans="1:20" ht="19.899999999999999" customHeight="1" x14ac:dyDescent="0.25">
      <c r="A8" s="42"/>
      <c r="B8"/>
      <c r="C8" s="1"/>
      <c r="D8" s="1"/>
      <c r="E8" s="1"/>
      <c r="F8" s="1"/>
    </row>
    <row r="9" spans="1:20" ht="19.899999999999999" customHeight="1" x14ac:dyDescent="0.25">
      <c r="A9" s="89">
        <v>42984</v>
      </c>
      <c r="B9" s="45">
        <v>2465.540039</v>
      </c>
      <c r="C9" s="4">
        <v>77.629997000000003</v>
      </c>
      <c r="D9" s="4">
        <v>59.040401000000003</v>
      </c>
      <c r="E9" s="4">
        <v>47.498001000000002</v>
      </c>
      <c r="F9" s="4">
        <v>51.68</v>
      </c>
      <c r="G9" s="4">
        <v>69.800003000000004</v>
      </c>
      <c r="H9" s="4">
        <v>48.18</v>
      </c>
      <c r="I9" s="4">
        <v>77.989998</v>
      </c>
      <c r="J9" s="4">
        <v>110.854263</v>
      </c>
      <c r="K9" s="4">
        <v>78.996780000000001</v>
      </c>
      <c r="L9" s="4">
        <v>54.714694999999999</v>
      </c>
      <c r="M9" s="4">
        <v>37.549999</v>
      </c>
      <c r="N9" s="4">
        <v>33.479999999999997</v>
      </c>
      <c r="O9" s="4">
        <v>89.720000999999996</v>
      </c>
      <c r="P9" s="4">
        <v>59.170746000000001</v>
      </c>
      <c r="Q9" s="4">
        <v>42.049999</v>
      </c>
      <c r="R9" s="4">
        <v>69.136664999999994</v>
      </c>
      <c r="S9" s="4">
        <v>46.823608</v>
      </c>
      <c r="T9" s="4">
        <v>116.37262</v>
      </c>
    </row>
    <row r="10" spans="1:20" ht="19.899999999999999" customHeight="1" x14ac:dyDescent="0.25">
      <c r="A10" s="89">
        <v>42985</v>
      </c>
      <c r="B10" s="45">
        <v>2465.1000979999999</v>
      </c>
      <c r="C10" s="4">
        <v>78.650002000000001</v>
      </c>
      <c r="D10" s="4">
        <v>59.447440999999998</v>
      </c>
      <c r="E10" s="4">
        <v>48.040000999999997</v>
      </c>
      <c r="F10" s="4">
        <v>52.02</v>
      </c>
      <c r="G10" s="4">
        <v>69.930000000000007</v>
      </c>
      <c r="H10" s="4">
        <v>48.459999000000003</v>
      </c>
      <c r="I10" s="4">
        <v>78.25</v>
      </c>
      <c r="J10" s="4">
        <v>111.03293600000001</v>
      </c>
      <c r="K10" s="4">
        <v>79.612465</v>
      </c>
      <c r="L10" s="4">
        <v>55.161957000000001</v>
      </c>
      <c r="M10" s="4">
        <v>38.029998999999997</v>
      </c>
      <c r="N10" s="4">
        <v>33.599997999999999</v>
      </c>
      <c r="O10" s="4">
        <v>90.830001999999993</v>
      </c>
      <c r="P10" s="4">
        <v>59.458176000000002</v>
      </c>
      <c r="Q10" s="4">
        <v>42.650002000000001</v>
      </c>
      <c r="R10" s="4">
        <v>69.761748999999995</v>
      </c>
      <c r="S10" s="4">
        <v>47.250453999999998</v>
      </c>
      <c r="T10" s="4">
        <v>118.130135</v>
      </c>
    </row>
    <row r="11" spans="1:20" ht="19.899999999999999" customHeight="1" x14ac:dyDescent="0.25">
      <c r="A11" s="89">
        <v>42986</v>
      </c>
      <c r="B11" s="45">
        <v>2461.429932</v>
      </c>
      <c r="C11" s="4">
        <v>79.139999000000003</v>
      </c>
      <c r="D11" s="4">
        <v>59.655921999999997</v>
      </c>
      <c r="E11" s="4">
        <v>48.369999</v>
      </c>
      <c r="F11" s="4">
        <v>51.740001999999997</v>
      </c>
      <c r="G11" s="4">
        <v>70.220000999999996</v>
      </c>
      <c r="H11" s="4">
        <v>48.66</v>
      </c>
      <c r="I11" s="4">
        <v>79.239998</v>
      </c>
      <c r="J11" s="4">
        <v>112.005684</v>
      </c>
      <c r="K11" s="4">
        <v>80.178496999999993</v>
      </c>
      <c r="L11" s="4">
        <v>55.609214999999999</v>
      </c>
      <c r="M11" s="4">
        <v>38.169998</v>
      </c>
      <c r="N11" s="4">
        <v>34.130001</v>
      </c>
      <c r="O11" s="4">
        <v>91.400002000000001</v>
      </c>
      <c r="P11" s="4">
        <v>59.705959</v>
      </c>
      <c r="Q11" s="4">
        <v>42.799999</v>
      </c>
      <c r="R11" s="4">
        <v>70.089179999999999</v>
      </c>
      <c r="S11" s="4">
        <v>47.518470999999998</v>
      </c>
      <c r="T11" s="4">
        <v>118.318794</v>
      </c>
    </row>
    <row r="12" spans="1:20" ht="19.899999999999999" customHeight="1" x14ac:dyDescent="0.25">
      <c r="A12" s="89">
        <v>42989</v>
      </c>
      <c r="B12" s="45">
        <v>2488.110107</v>
      </c>
      <c r="C12" s="4">
        <v>79.139999000000003</v>
      </c>
      <c r="D12" s="4">
        <v>60.469996999999999</v>
      </c>
      <c r="E12" s="4">
        <v>48.619999</v>
      </c>
      <c r="F12" s="4">
        <v>51.560001</v>
      </c>
      <c r="G12" s="4">
        <v>70.830001999999993</v>
      </c>
      <c r="H12" s="4">
        <v>49.099997999999999</v>
      </c>
      <c r="I12" s="4">
        <v>79.919998000000007</v>
      </c>
      <c r="J12" s="4">
        <v>112.670738</v>
      </c>
      <c r="K12" s="4">
        <v>80.923278999999994</v>
      </c>
      <c r="L12" s="4">
        <v>56.006779000000002</v>
      </c>
      <c r="M12" s="4">
        <v>38.470001000000003</v>
      </c>
      <c r="N12" s="4">
        <v>34.419998</v>
      </c>
      <c r="O12" s="4">
        <v>91.879997000000003</v>
      </c>
      <c r="P12" s="4">
        <v>60.112324000000001</v>
      </c>
      <c r="Q12" s="4">
        <v>43.200001</v>
      </c>
      <c r="R12" s="4">
        <v>71.002007000000006</v>
      </c>
      <c r="S12" s="4">
        <v>47.836120999999999</v>
      </c>
      <c r="T12" s="4">
        <v>119.212433</v>
      </c>
    </row>
    <row r="13" spans="1:20" ht="19.899999999999999" customHeight="1" x14ac:dyDescent="0.25">
      <c r="A13" s="89">
        <v>42990</v>
      </c>
      <c r="B13" s="45">
        <v>2496.4799800000001</v>
      </c>
      <c r="C13" s="4">
        <v>77.75</v>
      </c>
      <c r="D13" s="4">
        <v>59.450001</v>
      </c>
      <c r="E13" s="4">
        <v>47.689999</v>
      </c>
      <c r="F13" s="4">
        <v>51.389999000000003</v>
      </c>
      <c r="G13" s="4">
        <v>69.5</v>
      </c>
      <c r="H13" s="4">
        <v>48.080002</v>
      </c>
      <c r="I13" s="4">
        <v>78.180000000000007</v>
      </c>
      <c r="J13" s="4">
        <v>110.46714799999999</v>
      </c>
      <c r="K13" s="4">
        <v>80.178496999999993</v>
      </c>
      <c r="L13" s="4">
        <v>54.963172999999998</v>
      </c>
      <c r="M13" s="4">
        <v>37.880001</v>
      </c>
      <c r="N13" s="4">
        <v>33.860000999999997</v>
      </c>
      <c r="O13" s="4">
        <v>89.870002999999997</v>
      </c>
      <c r="P13" s="4">
        <v>58.823844999999999</v>
      </c>
      <c r="Q13" s="4">
        <v>42.099997999999999</v>
      </c>
      <c r="R13" s="4">
        <v>69.612930000000006</v>
      </c>
      <c r="S13" s="4">
        <v>46.893101000000001</v>
      </c>
      <c r="T13" s="4">
        <v>117.50457</v>
      </c>
    </row>
    <row r="14" spans="1:20" ht="19.899999999999999" customHeight="1" x14ac:dyDescent="0.25">
      <c r="A14" s="89">
        <v>42991</v>
      </c>
      <c r="B14" s="45">
        <v>2498.3701169999999</v>
      </c>
      <c r="C14" s="4">
        <v>77.559997999999993</v>
      </c>
      <c r="D14" s="4">
        <v>58.889999000000003</v>
      </c>
      <c r="E14" s="4">
        <v>47.220001000000003</v>
      </c>
      <c r="F14" s="4">
        <v>51.330002</v>
      </c>
      <c r="G14" s="4">
        <v>69.480002999999996</v>
      </c>
      <c r="H14" s="4">
        <v>47.5</v>
      </c>
      <c r="I14" s="4">
        <v>78.069999999999993</v>
      </c>
      <c r="J14" s="4">
        <v>109.414986</v>
      </c>
      <c r="K14" s="4">
        <v>80.416831999999999</v>
      </c>
      <c r="L14" s="4">
        <v>54.665000999999997</v>
      </c>
      <c r="M14" s="4">
        <v>37.799999</v>
      </c>
      <c r="N14" s="4">
        <v>33.740001999999997</v>
      </c>
      <c r="O14" s="4">
        <v>89.5</v>
      </c>
      <c r="P14" s="4">
        <v>58.695003999999997</v>
      </c>
      <c r="Q14" s="4">
        <v>42.150002000000001</v>
      </c>
      <c r="R14" s="4">
        <v>69.007683</v>
      </c>
      <c r="S14" s="4">
        <v>46.535744000000001</v>
      </c>
      <c r="T14" s="4">
        <v>117.28613300000001</v>
      </c>
    </row>
    <row r="15" spans="1:20" ht="19.899999999999999" customHeight="1" x14ac:dyDescent="0.25">
      <c r="A15" s="89">
        <v>42992</v>
      </c>
      <c r="B15" s="45">
        <v>2495.6201169999999</v>
      </c>
      <c r="C15" s="4">
        <v>78.199996999999996</v>
      </c>
      <c r="D15" s="4">
        <v>59.560001</v>
      </c>
      <c r="E15" s="4">
        <v>47.419998</v>
      </c>
      <c r="F15" s="4">
        <v>51.389999000000003</v>
      </c>
      <c r="G15" s="4">
        <v>69.819999999999993</v>
      </c>
      <c r="H15" s="4">
        <v>47.889999000000003</v>
      </c>
      <c r="I15" s="4">
        <v>79.169998000000007</v>
      </c>
      <c r="J15" s="4">
        <v>110.755005</v>
      </c>
      <c r="K15" s="4">
        <v>80.466483999999994</v>
      </c>
      <c r="L15" s="4">
        <v>55.150002000000001</v>
      </c>
      <c r="M15" s="4">
        <v>38.099997999999999</v>
      </c>
      <c r="N15" s="4">
        <v>33.82</v>
      </c>
      <c r="O15" s="4">
        <v>89.959998999999996</v>
      </c>
      <c r="P15" s="4">
        <v>59.23</v>
      </c>
      <c r="Q15" s="4">
        <v>42.599997999999999</v>
      </c>
      <c r="R15" s="4">
        <v>69.543464999999998</v>
      </c>
      <c r="S15" s="4">
        <v>46.744197999999997</v>
      </c>
      <c r="T15" s="4">
        <v>118.249275</v>
      </c>
    </row>
    <row r="16" spans="1:20" ht="19.899999999999999" customHeight="1" x14ac:dyDescent="0.25">
      <c r="A16" s="89">
        <v>42993</v>
      </c>
      <c r="B16" s="45">
        <v>2500.2299800000001</v>
      </c>
      <c r="C16" s="4">
        <v>78.410004000000001</v>
      </c>
      <c r="D16" s="4">
        <v>59.810001</v>
      </c>
      <c r="E16" s="4">
        <v>47.509998000000003</v>
      </c>
      <c r="F16" s="4">
        <v>51.639999000000003</v>
      </c>
      <c r="G16" s="4">
        <v>69.629997000000003</v>
      </c>
      <c r="H16" s="4">
        <v>47.869999</v>
      </c>
      <c r="I16" s="4">
        <v>79.5</v>
      </c>
      <c r="J16" s="4">
        <v>111.449997</v>
      </c>
      <c r="K16" s="4">
        <v>80.635300000000001</v>
      </c>
      <c r="L16" s="4">
        <v>55.150002000000001</v>
      </c>
      <c r="M16" s="4">
        <v>37.610000999999997</v>
      </c>
      <c r="N16" s="4">
        <v>33.720001000000003</v>
      </c>
      <c r="O16" s="4">
        <v>90.059997999999993</v>
      </c>
      <c r="P16" s="4">
        <v>58.959999000000003</v>
      </c>
      <c r="Q16" s="4">
        <v>43</v>
      </c>
      <c r="R16" s="4">
        <v>69.731987000000004</v>
      </c>
      <c r="S16" s="4">
        <v>46.615153999999997</v>
      </c>
      <c r="T16" s="4">
        <v>118.447868</v>
      </c>
    </row>
    <row r="17" spans="1:20" ht="19.899999999999999" customHeight="1" x14ac:dyDescent="0.25">
      <c r="A17" s="89">
        <v>42996</v>
      </c>
      <c r="B17" s="45">
        <v>2503.8701169999999</v>
      </c>
      <c r="C17" s="4">
        <v>77.650002000000001</v>
      </c>
      <c r="D17" s="4">
        <v>59.25</v>
      </c>
      <c r="E17" s="4">
        <v>47.02</v>
      </c>
      <c r="F17" s="4">
        <v>51.389999000000003</v>
      </c>
      <c r="G17" s="4">
        <v>68.949996999999996</v>
      </c>
      <c r="H17" s="4">
        <v>47.630001</v>
      </c>
      <c r="I17" s="4">
        <v>78.550003000000004</v>
      </c>
      <c r="J17" s="4">
        <v>110.529999</v>
      </c>
      <c r="K17" s="4">
        <v>79.989822000000004</v>
      </c>
      <c r="L17" s="4">
        <v>54.799999</v>
      </c>
      <c r="M17" s="4">
        <v>37.400002000000001</v>
      </c>
      <c r="N17" s="4">
        <v>33.490001999999997</v>
      </c>
      <c r="O17" s="4">
        <v>89.18</v>
      </c>
      <c r="P17" s="4">
        <v>58.41</v>
      </c>
      <c r="Q17" s="4">
        <v>42.900002000000001</v>
      </c>
      <c r="R17" s="4">
        <v>69.106903000000003</v>
      </c>
      <c r="S17" s="4">
        <v>46.019562000000001</v>
      </c>
      <c r="T17" s="4">
        <v>116.829384</v>
      </c>
    </row>
    <row r="18" spans="1:20" ht="19.899999999999999" customHeight="1" x14ac:dyDescent="0.25">
      <c r="A18" s="89">
        <v>42997</v>
      </c>
      <c r="B18" s="45">
        <v>2506.6499020000001</v>
      </c>
      <c r="C18" s="4">
        <v>77.680000000000007</v>
      </c>
      <c r="D18" s="4">
        <v>59.25</v>
      </c>
      <c r="E18" s="4">
        <v>46.77</v>
      </c>
      <c r="F18" s="4">
        <v>51.529998999999997</v>
      </c>
      <c r="G18" s="4">
        <v>69</v>
      </c>
      <c r="H18" s="4">
        <v>47.389999000000003</v>
      </c>
      <c r="I18" s="4">
        <v>78.330001999999993</v>
      </c>
      <c r="J18" s="4">
        <v>110.18</v>
      </c>
      <c r="K18" s="4">
        <v>79.155663000000004</v>
      </c>
      <c r="L18" s="4">
        <v>54.849997999999999</v>
      </c>
      <c r="M18" s="4">
        <v>37.279998999999997</v>
      </c>
      <c r="N18" s="4">
        <v>33.369999</v>
      </c>
      <c r="O18" s="4">
        <v>89.110000999999997</v>
      </c>
      <c r="P18" s="4">
        <v>58.470001000000003</v>
      </c>
      <c r="Q18" s="4">
        <v>43.049999</v>
      </c>
      <c r="R18" s="4">
        <v>68.739784</v>
      </c>
      <c r="S18" s="4">
        <v>46.228015999999997</v>
      </c>
      <c r="T18" s="4">
        <v>116.74994700000001</v>
      </c>
    </row>
    <row r="19" spans="1:20" ht="19.899999999999999" customHeight="1" x14ac:dyDescent="0.25">
      <c r="A19" s="89">
        <v>42998</v>
      </c>
      <c r="B19" s="45">
        <v>2508.23999</v>
      </c>
      <c r="C19" s="4">
        <v>77.290001000000004</v>
      </c>
      <c r="D19" s="4">
        <v>58.740001999999997</v>
      </c>
      <c r="E19" s="4">
        <v>46.490001999999997</v>
      </c>
      <c r="F19" s="4">
        <v>51.43</v>
      </c>
      <c r="G19" s="4">
        <v>68.510002</v>
      </c>
      <c r="H19" s="4">
        <v>47.07</v>
      </c>
      <c r="I19" s="4">
        <v>77.620002999999997</v>
      </c>
      <c r="J19" s="4">
        <v>108.879997</v>
      </c>
      <c r="K19" s="4">
        <v>78.539969999999997</v>
      </c>
      <c r="L19" s="4">
        <v>54.400002000000001</v>
      </c>
      <c r="M19" s="4">
        <v>36.909999999999997</v>
      </c>
      <c r="N19" s="4">
        <v>33.369999</v>
      </c>
      <c r="O19" s="4">
        <v>88.599997999999999</v>
      </c>
      <c r="P19" s="4">
        <v>58.34</v>
      </c>
      <c r="Q19" s="4">
        <v>42.950001</v>
      </c>
      <c r="R19" s="4">
        <v>68.511581000000007</v>
      </c>
      <c r="S19" s="4">
        <v>45.930222000000001</v>
      </c>
      <c r="T19" s="4">
        <v>115.75700399999999</v>
      </c>
    </row>
    <row r="20" spans="1:20" ht="19.899999999999999" customHeight="1" x14ac:dyDescent="0.25">
      <c r="A20" s="89">
        <v>42999</v>
      </c>
      <c r="B20" s="45">
        <v>2500.6000979999999</v>
      </c>
      <c r="C20" s="4">
        <v>77.150002000000001</v>
      </c>
      <c r="D20" s="4">
        <v>58.810001</v>
      </c>
      <c r="E20" s="4">
        <v>46.560001</v>
      </c>
      <c r="F20" s="4">
        <v>51.299999</v>
      </c>
      <c r="G20" s="4">
        <v>68.730002999999996</v>
      </c>
      <c r="H20" s="4">
        <v>47.060001</v>
      </c>
      <c r="I20" s="4">
        <v>77.300003000000004</v>
      </c>
      <c r="J20" s="4">
        <v>109.019997</v>
      </c>
      <c r="K20" s="4">
        <v>78.112967999999995</v>
      </c>
      <c r="L20" s="4">
        <v>54.900002000000001</v>
      </c>
      <c r="M20" s="4">
        <v>37.150002000000001</v>
      </c>
      <c r="N20" s="4">
        <v>33.560001</v>
      </c>
      <c r="O20" s="4">
        <v>88.519997000000004</v>
      </c>
      <c r="P20" s="4">
        <v>58.639999000000003</v>
      </c>
      <c r="Q20" s="4">
        <v>43</v>
      </c>
      <c r="R20" s="4">
        <v>68.640563999999998</v>
      </c>
      <c r="S20" s="4">
        <v>45.959999000000003</v>
      </c>
      <c r="T20" s="4">
        <v>115.910004</v>
      </c>
    </row>
    <row r="21" spans="1:20" ht="19.899999999999999" customHeight="1" x14ac:dyDescent="0.25">
      <c r="A21" s="89">
        <v>43000</v>
      </c>
      <c r="B21" s="45">
        <v>2502.219971</v>
      </c>
      <c r="C21" s="4">
        <v>76.910004000000001</v>
      </c>
      <c r="D21" s="4">
        <v>58.509998000000003</v>
      </c>
      <c r="E21" s="4">
        <v>46.5</v>
      </c>
      <c r="F21" s="4">
        <v>51.400002000000001</v>
      </c>
      <c r="G21" s="4">
        <v>68.599997999999999</v>
      </c>
      <c r="H21" s="4">
        <v>46.470001000000003</v>
      </c>
      <c r="I21" s="4">
        <v>77.040001000000004</v>
      </c>
      <c r="J21" s="4">
        <v>108.379997</v>
      </c>
      <c r="K21" s="4">
        <v>77.735602999999998</v>
      </c>
      <c r="L21" s="4">
        <v>54.650002000000001</v>
      </c>
      <c r="M21" s="4">
        <v>37.119999</v>
      </c>
      <c r="N21" s="4">
        <v>33.479999999999997</v>
      </c>
      <c r="O21" s="4">
        <v>87.75</v>
      </c>
      <c r="P21" s="4">
        <v>57.75</v>
      </c>
      <c r="Q21" s="4">
        <v>42.799999</v>
      </c>
      <c r="R21" s="4">
        <v>68.362755000000007</v>
      </c>
      <c r="S21" s="4">
        <v>45.580002</v>
      </c>
      <c r="T21" s="4">
        <v>115.94000200000001</v>
      </c>
    </row>
    <row r="22" spans="1:20" ht="19.899999999999999" customHeight="1" x14ac:dyDescent="0.25">
      <c r="A22" s="89">
        <v>43003</v>
      </c>
      <c r="B22" s="45">
        <v>2496.6599120000001</v>
      </c>
      <c r="C22" s="4">
        <v>77.559997999999993</v>
      </c>
      <c r="D22" s="4">
        <v>59.380001</v>
      </c>
      <c r="E22" s="4">
        <v>47.099997999999999</v>
      </c>
      <c r="F22" s="4">
        <v>51.529998999999997</v>
      </c>
      <c r="G22" s="4">
        <v>69.230002999999996</v>
      </c>
      <c r="H22" s="4">
        <v>47.099997999999999</v>
      </c>
      <c r="I22" s="4">
        <v>78.019997000000004</v>
      </c>
      <c r="J22" s="4">
        <v>109.739998</v>
      </c>
      <c r="K22" s="4">
        <v>78.718718999999993</v>
      </c>
      <c r="L22" s="4">
        <v>55.299999</v>
      </c>
      <c r="M22" s="4">
        <v>37.599997999999999</v>
      </c>
      <c r="N22" s="4">
        <v>33.799999</v>
      </c>
      <c r="O22" s="4">
        <v>88.669998000000007</v>
      </c>
      <c r="P22" s="4">
        <v>57.869999</v>
      </c>
      <c r="Q22" s="4">
        <v>43.150002000000001</v>
      </c>
      <c r="R22" s="4">
        <v>68.749709999999993</v>
      </c>
      <c r="S22" s="4">
        <v>45.950001</v>
      </c>
      <c r="T22" s="4">
        <v>116.879997</v>
      </c>
    </row>
    <row r="23" spans="1:20" ht="19.899999999999999" customHeight="1" x14ac:dyDescent="0.25">
      <c r="A23" s="89">
        <v>43004</v>
      </c>
      <c r="B23" s="45">
        <v>2496.8400879999999</v>
      </c>
      <c r="C23" s="4">
        <v>77.419998000000007</v>
      </c>
      <c r="D23" s="4">
        <v>59.139999000000003</v>
      </c>
      <c r="E23" s="4">
        <v>47.139999000000003</v>
      </c>
      <c r="F23" s="4">
        <v>51.490001999999997</v>
      </c>
      <c r="G23" s="4">
        <v>68.959998999999996</v>
      </c>
      <c r="H23" s="4">
        <v>46.939999</v>
      </c>
      <c r="I23" s="4">
        <v>78.209998999999996</v>
      </c>
      <c r="J23" s="4">
        <v>109.529999</v>
      </c>
      <c r="K23" s="4">
        <v>78.599556000000007</v>
      </c>
      <c r="L23" s="4">
        <v>55.200001</v>
      </c>
      <c r="M23" s="4">
        <v>37.169998</v>
      </c>
      <c r="N23" s="4">
        <v>33.700001</v>
      </c>
      <c r="O23" s="4">
        <v>88.410004000000001</v>
      </c>
      <c r="P23" s="4">
        <v>57.779998999999997</v>
      </c>
      <c r="Q23" s="4">
        <v>43.349997999999999</v>
      </c>
      <c r="R23" s="4">
        <v>68.501655999999997</v>
      </c>
      <c r="S23" s="4">
        <v>46.060001</v>
      </c>
      <c r="T23" s="4">
        <v>116.260002</v>
      </c>
    </row>
    <row r="24" spans="1:20" ht="19.899999999999999" customHeight="1" x14ac:dyDescent="0.25">
      <c r="A24" s="89">
        <v>43005</v>
      </c>
      <c r="B24" s="45">
        <v>2507.040039</v>
      </c>
      <c r="C24" s="4">
        <v>77.699996999999996</v>
      </c>
      <c r="D24" s="4">
        <v>57.919998</v>
      </c>
      <c r="E24" s="4">
        <v>46.75</v>
      </c>
      <c r="F24" s="4">
        <v>51.540000999999997</v>
      </c>
      <c r="G24" s="4">
        <v>69.069999999999993</v>
      </c>
      <c r="H24" s="4">
        <v>46.23</v>
      </c>
      <c r="I24" s="4">
        <v>76.779999000000004</v>
      </c>
      <c r="J24" s="4">
        <v>107.239998</v>
      </c>
      <c r="K24" s="4">
        <v>77.537002999999999</v>
      </c>
      <c r="L24" s="4">
        <v>55.299999</v>
      </c>
      <c r="M24" s="4">
        <v>37.150002000000001</v>
      </c>
      <c r="N24" s="4">
        <v>33.549999</v>
      </c>
      <c r="O24" s="4">
        <v>88.349997999999999</v>
      </c>
      <c r="P24" s="4">
        <v>57.419998</v>
      </c>
      <c r="Q24" s="4">
        <v>44.049999</v>
      </c>
      <c r="R24" s="4">
        <v>67.440002000000007</v>
      </c>
      <c r="S24" s="4">
        <v>45.900002000000001</v>
      </c>
      <c r="T24" s="4">
        <v>114.5</v>
      </c>
    </row>
    <row r="25" spans="1:20" ht="19.899999999999999" customHeight="1" x14ac:dyDescent="0.25">
      <c r="A25" s="89">
        <v>43006</v>
      </c>
      <c r="B25" s="45">
        <v>2510.0600589999999</v>
      </c>
      <c r="C25" s="4">
        <v>77.839995999999999</v>
      </c>
      <c r="D25" s="4">
        <v>58.360000999999997</v>
      </c>
      <c r="E25" s="4">
        <v>47.189999</v>
      </c>
      <c r="F25" s="4">
        <v>51.619999</v>
      </c>
      <c r="G25" s="4">
        <v>69.330001999999993</v>
      </c>
      <c r="H25" s="4">
        <v>46.349997999999999</v>
      </c>
      <c r="I25" s="4">
        <v>77.029999000000004</v>
      </c>
      <c r="J25" s="4">
        <v>107.660004</v>
      </c>
      <c r="K25" s="4">
        <v>77.569999999999993</v>
      </c>
      <c r="L25" s="4">
        <v>55.599997999999999</v>
      </c>
      <c r="M25" s="4">
        <v>37.400002000000001</v>
      </c>
      <c r="N25" s="4">
        <v>33.669998</v>
      </c>
      <c r="O25" s="4">
        <v>88.580001999999993</v>
      </c>
      <c r="P25" s="4">
        <v>57.5</v>
      </c>
      <c r="Q25" s="4">
        <v>44.299999</v>
      </c>
      <c r="R25" s="4">
        <v>68.050003000000004</v>
      </c>
      <c r="S25" s="4">
        <v>46.110000999999997</v>
      </c>
      <c r="T25" s="4">
        <v>114.58000199999999</v>
      </c>
    </row>
    <row r="26" spans="1:20" ht="19.899999999999999" customHeight="1" x14ac:dyDescent="0.25">
      <c r="A26" s="89">
        <v>43007</v>
      </c>
      <c r="B26" s="45">
        <v>2519.360107</v>
      </c>
      <c r="C26" s="4">
        <v>77.290001000000004</v>
      </c>
      <c r="D26" s="4">
        <v>57.84</v>
      </c>
      <c r="E26" s="4">
        <v>47.419998</v>
      </c>
      <c r="F26" s="4">
        <v>51.77</v>
      </c>
      <c r="G26" s="4">
        <v>68.870002999999997</v>
      </c>
      <c r="H26" s="4">
        <v>46.32</v>
      </c>
      <c r="I26" s="4">
        <v>76.930000000000007</v>
      </c>
      <c r="J26" s="4">
        <v>107.360001</v>
      </c>
      <c r="K26" s="4">
        <v>77.169998000000007</v>
      </c>
      <c r="L26" s="4">
        <v>55.25</v>
      </c>
      <c r="M26" s="4">
        <v>37.669998</v>
      </c>
      <c r="N26" s="4">
        <v>33.369999</v>
      </c>
      <c r="O26" s="4">
        <v>87.93</v>
      </c>
      <c r="P26" s="4">
        <v>56.939999</v>
      </c>
      <c r="Q26" s="4">
        <v>43.349997999999999</v>
      </c>
      <c r="R26" s="4">
        <v>68.089995999999999</v>
      </c>
      <c r="S26" s="4">
        <v>45.639999000000003</v>
      </c>
      <c r="T26" s="4">
        <v>114.129997</v>
      </c>
    </row>
    <row r="27" spans="1:20" ht="19.899999999999999" customHeight="1" x14ac:dyDescent="0.25">
      <c r="A27" s="89">
        <v>43010</v>
      </c>
      <c r="B27" s="45">
        <v>2529.1201169999999</v>
      </c>
      <c r="C27" s="4">
        <v>77.819999999999993</v>
      </c>
      <c r="D27" s="4">
        <v>58.389999000000003</v>
      </c>
      <c r="E27" s="4">
        <v>47.540000999999997</v>
      </c>
      <c r="F27" s="4">
        <v>52.200001</v>
      </c>
      <c r="G27" s="4">
        <v>68.620002999999997</v>
      </c>
      <c r="H27" s="4">
        <v>46.419998</v>
      </c>
      <c r="I27" s="4">
        <v>76.739998</v>
      </c>
      <c r="J27" s="4">
        <v>107.370003</v>
      </c>
      <c r="K27" s="4">
        <v>77</v>
      </c>
      <c r="L27" s="4">
        <v>56.049999</v>
      </c>
      <c r="M27" s="4">
        <v>38.139999000000003</v>
      </c>
      <c r="N27" s="4">
        <v>33.639999000000003</v>
      </c>
      <c r="O27" s="4">
        <v>88.779999000000004</v>
      </c>
      <c r="P27" s="4">
        <v>57.27</v>
      </c>
      <c r="Q27" s="4">
        <v>44.450001</v>
      </c>
      <c r="R27" s="4">
        <v>68.129997000000003</v>
      </c>
      <c r="S27" s="4">
        <v>46.099997999999999</v>
      </c>
      <c r="T27" s="4">
        <v>113.980003</v>
      </c>
    </row>
    <row r="28" spans="1:20" ht="19.899999999999999" customHeight="1" x14ac:dyDescent="0.25">
      <c r="A28" s="89">
        <v>43011</v>
      </c>
      <c r="B28" s="45">
        <v>2534.580078</v>
      </c>
      <c r="C28" s="4">
        <v>77.550003000000004</v>
      </c>
      <c r="D28" s="4">
        <v>57.93</v>
      </c>
      <c r="E28" s="4">
        <v>47.48</v>
      </c>
      <c r="F28" s="4">
        <v>52.18</v>
      </c>
      <c r="G28" s="4">
        <v>69.080001999999993</v>
      </c>
      <c r="H28" s="4">
        <v>45.970001000000003</v>
      </c>
      <c r="I28" s="4">
        <v>75.949996999999996</v>
      </c>
      <c r="J28" s="4">
        <v>106.599998</v>
      </c>
      <c r="K28" s="4">
        <v>77.010002</v>
      </c>
      <c r="L28" s="4">
        <v>56.150002000000001</v>
      </c>
      <c r="M28" s="4">
        <v>37.840000000000003</v>
      </c>
      <c r="N28" s="4">
        <v>33.639999000000003</v>
      </c>
      <c r="O28" s="4">
        <v>88.419998000000007</v>
      </c>
      <c r="P28" s="4">
        <v>57.299999</v>
      </c>
      <c r="Q28" s="4">
        <v>44.349997999999999</v>
      </c>
      <c r="R28" s="4">
        <v>68.309997999999993</v>
      </c>
      <c r="S28" s="4">
        <v>46.119999</v>
      </c>
      <c r="T28" s="4">
        <v>113.870003</v>
      </c>
    </row>
    <row r="29" spans="1:20" ht="19.899999999999999" customHeight="1" x14ac:dyDescent="0.25">
      <c r="A29" s="89">
        <v>43012</v>
      </c>
      <c r="B29" s="45">
        <v>2537.73999</v>
      </c>
      <c r="C29" s="4">
        <v>78.489998</v>
      </c>
      <c r="D29" s="4">
        <v>58.549999</v>
      </c>
      <c r="E29" s="4">
        <v>47.939999</v>
      </c>
      <c r="F29" s="4">
        <v>52.16</v>
      </c>
      <c r="G29" s="4">
        <v>69.730002999999996</v>
      </c>
      <c r="H29" s="4">
        <v>46.490001999999997</v>
      </c>
      <c r="I29" s="4">
        <v>76.870002999999997</v>
      </c>
      <c r="J29" s="4">
        <v>107.550003</v>
      </c>
      <c r="K29" s="4">
        <v>77.849997999999999</v>
      </c>
      <c r="L29" s="4">
        <v>56.700001</v>
      </c>
      <c r="M29" s="4">
        <v>38.189999</v>
      </c>
      <c r="N29" s="4">
        <v>33.82</v>
      </c>
      <c r="O29" s="4">
        <v>89.150002000000001</v>
      </c>
      <c r="P29" s="4">
        <v>57.66</v>
      </c>
      <c r="Q29" s="4">
        <v>44.75</v>
      </c>
      <c r="R29" s="4">
        <v>69.199996999999996</v>
      </c>
      <c r="S29" s="4">
        <v>46.48</v>
      </c>
      <c r="T29" s="4">
        <v>114.55999799999999</v>
      </c>
    </row>
    <row r="30" spans="1:20" s="39" customFormat="1" ht="19.899999999999999" customHeight="1" x14ac:dyDescent="0.25">
      <c r="A30" s="89">
        <v>43013</v>
      </c>
      <c r="B30" s="45">
        <v>2552.070068</v>
      </c>
      <c r="C30" s="4">
        <v>78.489998</v>
      </c>
      <c r="D30" s="4">
        <v>58.84</v>
      </c>
      <c r="E30" s="4">
        <v>48.310001</v>
      </c>
      <c r="F30" s="4">
        <v>52.049999</v>
      </c>
      <c r="G30" s="4">
        <v>69.150002000000001</v>
      </c>
      <c r="H30" s="4">
        <v>46.529998999999997</v>
      </c>
      <c r="I30" s="4">
        <v>76.809997999999993</v>
      </c>
      <c r="J30" s="4">
        <v>107.75</v>
      </c>
      <c r="K30" s="4">
        <v>77.680000000000007</v>
      </c>
      <c r="L30" s="4">
        <v>56.75</v>
      </c>
      <c r="M30" s="4">
        <v>38.349997999999999</v>
      </c>
      <c r="N30" s="4">
        <v>33.779998999999997</v>
      </c>
      <c r="O30" s="4">
        <v>88.690002000000007</v>
      </c>
      <c r="P30" s="4">
        <v>57.73</v>
      </c>
      <c r="Q30" s="4">
        <v>44.849997999999999</v>
      </c>
      <c r="R30" s="4">
        <v>69.069999999999993</v>
      </c>
      <c r="S30" s="4">
        <v>46.310001</v>
      </c>
      <c r="T30" s="4">
        <v>112.019997</v>
      </c>
    </row>
    <row r="31" spans="1:20" s="85" customFormat="1" ht="19.899999999999999" customHeight="1" x14ac:dyDescent="0.25">
      <c r="A31" s="89">
        <v>43014</v>
      </c>
      <c r="B31" s="45">
        <v>2549.330078</v>
      </c>
      <c r="C31" s="4">
        <v>78.309997999999993</v>
      </c>
      <c r="D31" s="4">
        <v>58.779998999999997</v>
      </c>
      <c r="E31" s="4">
        <v>47.639999000000003</v>
      </c>
      <c r="F31" s="4">
        <v>52.02</v>
      </c>
      <c r="G31" s="4">
        <v>67.080001999999993</v>
      </c>
      <c r="H31" s="4">
        <v>46.299999</v>
      </c>
      <c r="I31" s="4">
        <v>76.809997999999993</v>
      </c>
      <c r="J31" s="4">
        <v>107.68</v>
      </c>
      <c r="K31" s="4">
        <v>77.620002999999997</v>
      </c>
      <c r="L31" s="4">
        <v>56.849997999999999</v>
      </c>
      <c r="M31" s="4">
        <v>38.150002000000001</v>
      </c>
      <c r="N31" s="4">
        <v>33.900002000000001</v>
      </c>
      <c r="O31" s="4">
        <v>88.440002000000007</v>
      </c>
      <c r="P31" s="4">
        <v>57.369999</v>
      </c>
      <c r="Q31" s="4">
        <v>44.799999</v>
      </c>
      <c r="R31" s="4">
        <v>68.839995999999999</v>
      </c>
      <c r="S31" s="4">
        <v>46.07</v>
      </c>
      <c r="T31" s="4">
        <v>111.949997</v>
      </c>
    </row>
    <row r="32" spans="1:20" s="85" customFormat="1" ht="19.899999999999999" customHeight="1" x14ac:dyDescent="0.25">
      <c r="A32" s="89">
        <v>43017</v>
      </c>
      <c r="B32" s="45">
        <v>2544.7299800000001</v>
      </c>
      <c r="C32" s="4">
        <v>78.080001999999993</v>
      </c>
      <c r="D32" s="4">
        <v>59.150002000000001</v>
      </c>
      <c r="E32" s="4">
        <v>47.380001</v>
      </c>
      <c r="F32" s="4">
        <v>52.200001</v>
      </c>
      <c r="G32" s="4">
        <v>67.089995999999999</v>
      </c>
      <c r="H32" s="4">
        <v>46.48</v>
      </c>
      <c r="I32" s="4">
        <v>76.639999000000003</v>
      </c>
      <c r="J32" s="4">
        <v>107.93</v>
      </c>
      <c r="K32" s="4">
        <v>77.550003000000004</v>
      </c>
      <c r="L32" s="4">
        <v>57.049999</v>
      </c>
      <c r="M32" s="4">
        <v>38.040000999999997</v>
      </c>
      <c r="N32" s="4">
        <v>33.799999</v>
      </c>
      <c r="O32" s="4">
        <v>88.379997000000003</v>
      </c>
      <c r="P32" s="4">
        <v>57.439999</v>
      </c>
      <c r="Q32" s="4">
        <v>44.400002000000001</v>
      </c>
      <c r="R32" s="4">
        <v>68.650002000000001</v>
      </c>
      <c r="S32" s="4">
        <v>46.049999</v>
      </c>
      <c r="T32" s="4">
        <v>112.629997</v>
      </c>
    </row>
    <row r="33" spans="1:20" s="85" customFormat="1" ht="19.899999999999999" customHeight="1" x14ac:dyDescent="0.25">
      <c r="A33" s="89">
        <v>43018</v>
      </c>
      <c r="B33" s="45">
        <v>2550.639893</v>
      </c>
      <c r="C33" s="4">
        <v>78.809997999999993</v>
      </c>
      <c r="D33" s="4">
        <v>59.860000999999997</v>
      </c>
      <c r="E33" s="4">
        <v>47.880001</v>
      </c>
      <c r="F33" s="4">
        <v>52.349997999999999</v>
      </c>
      <c r="G33" s="4">
        <v>68.040001000000004</v>
      </c>
      <c r="H33" s="4">
        <v>47</v>
      </c>
      <c r="I33" s="4">
        <v>77.739998</v>
      </c>
      <c r="J33" s="4">
        <v>109.290001</v>
      </c>
      <c r="K33" s="4">
        <v>78.540001000000004</v>
      </c>
      <c r="L33" s="4">
        <v>57.650002000000001</v>
      </c>
      <c r="M33" s="4">
        <v>38.299999</v>
      </c>
      <c r="N33" s="4">
        <v>34.07</v>
      </c>
      <c r="O33" s="4">
        <v>89.25</v>
      </c>
      <c r="P33" s="4">
        <v>57.91</v>
      </c>
      <c r="Q33" s="4">
        <v>45.200001</v>
      </c>
      <c r="R33" s="4">
        <v>69.190002000000007</v>
      </c>
      <c r="S33" s="4">
        <v>46.580002</v>
      </c>
      <c r="T33" s="4">
        <v>113.80999799999999</v>
      </c>
    </row>
    <row r="34" spans="1:20" s="85" customFormat="1" ht="19.899999999999999" customHeight="1" x14ac:dyDescent="0.25">
      <c r="A34" s="89">
        <v>43019</v>
      </c>
      <c r="B34" s="45">
        <v>2555.23999</v>
      </c>
      <c r="C34" s="4">
        <v>79.059997999999993</v>
      </c>
      <c r="D34" s="4">
        <v>59.779998999999997</v>
      </c>
      <c r="E34" s="4">
        <v>48.25</v>
      </c>
      <c r="F34" s="4">
        <v>52.240001999999997</v>
      </c>
      <c r="G34" s="4">
        <v>68</v>
      </c>
      <c r="H34" s="4">
        <v>47.349997999999999</v>
      </c>
      <c r="I34" s="4">
        <v>78.010002</v>
      </c>
      <c r="J34" s="4">
        <v>109.699997</v>
      </c>
      <c r="K34" s="4">
        <v>78.419998000000007</v>
      </c>
      <c r="L34" s="4">
        <v>57.849997999999999</v>
      </c>
      <c r="M34" s="4">
        <v>38.459999000000003</v>
      </c>
      <c r="N34" s="4">
        <v>34.279998999999997</v>
      </c>
      <c r="O34" s="4">
        <v>89.540001000000004</v>
      </c>
      <c r="P34" s="4">
        <v>58</v>
      </c>
      <c r="Q34" s="4">
        <v>45.25</v>
      </c>
      <c r="R34" s="4">
        <v>69.150002000000001</v>
      </c>
      <c r="S34" s="4">
        <v>46.700001</v>
      </c>
      <c r="T34" s="4">
        <v>114.94000200000001</v>
      </c>
    </row>
    <row r="35" spans="1:20" s="85" customFormat="1" ht="19.899999999999999" customHeight="1" x14ac:dyDescent="0.25">
      <c r="A35" s="89">
        <v>43020</v>
      </c>
      <c r="B35" s="45">
        <v>2550.929932</v>
      </c>
      <c r="C35" s="4">
        <v>78.809997999999993</v>
      </c>
      <c r="D35" s="4">
        <v>60.34</v>
      </c>
      <c r="E35" s="4">
        <v>48.389999000000003</v>
      </c>
      <c r="F35" s="4">
        <v>52.23</v>
      </c>
      <c r="G35" s="4">
        <v>68.419998000000007</v>
      </c>
      <c r="H35" s="4">
        <v>47.720001000000003</v>
      </c>
      <c r="I35" s="4">
        <v>78.629997000000003</v>
      </c>
      <c r="J35" s="4">
        <v>110.66999800000001</v>
      </c>
      <c r="K35" s="4">
        <v>79.660004000000001</v>
      </c>
      <c r="L35" s="4">
        <v>58.200001</v>
      </c>
      <c r="M35" s="4">
        <v>38.939999</v>
      </c>
      <c r="N35" s="4">
        <v>34.349997999999999</v>
      </c>
      <c r="O35" s="4">
        <v>90.669998000000007</v>
      </c>
      <c r="P35" s="4">
        <v>58.66</v>
      </c>
      <c r="Q35" s="4">
        <v>45.450001</v>
      </c>
      <c r="R35" s="4">
        <v>64.5</v>
      </c>
      <c r="S35" s="4">
        <v>46.59</v>
      </c>
      <c r="T35" s="4">
        <v>115.959999</v>
      </c>
    </row>
    <row r="36" spans="1:20" s="85" customFormat="1" ht="19.899999999999999" customHeight="1" x14ac:dyDescent="0.25">
      <c r="A36" s="89">
        <v>43021</v>
      </c>
      <c r="B36" s="45">
        <v>2553.169922</v>
      </c>
      <c r="C36" s="4">
        <v>78.379997000000003</v>
      </c>
      <c r="D36" s="4">
        <v>60.41</v>
      </c>
      <c r="E36" s="4">
        <v>47.990001999999997</v>
      </c>
      <c r="F36" s="4">
        <v>52.23</v>
      </c>
      <c r="G36" s="4">
        <v>67.669998000000007</v>
      </c>
      <c r="H36" s="4">
        <v>47.540000999999997</v>
      </c>
      <c r="I36" s="4">
        <v>78.620002999999997</v>
      </c>
      <c r="J36" s="4">
        <v>109.889999</v>
      </c>
      <c r="K36" s="4">
        <v>77.989998</v>
      </c>
      <c r="L36" s="4">
        <v>58.099997999999999</v>
      </c>
      <c r="M36" s="4">
        <v>39.240001999999997</v>
      </c>
      <c r="N36" s="4">
        <v>34.330002</v>
      </c>
      <c r="O36" s="4">
        <v>90.339995999999999</v>
      </c>
      <c r="P36" s="4">
        <v>58.439999</v>
      </c>
      <c r="Q36" s="4">
        <v>45.299999</v>
      </c>
      <c r="R36" s="4">
        <v>57.720001000000003</v>
      </c>
      <c r="S36" s="4">
        <v>46.25</v>
      </c>
      <c r="T36" s="4">
        <v>114.870003</v>
      </c>
    </row>
    <row r="37" spans="1:20" s="85" customFormat="1" ht="19.899999999999999" customHeight="1" x14ac:dyDescent="0.25">
      <c r="A37" s="89">
        <v>43024</v>
      </c>
      <c r="B37" s="45">
        <v>2557.639893</v>
      </c>
      <c r="C37" s="4">
        <v>78.010002</v>
      </c>
      <c r="D37" s="4">
        <v>60.639999000000003</v>
      </c>
      <c r="E37" s="4">
        <v>47.779998999999997</v>
      </c>
      <c r="F37" s="4">
        <v>52.009998000000003</v>
      </c>
      <c r="G37" s="4">
        <v>67.690002000000007</v>
      </c>
      <c r="H37" s="4">
        <v>47.41</v>
      </c>
      <c r="I37" s="4">
        <v>79.029999000000004</v>
      </c>
      <c r="J37" s="4">
        <v>109.629997</v>
      </c>
      <c r="K37" s="4">
        <v>77.639999000000003</v>
      </c>
      <c r="L37" s="4">
        <v>57</v>
      </c>
      <c r="M37" s="4">
        <v>39.669998</v>
      </c>
      <c r="N37" s="4">
        <v>34.669998</v>
      </c>
      <c r="O37" s="4">
        <v>90.18</v>
      </c>
      <c r="P37" s="4">
        <v>58.5</v>
      </c>
      <c r="Q37" s="4">
        <v>45.099997999999999</v>
      </c>
      <c r="R37" s="4">
        <v>53.43</v>
      </c>
      <c r="S37" s="4">
        <v>44.77</v>
      </c>
      <c r="T37" s="4">
        <v>114.459999</v>
      </c>
    </row>
    <row r="38" spans="1:20" s="85" customFormat="1" ht="19.899999999999999" customHeight="1" x14ac:dyDescent="0.25">
      <c r="A38" s="89">
        <v>43025</v>
      </c>
      <c r="B38" s="45">
        <v>2559.360107</v>
      </c>
      <c r="C38" s="4">
        <v>78.779999000000004</v>
      </c>
      <c r="D38" s="4">
        <v>60.950001</v>
      </c>
      <c r="E38" s="4">
        <v>48.110000999999997</v>
      </c>
      <c r="F38" s="4">
        <v>51.990001999999997</v>
      </c>
      <c r="G38" s="4">
        <v>67.599997999999999</v>
      </c>
      <c r="H38" s="4">
        <v>47.810001</v>
      </c>
      <c r="I38" s="4">
        <v>78.959998999999996</v>
      </c>
      <c r="J38" s="4">
        <v>110.160004</v>
      </c>
      <c r="K38" s="4">
        <v>77.599997999999999</v>
      </c>
      <c r="L38" s="4">
        <v>57.150002000000001</v>
      </c>
      <c r="M38" s="4">
        <v>39.599997999999999</v>
      </c>
      <c r="N38" s="4">
        <v>34.889999000000003</v>
      </c>
      <c r="O38" s="4">
        <v>90.589995999999999</v>
      </c>
      <c r="P38" s="4">
        <v>58.630001</v>
      </c>
      <c r="Q38" s="4">
        <v>45.25</v>
      </c>
      <c r="R38" s="4">
        <v>57.439999</v>
      </c>
      <c r="S38" s="4">
        <v>45.5</v>
      </c>
      <c r="T38" s="4">
        <v>114.040001</v>
      </c>
    </row>
    <row r="39" spans="1:20" s="85" customFormat="1" x14ac:dyDescent="0.25">
      <c r="A39" s="148"/>
      <c r="B39" s="148"/>
      <c r="C39" s="43"/>
      <c r="D39" s="93"/>
      <c r="E39" s="43"/>
      <c r="F39" s="43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</row>
    <row r="40" spans="1:20" s="134" customFormat="1" x14ac:dyDescent="0.25">
      <c r="A40" s="149"/>
      <c r="B40" s="149"/>
      <c r="C40" s="81"/>
      <c r="D40" s="94"/>
      <c r="E40" s="81"/>
      <c r="F40" s="81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</row>
    <row r="41" spans="1:20" x14ac:dyDescent="0.25">
      <c r="A41" s="7"/>
      <c r="B41" s="7"/>
    </row>
    <row r="42" spans="1:20" s="150" customFormat="1" ht="14.45" customHeight="1" x14ac:dyDescent="0.2">
      <c r="A42" s="395" t="s">
        <v>121</v>
      </c>
      <c r="B42" s="395"/>
      <c r="C42" s="395"/>
      <c r="D42" s="395"/>
      <c r="E42" s="395"/>
      <c r="F42" s="395"/>
      <c r="G42" s="395"/>
      <c r="H42" s="395"/>
      <c r="I42" s="395"/>
      <c r="J42" s="395"/>
      <c r="K42" s="395"/>
      <c r="L42" s="395"/>
      <c r="M42" s="395"/>
      <c r="N42" s="395"/>
      <c r="O42" s="395"/>
      <c r="P42" s="395"/>
      <c r="Q42" s="395"/>
      <c r="R42" s="395"/>
      <c r="S42" s="395"/>
      <c r="T42" s="395"/>
    </row>
    <row r="43" spans="1:20" x14ac:dyDescent="0.25">
      <c r="A43" s="7"/>
      <c r="B43" s="7"/>
    </row>
    <row r="44" spans="1:20" x14ac:dyDescent="0.25">
      <c r="A44" s="7"/>
      <c r="B44" s="7"/>
    </row>
    <row r="45" spans="1:20" x14ac:dyDescent="0.25">
      <c r="A45" s="7"/>
      <c r="B45" s="7"/>
    </row>
    <row r="46" spans="1:20" x14ac:dyDescent="0.25">
      <c r="A46" s="7"/>
      <c r="B46" s="7"/>
    </row>
    <row r="47" spans="1:20" x14ac:dyDescent="0.25">
      <c r="A47" s="7"/>
      <c r="B47" s="7"/>
    </row>
    <row r="48" spans="1:20" x14ac:dyDescent="0.25">
      <c r="A48" s="7"/>
      <c r="B48" s="7"/>
    </row>
    <row r="49" spans="1:2" x14ac:dyDescent="0.25">
      <c r="A49" s="7"/>
      <c r="B49" s="7"/>
    </row>
    <row r="50" spans="1:2" x14ac:dyDescent="0.25">
      <c r="A50" s="7"/>
      <c r="B50" s="7"/>
    </row>
  </sheetData>
  <mergeCells count="1">
    <mergeCell ref="A42:T42"/>
  </mergeCells>
  <printOptions horizontalCentered="1"/>
  <pageMargins left="0.7" right="0.7" top="0.75" bottom="0.75" header="0.3" footer="0.3"/>
  <pageSetup scale="64" orientation="landscape" r:id="rId1"/>
  <headerFooter scaleWithDoc="0">
    <oddHeader xml:space="preserve">&amp;R&amp;"-,Bold"&amp;10Dockets UE-170485 and UG-170486
Exhibit DJG-4
Stock and Index Prices
Page 3 of 17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36"/>
  <sheetViews>
    <sheetView view="pageLayout" zoomScaleNormal="100" workbookViewId="0">
      <selection activeCell="N25" sqref="N25"/>
    </sheetView>
  </sheetViews>
  <sheetFormatPr defaultColWidth="8.85546875" defaultRowHeight="15" x14ac:dyDescent="0.25"/>
  <cols>
    <col min="1" max="1" width="30.28515625" style="87" customWidth="1"/>
    <col min="2" max="2" width="2.7109375" style="92" customWidth="1"/>
    <col min="3" max="3" width="6.7109375" style="87" customWidth="1"/>
    <col min="4" max="4" width="2.7109375" style="92" customWidth="1"/>
    <col min="5" max="5" width="11.7109375" style="87" customWidth="1"/>
    <col min="6" max="6" width="2.7109375" style="92" customWidth="1"/>
    <col min="7" max="7" width="11.7109375" style="87" customWidth="1"/>
    <col min="8" max="8" width="2.7109375" style="92" customWidth="1"/>
    <col min="9" max="9" width="11.7109375" style="87" customWidth="1"/>
    <col min="10" max="16384" width="8.85546875" style="87"/>
  </cols>
  <sheetData>
    <row r="1" spans="1:9" s="373" customFormat="1" x14ac:dyDescent="0.25"/>
    <row r="2" spans="1:9" s="373" customFormat="1" x14ac:dyDescent="0.25"/>
    <row r="3" spans="1:9" ht="18.75" x14ac:dyDescent="0.3">
      <c r="A3" s="397"/>
      <c r="B3" s="397"/>
      <c r="C3" s="397"/>
      <c r="D3" s="397"/>
      <c r="E3" s="397"/>
      <c r="F3" s="397"/>
      <c r="G3" s="397"/>
      <c r="H3" s="397"/>
      <c r="I3" s="397"/>
    </row>
    <row r="5" spans="1:9" ht="19.899999999999999" customHeight="1" x14ac:dyDescent="0.25">
      <c r="E5" s="94" t="s">
        <v>3</v>
      </c>
      <c r="F5" s="94"/>
      <c r="G5" s="94" t="s">
        <v>4</v>
      </c>
      <c r="H5" s="94"/>
      <c r="I5" s="94" t="s">
        <v>5</v>
      </c>
    </row>
    <row r="6" spans="1:9" s="92" customFormat="1" ht="19.899999999999999" customHeight="1" x14ac:dyDescent="0.25">
      <c r="E6" s="94"/>
      <c r="F6" s="94"/>
      <c r="G6" s="94"/>
      <c r="H6" s="94"/>
      <c r="I6" s="94"/>
    </row>
    <row r="7" spans="1:9" ht="19.899999999999999" customHeight="1" x14ac:dyDescent="0.25">
      <c r="A7" s="27"/>
      <c r="B7" s="27"/>
      <c r="C7" s="94"/>
      <c r="D7" s="94"/>
      <c r="E7" s="91"/>
      <c r="F7" s="91"/>
      <c r="G7" s="91" t="s">
        <v>131</v>
      </c>
      <c r="H7" s="91"/>
      <c r="I7" s="91" t="s">
        <v>70</v>
      </c>
    </row>
    <row r="8" spans="1:9" ht="19.899999999999999" customHeight="1" x14ac:dyDescent="0.25">
      <c r="A8" s="93" t="s">
        <v>0</v>
      </c>
      <c r="B8" s="94"/>
      <c r="C8" s="93" t="s">
        <v>1</v>
      </c>
      <c r="D8" s="94"/>
      <c r="E8" s="5" t="s">
        <v>70</v>
      </c>
      <c r="F8" s="6"/>
      <c r="G8" s="5" t="s">
        <v>2</v>
      </c>
      <c r="H8" s="6"/>
      <c r="I8" s="5" t="s">
        <v>130</v>
      </c>
    </row>
    <row r="9" spans="1:9" ht="19.899999999999999" customHeight="1" x14ac:dyDescent="0.25">
      <c r="A9" s="88"/>
      <c r="B9" s="94"/>
      <c r="C9" s="88"/>
      <c r="D9" s="94"/>
      <c r="E9" s="6"/>
      <c r="F9" s="6"/>
      <c r="G9" s="6"/>
      <c r="H9" s="6"/>
      <c r="I9" s="6"/>
    </row>
    <row r="10" spans="1:9" ht="19.899999999999999" customHeight="1" x14ac:dyDescent="0.25">
      <c r="A10" s="87" t="str">
        <f>'3 Proxy Sum'!A6</f>
        <v>ALLETE</v>
      </c>
      <c r="C10" s="90" t="str">
        <f>'3 Proxy Sum'!C6</f>
        <v>ALE</v>
      </c>
      <c r="D10" s="91"/>
      <c r="E10" s="230">
        <v>0.53500000000000003</v>
      </c>
      <c r="F10" s="196"/>
      <c r="G10" s="195">
        <f>'4 Stock Price'!C6</f>
        <v>78.05199953333333</v>
      </c>
      <c r="H10" s="9"/>
      <c r="I10" s="46">
        <f>E10/G10</f>
        <v>6.8544047967857621E-3</v>
      </c>
    </row>
    <row r="11" spans="1:9" ht="19.899999999999999" customHeight="1" x14ac:dyDescent="0.25">
      <c r="A11" s="282" t="str">
        <f>'3 Proxy Sum'!A7</f>
        <v>Ameren Corp.</v>
      </c>
      <c r="C11" s="90" t="str">
        <f>'3 Proxy Sum'!C7</f>
        <v>AEE</v>
      </c>
      <c r="D11" s="91"/>
      <c r="E11" s="231">
        <v>0.44</v>
      </c>
      <c r="F11" s="197"/>
      <c r="G11" s="195">
        <f>'4 Stock Price'!D6</f>
        <v>59.238125400000008</v>
      </c>
      <c r="H11" s="9"/>
      <c r="I11" s="46">
        <f t="shared" ref="I11:I27" si="0">E11/G11</f>
        <v>7.4276489512276151E-3</v>
      </c>
    </row>
    <row r="12" spans="1:9" ht="19.899999999999999" customHeight="1" x14ac:dyDescent="0.25">
      <c r="A12" s="282" t="str">
        <f>'3 Proxy Sum'!A8</f>
        <v>Avangrid, Inc.</v>
      </c>
      <c r="C12" s="90" t="str">
        <f>'3 Proxy Sum'!C8</f>
        <v>AGR</v>
      </c>
      <c r="D12" s="91"/>
      <c r="E12" s="230">
        <v>0.432</v>
      </c>
      <c r="F12" s="196"/>
      <c r="G12" s="195">
        <f>'4 Stock Price'!E6</f>
        <v>47.533266533333332</v>
      </c>
      <c r="H12" s="9"/>
      <c r="I12" s="46">
        <f t="shared" si="0"/>
        <v>9.0883718184411807E-3</v>
      </c>
    </row>
    <row r="13" spans="1:9" ht="19.899999999999999" customHeight="1" x14ac:dyDescent="0.25">
      <c r="A13" s="282" t="str">
        <f>'3 Proxy Sum'!A9</f>
        <v>Avista Corp.</v>
      </c>
      <c r="B13" s="27"/>
      <c r="C13" s="90" t="str">
        <f>'3 Proxy Sum'!C9</f>
        <v>AVA</v>
      </c>
      <c r="D13" s="91"/>
      <c r="E13" s="230">
        <v>0.35699999999999998</v>
      </c>
      <c r="F13" s="196"/>
      <c r="G13" s="195">
        <f>'4 Stock Price'!F6</f>
        <v>51.787000099999993</v>
      </c>
      <c r="H13" s="9"/>
      <c r="I13" s="46">
        <f t="shared" si="0"/>
        <v>6.8936219381435081E-3</v>
      </c>
    </row>
    <row r="14" spans="1:9" ht="19.899999999999999" customHeight="1" x14ac:dyDescent="0.25">
      <c r="A14" s="282" t="str">
        <f>'3 Proxy Sum'!A10</f>
        <v>Black Hills</v>
      </c>
      <c r="B14" s="27"/>
      <c r="C14" s="90" t="str">
        <f>'3 Proxy Sum'!C10</f>
        <v>BKH</v>
      </c>
      <c r="D14" s="91"/>
      <c r="E14" s="230">
        <v>0.44500000000000001</v>
      </c>
      <c r="F14" s="196"/>
      <c r="G14" s="195">
        <f>'4 Stock Price'!G6</f>
        <v>68.887667266666668</v>
      </c>
      <c r="H14" s="9"/>
      <c r="I14" s="46">
        <f t="shared" si="0"/>
        <v>6.4597919723045462E-3</v>
      </c>
    </row>
    <row r="15" spans="1:9" ht="19.899999999999999" customHeight="1" x14ac:dyDescent="0.25">
      <c r="A15" s="282" t="str">
        <f>'3 Proxy Sum'!A11</f>
        <v>CMS Energy Corp.</v>
      </c>
      <c r="B15" s="27"/>
      <c r="C15" s="90" t="str">
        <f>'3 Proxy Sum'!C11</f>
        <v>CMS</v>
      </c>
      <c r="D15" s="91"/>
      <c r="E15" s="230">
        <v>0.33300000000000002</v>
      </c>
      <c r="F15" s="196"/>
      <c r="G15" s="195">
        <f>'4 Stock Price'!H6</f>
        <v>47.243999800000012</v>
      </c>
      <c r="H15" s="9"/>
      <c r="I15" s="46">
        <f t="shared" si="0"/>
        <v>7.0485141268669619E-3</v>
      </c>
    </row>
    <row r="16" spans="1:9" ht="19.899999999999999" customHeight="1" x14ac:dyDescent="0.25">
      <c r="A16" s="282" t="str">
        <f>'3 Proxy Sum'!A12</f>
        <v>Dominion Energy</v>
      </c>
      <c r="B16" s="27"/>
      <c r="C16" s="90" t="str">
        <f>'3 Proxy Sum'!C12</f>
        <v>D</v>
      </c>
      <c r="D16" s="91"/>
      <c r="E16" s="230">
        <v>0.755</v>
      </c>
      <c r="F16" s="196"/>
      <c r="G16" s="195">
        <f>'4 Stock Price'!I6</f>
        <v>77.897999633333328</v>
      </c>
      <c r="H16" s="9"/>
      <c r="I16" s="46">
        <f t="shared" si="0"/>
        <v>9.6921615902050458E-3</v>
      </c>
    </row>
    <row r="17" spans="1:9" ht="19.899999999999999" customHeight="1" x14ac:dyDescent="0.25">
      <c r="A17" s="282" t="str">
        <f>'3 Proxy Sum'!A13</f>
        <v>DTE Energy Co.</v>
      </c>
      <c r="B17" s="27"/>
      <c r="C17" s="90" t="str">
        <f>'3 Proxy Sum'!C13</f>
        <v>DTE</v>
      </c>
      <c r="D17" s="91"/>
      <c r="E17" s="230">
        <v>0.82499999999999996</v>
      </c>
      <c r="F17" s="196"/>
      <c r="G17" s="195">
        <f>'4 Stock Price'!J6</f>
        <v>109.37969156666665</v>
      </c>
      <c r="H17" s="9"/>
      <c r="I17" s="46">
        <f t="shared" si="0"/>
        <v>7.5425336109780899E-3</v>
      </c>
    </row>
    <row r="18" spans="1:9" ht="19.899999999999999" customHeight="1" x14ac:dyDescent="0.25">
      <c r="A18" s="282" t="str">
        <f>'3 Proxy Sum'!A14</f>
        <v>Edison International</v>
      </c>
      <c r="B18" s="27"/>
      <c r="C18" s="90" t="str">
        <f>'3 Proxy Sum'!C14</f>
        <v>EIX</v>
      </c>
      <c r="D18" s="91"/>
      <c r="E18" s="230">
        <v>0.54300000000000004</v>
      </c>
      <c r="F18" s="196"/>
      <c r="G18" s="195">
        <f>'4 Stock Price'!K6</f>
        <v>78.636581333333353</v>
      </c>
      <c r="H18" s="9"/>
      <c r="I18" s="46">
        <f t="shared" si="0"/>
        <v>6.9051831958242462E-3</v>
      </c>
    </row>
    <row r="19" spans="1:9" ht="19.899999999999999" customHeight="1" x14ac:dyDescent="0.25">
      <c r="A19" s="282" t="str">
        <f>'3 Proxy Sum'!A15</f>
        <v>El Paso Electric</v>
      </c>
      <c r="B19" s="27"/>
      <c r="C19" s="90" t="str">
        <f>'3 Proxy Sum'!C15</f>
        <v>EE</v>
      </c>
      <c r="D19" s="91"/>
      <c r="E19" s="230">
        <v>0.33500000000000002</v>
      </c>
      <c r="F19" s="196"/>
      <c r="G19" s="195">
        <f>'4 Stock Price'!L6</f>
        <v>55.905694133333327</v>
      </c>
      <c r="H19" s="9"/>
      <c r="I19" s="46">
        <f t="shared" si="0"/>
        <v>5.9922339789044658E-3</v>
      </c>
    </row>
    <row r="20" spans="1:9" ht="19.899999999999999" customHeight="1" x14ac:dyDescent="0.25">
      <c r="A20" s="282" t="str">
        <f>'3 Proxy Sum'!A16</f>
        <v>Exelon Corp.</v>
      </c>
      <c r="B20" s="27"/>
      <c r="C20" s="90" t="str">
        <f>'3 Proxy Sum'!C16</f>
        <v>EXC</v>
      </c>
      <c r="D20" s="91"/>
      <c r="E20" s="230">
        <v>0.32700000000000001</v>
      </c>
      <c r="F20" s="196"/>
      <c r="G20" s="195">
        <f>'4 Stock Price'!M6</f>
        <v>37.979332999999997</v>
      </c>
      <c r="H20" s="9"/>
      <c r="I20" s="46">
        <f t="shared" si="0"/>
        <v>8.6099458355416627E-3</v>
      </c>
    </row>
    <row r="21" spans="1:9" ht="19.899999999999999" customHeight="1" x14ac:dyDescent="0.25">
      <c r="A21" s="282" t="str">
        <f>'3 Proxy Sum'!A17</f>
        <v>Hawaiian Elec.</v>
      </c>
      <c r="B21" s="27"/>
      <c r="C21" s="90" t="str">
        <f>'3 Proxy Sum'!C17</f>
        <v>HE</v>
      </c>
      <c r="D21" s="91"/>
      <c r="E21" s="230">
        <v>0.31</v>
      </c>
      <c r="F21" s="196"/>
      <c r="G21" s="195">
        <f>'4 Stock Price'!N6</f>
        <v>33.843333066666666</v>
      </c>
      <c r="H21" s="9"/>
      <c r="I21" s="46">
        <f t="shared" si="0"/>
        <v>9.1598543024513299E-3</v>
      </c>
    </row>
    <row r="22" spans="1:9" ht="19.899999999999999" customHeight="1" x14ac:dyDescent="0.25">
      <c r="A22" s="282" t="str">
        <f>'3 Proxy Sum'!A18</f>
        <v>IDACORP, Inc.</v>
      </c>
      <c r="B22" s="27"/>
      <c r="C22" s="90" t="str">
        <f>'3 Proxy Sum'!C18</f>
        <v>IDA</v>
      </c>
      <c r="D22" s="91"/>
      <c r="E22" s="230">
        <v>0.55000000000000004</v>
      </c>
      <c r="F22" s="196"/>
      <c r="G22" s="195">
        <f>'4 Stock Price'!O6</f>
        <v>89.358333033333338</v>
      </c>
      <c r="H22" s="9"/>
      <c r="I22" s="46">
        <f t="shared" si="0"/>
        <v>6.1549939589275191E-3</v>
      </c>
    </row>
    <row r="23" spans="1:9" ht="19.899999999999999" customHeight="1" x14ac:dyDescent="0.25">
      <c r="A23" s="282" t="str">
        <f>'3 Proxy Sum'!A19</f>
        <v>NorthWestern Corp.</v>
      </c>
      <c r="B23" s="27"/>
      <c r="C23" s="90" t="str">
        <f>'3 Proxy Sum'!C19</f>
        <v>NWE</v>
      </c>
      <c r="D23" s="91"/>
      <c r="E23" s="230">
        <v>0.52500000000000002</v>
      </c>
      <c r="F23" s="196"/>
      <c r="G23" s="195">
        <f>'4 Stock Price'!P6</f>
        <v>58.272868166666669</v>
      </c>
      <c r="H23" s="9"/>
      <c r="I23" s="46">
        <f t="shared" si="0"/>
        <v>9.0093385913053662E-3</v>
      </c>
    </row>
    <row r="24" spans="1:9" ht="19.899999999999999" customHeight="1" x14ac:dyDescent="0.25">
      <c r="A24" s="282" t="str">
        <f>'3 Proxy Sum'!A20</f>
        <v>Otter Tail Corp.</v>
      </c>
      <c r="B24" s="27"/>
      <c r="C24" s="90" t="str">
        <f>'3 Proxy Sum'!C20</f>
        <v>OTTR</v>
      </c>
      <c r="D24" s="91"/>
      <c r="E24" s="230">
        <v>0.32</v>
      </c>
      <c r="F24" s="196"/>
      <c r="G24" s="195">
        <f>'4 Stock Price'!Q6</f>
        <v>43.753333099999992</v>
      </c>
      <c r="H24" s="9"/>
      <c r="I24" s="46">
        <f t="shared" si="0"/>
        <v>7.3137285168338425E-3</v>
      </c>
    </row>
    <row r="25" spans="1:9" ht="19.899999999999999" customHeight="1" x14ac:dyDescent="0.25">
      <c r="A25" s="282" t="str">
        <f>'3 Proxy Sum'!A21</f>
        <v>PG&amp;E Corp.</v>
      </c>
      <c r="B25" s="27"/>
      <c r="C25" s="90" t="str">
        <f>'3 Proxy Sum'!C21</f>
        <v>PCG</v>
      </c>
      <c r="D25" s="91"/>
      <c r="E25" s="230">
        <v>0.53</v>
      </c>
      <c r="F25" s="196"/>
      <c r="G25" s="195">
        <f>'4 Stock Price'!R6</f>
        <v>67.523620466666657</v>
      </c>
      <c r="H25" s="9"/>
      <c r="I25" s="46">
        <f t="shared" si="0"/>
        <v>7.8491051921843694E-3</v>
      </c>
    </row>
    <row r="26" spans="1:9" ht="19.899999999999999" customHeight="1" x14ac:dyDescent="0.25">
      <c r="A26" s="282" t="str">
        <f>'3 Proxy Sum'!A22</f>
        <v>Portland General</v>
      </c>
      <c r="B26" s="27"/>
      <c r="C26" s="90" t="str">
        <f>'3 Proxy Sum'!C22</f>
        <v>POR</v>
      </c>
      <c r="D26" s="91"/>
      <c r="E26" s="230">
        <v>0.34</v>
      </c>
      <c r="F26" s="196"/>
      <c r="G26" s="195">
        <f>'4 Stock Price'!S6</f>
        <v>46.303821866666667</v>
      </c>
      <c r="H26" s="9"/>
      <c r="I26" s="46">
        <f t="shared" si="0"/>
        <v>7.3428064097827792E-3</v>
      </c>
    </row>
    <row r="27" spans="1:9" ht="19.899999999999999" customHeight="1" x14ac:dyDescent="0.25">
      <c r="A27" s="22" t="str">
        <f>'3 Proxy Sum'!A23</f>
        <v>Sempra Energy</v>
      </c>
      <c r="B27" s="27"/>
      <c r="C27" s="90" t="str">
        <f>'3 Proxy Sum'!C23</f>
        <v>SRE</v>
      </c>
      <c r="D27" s="91"/>
      <c r="E27" s="232">
        <v>0.82199999999999995</v>
      </c>
      <c r="F27" s="196"/>
      <c r="G27" s="200">
        <f>'4 Stock Price'!T6</f>
        <v>115.60493880000003</v>
      </c>
      <c r="H27" s="9"/>
      <c r="I27" s="41">
        <f t="shared" si="0"/>
        <v>7.1104228636986204E-3</v>
      </c>
    </row>
    <row r="28" spans="1:9" ht="19.899999999999999" customHeight="1" x14ac:dyDescent="0.25">
      <c r="A28" s="27"/>
      <c r="B28" s="27"/>
      <c r="C28" s="86"/>
      <c r="D28" s="91"/>
      <c r="E28" s="194"/>
      <c r="F28" s="196"/>
      <c r="G28" s="195"/>
      <c r="H28" s="9"/>
      <c r="I28" s="83"/>
    </row>
    <row r="29" spans="1:9" ht="19.899999999999999" customHeight="1" x14ac:dyDescent="0.25">
      <c r="A29" s="18" t="s">
        <v>80</v>
      </c>
      <c r="B29" s="18"/>
      <c r="C29" s="86"/>
      <c r="D29" s="91"/>
      <c r="E29" s="201">
        <f>AVERAGE(E10:E27)</f>
        <v>0.48466666666666669</v>
      </c>
      <c r="F29" s="198"/>
      <c r="G29" s="201">
        <f>AVERAGE(G10:G27)</f>
        <v>64.844533711111112</v>
      </c>
      <c r="H29" s="198"/>
      <c r="I29" s="202">
        <f>AVERAGE(I10:I27)</f>
        <v>7.5808145361337164E-3</v>
      </c>
    </row>
    <row r="30" spans="1:9" x14ac:dyDescent="0.25">
      <c r="A30" s="133"/>
      <c r="B30" s="133"/>
      <c r="C30" s="93"/>
      <c r="D30" s="93"/>
      <c r="E30" s="151"/>
      <c r="F30" s="151"/>
      <c r="G30" s="152"/>
      <c r="H30" s="152"/>
      <c r="I30" s="153"/>
    </row>
    <row r="31" spans="1:9" x14ac:dyDescent="0.25">
      <c r="A31" s="18"/>
      <c r="B31" s="18"/>
      <c r="C31" s="86"/>
      <c r="D31" s="91"/>
      <c r="E31" s="8"/>
      <c r="F31" s="8"/>
      <c r="G31" s="9"/>
      <c r="H31" s="9"/>
      <c r="I31" s="82"/>
    </row>
    <row r="33" spans="1:9" s="150" customFormat="1" ht="14.45" customHeight="1" x14ac:dyDescent="0.2">
      <c r="A33" s="398" t="s">
        <v>348</v>
      </c>
      <c r="B33" s="398"/>
      <c r="C33" s="398"/>
      <c r="D33" s="398"/>
      <c r="E33" s="398"/>
      <c r="F33" s="398"/>
      <c r="G33" s="398"/>
      <c r="H33" s="398"/>
      <c r="I33" s="398"/>
    </row>
    <row r="34" spans="1:9" s="150" customFormat="1" ht="14.45" customHeight="1" x14ac:dyDescent="0.2">
      <c r="A34" s="399" t="s">
        <v>317</v>
      </c>
      <c r="B34" s="399"/>
      <c r="C34" s="399"/>
      <c r="D34" s="399"/>
      <c r="E34" s="399"/>
      <c r="F34" s="399"/>
      <c r="G34" s="399"/>
      <c r="H34" s="399"/>
      <c r="I34" s="399"/>
    </row>
    <row r="35" spans="1:9" s="150" customFormat="1" ht="14.45" customHeight="1" x14ac:dyDescent="0.2">
      <c r="A35" s="399" t="s">
        <v>141</v>
      </c>
      <c r="B35" s="399"/>
      <c r="C35" s="399"/>
      <c r="D35" s="399"/>
      <c r="E35" s="399"/>
      <c r="F35" s="399"/>
      <c r="G35" s="399"/>
      <c r="H35" s="399"/>
      <c r="I35" s="399"/>
    </row>
    <row r="36" spans="1:9" x14ac:dyDescent="0.25">
      <c r="A36" s="396"/>
      <c r="B36" s="396"/>
      <c r="C36" s="396"/>
      <c r="D36" s="396"/>
      <c r="E36" s="396"/>
      <c r="F36" s="396"/>
      <c r="G36" s="396"/>
      <c r="H36" s="396"/>
      <c r="I36" s="396"/>
    </row>
  </sheetData>
  <sortState ref="A8:O29">
    <sortCondition ref="A8"/>
  </sortState>
  <mergeCells count="5">
    <mergeCell ref="A36:I36"/>
    <mergeCell ref="A3:I3"/>
    <mergeCell ref="A33:I33"/>
    <mergeCell ref="A34:I34"/>
    <mergeCell ref="A35:I35"/>
  </mergeCells>
  <printOptions horizontalCentered="1"/>
  <pageMargins left="0.7" right="0.7" top="0.75" bottom="0.75" header="0.3" footer="0.3"/>
  <pageSetup orientation="portrait" r:id="rId1"/>
  <headerFooter scaleWithDoc="0">
    <oddHeader>&amp;R&amp;"-,Bold"&amp;10Dockets UE-170485 and UG-170486
Exhibit DJG-4
Dividend Yields
Page 4 of 17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H20"/>
  <sheetViews>
    <sheetView view="pageLayout" zoomScaleNormal="100" workbookViewId="0">
      <selection activeCell="H5" sqref="H5"/>
    </sheetView>
  </sheetViews>
  <sheetFormatPr defaultRowHeight="15" x14ac:dyDescent="0.25"/>
  <cols>
    <col min="1" max="1" width="26.42578125" customWidth="1"/>
    <col min="2" max="2" width="2.7109375" style="188" customWidth="1"/>
    <col min="3" max="3" width="12.7109375" style="188" customWidth="1"/>
    <col min="4" max="4" width="4.7109375" customWidth="1"/>
  </cols>
  <sheetData>
    <row r="1" spans="1:8" s="373" customFormat="1" x14ac:dyDescent="0.25">
      <c r="H1" s="374" t="s">
        <v>364</v>
      </c>
    </row>
    <row r="2" spans="1:8" s="373" customFormat="1" x14ac:dyDescent="0.25">
      <c r="H2" s="374" t="s">
        <v>365</v>
      </c>
    </row>
    <row r="3" spans="1:8" s="373" customFormat="1" x14ac:dyDescent="0.25">
      <c r="H3" s="374" t="s">
        <v>366</v>
      </c>
    </row>
    <row r="4" spans="1:8" s="373" customFormat="1" x14ac:dyDescent="0.25">
      <c r="H4" s="374" t="s">
        <v>367</v>
      </c>
    </row>
    <row r="5" spans="1:8" x14ac:dyDescent="0.25">
      <c r="A5" s="22"/>
      <c r="B5" s="22"/>
      <c r="C5" s="22"/>
    </row>
    <row r="6" spans="1:8" s="188" customFormat="1" x14ac:dyDescent="0.25"/>
    <row r="7" spans="1:8" s="188" customFormat="1" x14ac:dyDescent="0.25">
      <c r="A7" s="235" t="s">
        <v>320</v>
      </c>
      <c r="B7" s="184"/>
      <c r="C7" s="235" t="s">
        <v>27</v>
      </c>
    </row>
    <row r="8" spans="1:8" s="188" customFormat="1" x14ac:dyDescent="0.25"/>
    <row r="9" spans="1:8" x14ac:dyDescent="0.25">
      <c r="A9" t="s">
        <v>129</v>
      </c>
      <c r="B9" s="184"/>
      <c r="C9" s="185">
        <v>4.1000000000000002E-2</v>
      </c>
      <c r="D9" s="184" t="s">
        <v>3</v>
      </c>
    </row>
    <row r="10" spans="1:8" s="188" customFormat="1" x14ac:dyDescent="0.25">
      <c r="B10" s="184"/>
      <c r="C10" s="185"/>
      <c r="D10" s="184"/>
    </row>
    <row r="11" spans="1:8" s="188" customFormat="1" x14ac:dyDescent="0.25">
      <c r="A11" s="188" t="s">
        <v>132</v>
      </c>
      <c r="B11" s="184"/>
      <c r="C11" s="185">
        <v>0.02</v>
      </c>
      <c r="D11" s="184" t="s">
        <v>4</v>
      </c>
    </row>
    <row r="12" spans="1:8" s="188" customFormat="1" x14ac:dyDescent="0.25">
      <c r="B12" s="184"/>
      <c r="C12" s="185"/>
      <c r="D12" s="184"/>
    </row>
    <row r="13" spans="1:8" s="242" customFormat="1" x14ac:dyDescent="0.25">
      <c r="A13" s="22" t="s">
        <v>88</v>
      </c>
      <c r="B13" s="94"/>
      <c r="C13" s="168">
        <f>'8 Risk Free Rate'!E34</f>
        <v>2.7999999999999997E-2</v>
      </c>
      <c r="D13" s="241" t="s">
        <v>5</v>
      </c>
    </row>
    <row r="15" spans="1:8" x14ac:dyDescent="0.25">
      <c r="A15" s="18" t="s">
        <v>80</v>
      </c>
      <c r="C15" s="204">
        <f>AVERAGE(C9:C13)</f>
        <v>2.9666666666666664E-2</v>
      </c>
    </row>
    <row r="16" spans="1:8" x14ac:dyDescent="0.25">
      <c r="A16" s="22"/>
      <c r="B16" s="22"/>
      <c r="C16" s="22"/>
    </row>
    <row r="18" spans="1:7" x14ac:dyDescent="0.25">
      <c r="A18" s="399" t="s">
        <v>318</v>
      </c>
      <c r="B18" s="399"/>
      <c r="C18" s="399"/>
      <c r="D18" s="399"/>
    </row>
    <row r="19" spans="1:7" x14ac:dyDescent="0.25">
      <c r="A19" s="399" t="s">
        <v>319</v>
      </c>
      <c r="B19" s="399"/>
      <c r="C19" s="399"/>
      <c r="D19" s="399"/>
      <c r="E19" s="186"/>
      <c r="F19" s="186"/>
      <c r="G19" s="186"/>
    </row>
    <row r="20" spans="1:7" x14ac:dyDescent="0.25">
      <c r="D20" s="186"/>
      <c r="E20" s="186"/>
      <c r="F20" s="186"/>
      <c r="G20" s="186"/>
    </row>
  </sheetData>
  <mergeCells count="2">
    <mergeCell ref="A18:D18"/>
    <mergeCell ref="A19:D19"/>
  </mergeCells>
  <printOptions horizontalCentered="1"/>
  <pageMargins left="0.7" right="0.7" top="0.75" bottom="0.75" header="0.3" footer="0.3"/>
  <pageSetup orientation="portrait" horizontalDpi="1200" verticalDpi="1200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18"/>
  <sheetViews>
    <sheetView view="pageLayout" zoomScaleNormal="100" workbookViewId="0">
      <selection activeCell="K4" sqref="K4"/>
    </sheetView>
  </sheetViews>
  <sheetFormatPr defaultRowHeight="15" x14ac:dyDescent="0.25"/>
  <cols>
    <col min="1" max="1" width="11.7109375" customWidth="1"/>
    <col min="2" max="2" width="2.7109375" customWidth="1"/>
    <col min="3" max="3" width="11.7109375" customWidth="1"/>
    <col min="4" max="4" width="2.7109375" customWidth="1"/>
    <col min="5" max="5" width="13" customWidth="1"/>
    <col min="6" max="7" width="2.7109375" customWidth="1"/>
    <col min="8" max="8" width="11.7109375" customWidth="1"/>
  </cols>
  <sheetData>
    <row r="1" spans="1:11" s="373" customFormat="1" x14ac:dyDescent="0.25">
      <c r="K1" s="374" t="s">
        <v>364</v>
      </c>
    </row>
    <row r="2" spans="1:11" s="373" customFormat="1" x14ac:dyDescent="0.25">
      <c r="K2" s="374" t="s">
        <v>365</v>
      </c>
    </row>
    <row r="3" spans="1:11" s="373" customFormat="1" x14ac:dyDescent="0.25">
      <c r="K3" s="374" t="s">
        <v>369</v>
      </c>
    </row>
    <row r="4" spans="1:11" s="373" customFormat="1" x14ac:dyDescent="0.25">
      <c r="K4" s="374" t="s">
        <v>368</v>
      </c>
    </row>
    <row r="5" spans="1:11" s="188" customFormat="1" x14ac:dyDescent="0.25">
      <c r="A5" s="22"/>
      <c r="B5" s="22"/>
      <c r="C5" s="22"/>
      <c r="D5" s="22"/>
      <c r="E5" s="22"/>
      <c r="F5" s="22"/>
      <c r="G5" s="22"/>
      <c r="H5" s="22"/>
    </row>
    <row r="7" spans="1:11" s="280" customFormat="1" x14ac:dyDescent="0.25">
      <c r="A7" s="279" t="s">
        <v>3</v>
      </c>
      <c r="C7" s="279" t="s">
        <v>4</v>
      </c>
      <c r="D7" s="279"/>
      <c r="E7" s="279" t="s">
        <v>5</v>
      </c>
      <c r="F7" s="279"/>
      <c r="G7" s="279"/>
      <c r="H7" s="279" t="s">
        <v>6</v>
      </c>
    </row>
    <row r="8" spans="1:11" s="280" customFormat="1" x14ac:dyDescent="0.25"/>
    <row r="9" spans="1:11" x14ac:dyDescent="0.25">
      <c r="A9" s="184" t="s">
        <v>70</v>
      </c>
      <c r="B9" s="184"/>
      <c r="C9" s="184" t="s">
        <v>71</v>
      </c>
      <c r="D9" s="184"/>
      <c r="E9" s="184" t="s">
        <v>39</v>
      </c>
      <c r="F9" s="95"/>
      <c r="G9" s="184"/>
      <c r="H9" s="18" t="s">
        <v>114</v>
      </c>
    </row>
    <row r="10" spans="1:11" ht="18" x14ac:dyDescent="0.35">
      <c r="A10" s="5" t="s">
        <v>72</v>
      </c>
      <c r="B10" s="6"/>
      <c r="C10" s="5" t="s">
        <v>73</v>
      </c>
      <c r="D10" s="6"/>
      <c r="E10" s="5" t="s">
        <v>74</v>
      </c>
      <c r="F10" s="49"/>
      <c r="G10" s="6"/>
      <c r="H10" s="203" t="s">
        <v>109</v>
      </c>
    </row>
    <row r="11" spans="1:11" x14ac:dyDescent="0.25">
      <c r="A11" s="6"/>
      <c r="B11" s="6"/>
      <c r="C11" s="6"/>
      <c r="D11" s="6"/>
      <c r="E11" s="6"/>
      <c r="F11" s="49"/>
      <c r="G11" s="6"/>
      <c r="H11" s="6"/>
    </row>
    <row r="12" spans="1:11" x14ac:dyDescent="0.25">
      <c r="A12" s="205">
        <f>'5 Div Yields'!E29</f>
        <v>0.48466666666666669</v>
      </c>
      <c r="B12" s="206"/>
      <c r="C12" s="205">
        <f>'5 Div Yields'!G29</f>
        <v>64.844533711111112</v>
      </c>
      <c r="D12" s="207"/>
      <c r="E12" s="208">
        <f>'6 Growth Determinants'!C9</f>
        <v>4.1000000000000002E-2</v>
      </c>
      <c r="F12" s="199"/>
      <c r="G12" s="84"/>
      <c r="H12" s="218">
        <f t="shared" ref="H12" si="0">(A12*(1+E12)^0.25/C12+(1+E12)^0.25)^4-1</f>
        <v>7.247360632087152E-2</v>
      </c>
    </row>
    <row r="13" spans="1:11" x14ac:dyDescent="0.25">
      <c r="A13" s="22"/>
      <c r="B13" s="22"/>
      <c r="C13" s="22"/>
      <c r="D13" s="22"/>
      <c r="E13" s="22"/>
      <c r="F13" s="22"/>
      <c r="G13" s="22"/>
      <c r="H13" s="22"/>
    </row>
    <row r="15" spans="1:11" x14ac:dyDescent="0.25">
      <c r="A15" s="399" t="s">
        <v>321</v>
      </c>
      <c r="B15" s="399"/>
      <c r="C15" s="399"/>
      <c r="D15" s="399"/>
      <c r="E15" s="399"/>
      <c r="F15" s="399"/>
      <c r="G15" s="399"/>
      <c r="H15" s="399"/>
    </row>
    <row r="16" spans="1:11" x14ac:dyDescent="0.25">
      <c r="A16" s="399" t="s">
        <v>322</v>
      </c>
      <c r="B16" s="399"/>
      <c r="C16" s="399"/>
      <c r="D16" s="399"/>
      <c r="E16" s="399"/>
      <c r="F16" s="399"/>
      <c r="G16" s="399"/>
      <c r="H16" s="399"/>
    </row>
    <row r="17" spans="1:12" x14ac:dyDescent="0.25">
      <c r="A17" s="399" t="s">
        <v>323</v>
      </c>
      <c r="B17" s="399"/>
      <c r="C17" s="399"/>
      <c r="D17" s="399"/>
      <c r="E17" s="399"/>
      <c r="F17" s="399"/>
      <c r="G17" s="399"/>
      <c r="H17" s="399"/>
    </row>
    <row r="18" spans="1:12" x14ac:dyDescent="0.25">
      <c r="A18" s="399" t="s">
        <v>324</v>
      </c>
      <c r="B18" s="399"/>
      <c r="C18" s="399"/>
      <c r="D18" s="399"/>
      <c r="E18" s="399"/>
      <c r="F18" s="399"/>
      <c r="G18" s="399"/>
      <c r="H18" s="399"/>
      <c r="I18" s="281"/>
      <c r="J18" s="281"/>
      <c r="K18" s="281"/>
      <c r="L18" s="281"/>
    </row>
  </sheetData>
  <mergeCells count="4">
    <mergeCell ref="A15:H15"/>
    <mergeCell ref="A16:H16"/>
    <mergeCell ref="A17:H17"/>
    <mergeCell ref="A18:H18"/>
  </mergeCells>
  <printOptions horizontalCentered="1"/>
  <pageMargins left="0.7" right="0.7" top="0.75" bottom="0.75" header="0.3" footer="0.3"/>
  <pageSetup orientation="portrait" horizontalDpi="1200" verticalDpi="1200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H41"/>
  <sheetViews>
    <sheetView view="pageLayout" zoomScaleNormal="100" workbookViewId="0">
      <selection activeCell="G10" sqref="G10"/>
    </sheetView>
  </sheetViews>
  <sheetFormatPr defaultRowHeight="15" x14ac:dyDescent="0.25"/>
  <cols>
    <col min="1" max="2" width="8.85546875" style="51"/>
    <col min="3" max="3" width="12.42578125" customWidth="1"/>
    <col min="4" max="4" width="2.7109375" style="97" customWidth="1"/>
    <col min="5" max="5" width="11.42578125" customWidth="1"/>
    <col min="7" max="7" width="10.7109375" bestFit="1" customWidth="1"/>
  </cols>
  <sheetData>
    <row r="1" spans="1:8" s="373" customFormat="1" x14ac:dyDescent="0.25"/>
    <row r="2" spans="1:8" s="51" customFormat="1" x14ac:dyDescent="0.25">
      <c r="A2" s="22"/>
      <c r="B2" s="22"/>
      <c r="C2" s="22"/>
      <c r="D2" s="22"/>
      <c r="E2" s="22"/>
      <c r="F2" s="22"/>
      <c r="G2" s="22"/>
    </row>
    <row r="4" spans="1:8" x14ac:dyDescent="0.25">
      <c r="C4" s="40" t="s">
        <v>10</v>
      </c>
      <c r="D4" s="94"/>
      <c r="E4" s="40" t="s">
        <v>27</v>
      </c>
    </row>
    <row r="5" spans="1:8" x14ac:dyDescent="0.25">
      <c r="C5" s="179">
        <v>42983</v>
      </c>
      <c r="D5" s="89"/>
      <c r="E5" s="236">
        <v>2.69E-2</v>
      </c>
      <c r="G5" s="12"/>
      <c r="H5" s="89"/>
    </row>
    <row r="6" spans="1:8" x14ac:dyDescent="0.25">
      <c r="C6" s="89">
        <v>42984</v>
      </c>
      <c r="D6" s="89"/>
      <c r="E6" s="236">
        <v>2.7200000000000002E-2</v>
      </c>
      <c r="G6" s="12"/>
      <c r="H6" s="89"/>
    </row>
    <row r="7" spans="1:8" x14ac:dyDescent="0.25">
      <c r="C7" s="89">
        <v>42985</v>
      </c>
      <c r="D7" s="89"/>
      <c r="E7" s="236">
        <v>2.6600000000000002E-2</v>
      </c>
      <c r="G7" s="12"/>
      <c r="H7" s="89"/>
    </row>
    <row r="8" spans="1:8" x14ac:dyDescent="0.25">
      <c r="C8" s="89">
        <v>42986</v>
      </c>
      <c r="D8" s="89"/>
      <c r="E8" s="236">
        <v>2.6699999999999998E-2</v>
      </c>
      <c r="G8" s="12"/>
      <c r="H8" s="89"/>
    </row>
    <row r="9" spans="1:8" x14ac:dyDescent="0.25">
      <c r="C9" s="89">
        <v>42989</v>
      </c>
      <c r="D9" s="89"/>
      <c r="E9" s="236">
        <v>2.75E-2</v>
      </c>
      <c r="G9" s="12"/>
      <c r="H9" s="89"/>
    </row>
    <row r="10" spans="1:8" x14ac:dyDescent="0.25">
      <c r="C10" s="89">
        <v>42990</v>
      </c>
      <c r="D10" s="89"/>
      <c r="E10" s="236">
        <v>2.7799999999999998E-2</v>
      </c>
      <c r="G10" s="12"/>
      <c r="H10" s="89"/>
    </row>
    <row r="11" spans="1:8" x14ac:dyDescent="0.25">
      <c r="C11" s="89">
        <v>42991</v>
      </c>
      <c r="D11" s="89"/>
      <c r="E11" s="236">
        <v>2.7900000000000001E-2</v>
      </c>
      <c r="G11" s="12"/>
      <c r="H11" s="89"/>
    </row>
    <row r="12" spans="1:8" x14ac:dyDescent="0.25">
      <c r="C12" s="89">
        <v>42992</v>
      </c>
      <c r="D12" s="89"/>
      <c r="E12" s="236">
        <v>2.7699999999999999E-2</v>
      </c>
      <c r="G12" s="12"/>
      <c r="H12" s="89"/>
    </row>
    <row r="13" spans="1:8" x14ac:dyDescent="0.25">
      <c r="C13" s="89">
        <v>42993</v>
      </c>
      <c r="D13" s="89"/>
      <c r="E13" s="236">
        <v>2.7699999999999999E-2</v>
      </c>
      <c r="G13" s="12"/>
      <c r="H13" s="89"/>
    </row>
    <row r="14" spans="1:8" x14ac:dyDescent="0.25">
      <c r="C14" s="89">
        <v>42996</v>
      </c>
      <c r="D14" s="89"/>
      <c r="E14" s="236">
        <v>2.7999999999999997E-2</v>
      </c>
      <c r="G14" s="12"/>
      <c r="H14" s="89"/>
    </row>
    <row r="15" spans="1:8" x14ac:dyDescent="0.25">
      <c r="C15" s="89">
        <v>42997</v>
      </c>
      <c r="D15" s="89"/>
      <c r="E15" s="236">
        <v>2.81E-2</v>
      </c>
      <c r="G15" s="12"/>
      <c r="H15" s="89"/>
    </row>
    <row r="16" spans="1:8" x14ac:dyDescent="0.25">
      <c r="C16" s="89">
        <v>42998</v>
      </c>
      <c r="D16" s="89"/>
      <c r="E16" s="236">
        <v>2.8199999999999999E-2</v>
      </c>
      <c r="G16" s="12"/>
      <c r="H16" s="89"/>
    </row>
    <row r="17" spans="3:8" x14ac:dyDescent="0.25">
      <c r="C17" s="89">
        <v>42999</v>
      </c>
      <c r="D17" s="89"/>
      <c r="E17" s="236">
        <v>2.7999999999999997E-2</v>
      </c>
      <c r="G17" s="12"/>
      <c r="H17" s="89"/>
    </row>
    <row r="18" spans="3:8" s="178" customFormat="1" x14ac:dyDescent="0.25">
      <c r="C18" s="89">
        <v>43000</v>
      </c>
      <c r="D18" s="89"/>
      <c r="E18" s="236">
        <v>2.7999999999999997E-2</v>
      </c>
      <c r="G18" s="12"/>
      <c r="H18" s="89"/>
    </row>
    <row r="19" spans="3:8" s="178" customFormat="1" x14ac:dyDescent="0.25">
      <c r="C19" s="89">
        <v>43003</v>
      </c>
      <c r="D19" s="89"/>
      <c r="E19" s="236">
        <v>2.76E-2</v>
      </c>
      <c r="G19" s="12"/>
      <c r="H19" s="89"/>
    </row>
    <row r="20" spans="3:8" s="178" customFormat="1" x14ac:dyDescent="0.25">
      <c r="C20" s="89">
        <v>43004</v>
      </c>
      <c r="D20" s="89"/>
      <c r="E20" s="236">
        <v>2.7799999999999998E-2</v>
      </c>
      <c r="G20" s="12"/>
      <c r="H20" s="89"/>
    </row>
    <row r="21" spans="3:8" s="178" customFormat="1" x14ac:dyDescent="0.25">
      <c r="C21" s="89">
        <v>43005</v>
      </c>
      <c r="D21" s="89"/>
      <c r="E21" s="236">
        <v>2.86E-2</v>
      </c>
      <c r="G21" s="12"/>
      <c r="H21" s="89"/>
    </row>
    <row r="22" spans="3:8" s="178" customFormat="1" x14ac:dyDescent="0.25">
      <c r="C22" s="89">
        <v>43006</v>
      </c>
      <c r="D22" s="89"/>
      <c r="E22" s="236">
        <v>2.87E-2</v>
      </c>
      <c r="G22" s="12"/>
      <c r="H22" s="89"/>
    </row>
    <row r="23" spans="3:8" s="178" customFormat="1" x14ac:dyDescent="0.25">
      <c r="C23" s="89">
        <v>43007</v>
      </c>
      <c r="D23" s="89"/>
      <c r="E23" s="236">
        <v>2.86E-2</v>
      </c>
      <c r="G23" s="12"/>
      <c r="H23" s="89"/>
    </row>
    <row r="24" spans="3:8" s="178" customFormat="1" x14ac:dyDescent="0.25">
      <c r="C24" s="89">
        <v>43010</v>
      </c>
      <c r="D24" s="89"/>
      <c r="E24" s="236">
        <v>2.87E-2</v>
      </c>
      <c r="G24" s="12"/>
      <c r="H24" s="89"/>
    </row>
    <row r="25" spans="3:8" s="178" customFormat="1" x14ac:dyDescent="0.25">
      <c r="C25" s="89">
        <v>43011</v>
      </c>
      <c r="D25" s="89"/>
      <c r="E25" s="236">
        <v>2.87E-2</v>
      </c>
      <c r="G25" s="12"/>
      <c r="H25" s="89"/>
    </row>
    <row r="26" spans="3:8" s="178" customFormat="1" x14ac:dyDescent="0.25">
      <c r="C26" s="89">
        <v>43012</v>
      </c>
      <c r="D26" s="89"/>
      <c r="E26" s="236">
        <v>2.87E-2</v>
      </c>
      <c r="G26" s="12"/>
      <c r="H26" s="89"/>
    </row>
    <row r="27" spans="3:8" s="178" customFormat="1" x14ac:dyDescent="0.25">
      <c r="C27" s="89">
        <v>43013</v>
      </c>
      <c r="D27" s="89"/>
      <c r="E27" s="236">
        <v>2.8900000000000002E-2</v>
      </c>
      <c r="G27" s="12"/>
      <c r="H27" s="89"/>
    </row>
    <row r="28" spans="3:8" s="178" customFormat="1" x14ac:dyDescent="0.25">
      <c r="C28" s="89">
        <v>43014</v>
      </c>
      <c r="D28" s="89"/>
      <c r="E28" s="236">
        <v>2.9100000000000001E-2</v>
      </c>
      <c r="G28" s="12"/>
      <c r="H28" s="89"/>
    </row>
    <row r="29" spans="3:8" s="178" customFormat="1" x14ac:dyDescent="0.25">
      <c r="C29" s="89">
        <v>43018</v>
      </c>
      <c r="D29" s="89"/>
      <c r="E29" s="236">
        <v>2.8799999999999999E-2</v>
      </c>
      <c r="G29" s="12"/>
      <c r="H29" s="89"/>
    </row>
    <row r="30" spans="3:8" s="178" customFormat="1" x14ac:dyDescent="0.25">
      <c r="C30" s="89">
        <v>43019</v>
      </c>
      <c r="D30" s="89"/>
      <c r="E30" s="236">
        <v>2.8799999999999999E-2</v>
      </c>
      <c r="G30" s="12"/>
      <c r="H30" s="89"/>
    </row>
    <row r="31" spans="3:8" s="178" customFormat="1" x14ac:dyDescent="0.25">
      <c r="C31" s="89">
        <v>43020</v>
      </c>
      <c r="D31" s="89"/>
      <c r="E31" s="236">
        <v>2.86E-2</v>
      </c>
      <c r="G31" s="12"/>
      <c r="H31" s="89"/>
    </row>
    <row r="32" spans="3:8" s="178" customFormat="1" x14ac:dyDescent="0.25">
      <c r="C32" s="89">
        <v>43021</v>
      </c>
      <c r="D32" s="89"/>
      <c r="E32" s="236">
        <v>2.81E-2</v>
      </c>
      <c r="G32" s="12"/>
      <c r="H32" s="89"/>
    </row>
    <row r="33" spans="1:8" s="178" customFormat="1" x14ac:dyDescent="0.25">
      <c r="C33" s="89">
        <v>43024</v>
      </c>
      <c r="D33" s="89"/>
      <c r="E33" s="236">
        <v>2.8199999999999999E-2</v>
      </c>
      <c r="G33" s="12"/>
      <c r="H33" s="89"/>
    </row>
    <row r="34" spans="1:8" s="178" customFormat="1" x14ac:dyDescent="0.25">
      <c r="C34" s="107">
        <v>43025</v>
      </c>
      <c r="D34" s="179"/>
      <c r="E34" s="41">
        <v>2.7999999999999997E-2</v>
      </c>
      <c r="G34" s="12"/>
      <c r="H34" s="89"/>
    </row>
    <row r="35" spans="1:8" x14ac:dyDescent="0.25">
      <c r="E35" s="38"/>
    </row>
    <row r="36" spans="1:8" x14ac:dyDescent="0.25">
      <c r="C36" s="18" t="s">
        <v>80</v>
      </c>
      <c r="D36" s="18"/>
      <c r="E36" s="63">
        <f>AVERAGE(E5:E34)</f>
        <v>2.8073333333333336E-2</v>
      </c>
    </row>
    <row r="37" spans="1:8" s="39" customFormat="1" x14ac:dyDescent="0.25">
      <c r="A37" s="22"/>
      <c r="B37" s="22"/>
      <c r="C37" s="133"/>
      <c r="D37" s="133"/>
      <c r="E37" s="154"/>
      <c r="F37" s="22"/>
      <c r="G37" s="22"/>
    </row>
    <row r="40" spans="1:8" s="150" customFormat="1" ht="28.15" customHeight="1" x14ac:dyDescent="0.2">
      <c r="A40" s="400" t="s">
        <v>145</v>
      </c>
      <c r="B40" s="400"/>
      <c r="C40" s="400"/>
      <c r="D40" s="400"/>
      <c r="E40" s="400"/>
      <c r="F40" s="400"/>
      <c r="G40" s="400"/>
    </row>
    <row r="41" spans="1:8" x14ac:dyDescent="0.25">
      <c r="A41" s="400"/>
      <c r="B41" s="400"/>
      <c r="C41" s="400"/>
      <c r="D41" s="400"/>
      <c r="E41" s="400"/>
      <c r="F41" s="400"/>
      <c r="G41" s="400"/>
    </row>
  </sheetData>
  <sortState ref="H4:H33">
    <sortCondition ref="H4"/>
  </sortState>
  <mergeCells count="1">
    <mergeCell ref="A40:G41"/>
  </mergeCells>
  <printOptions horizontalCentered="1"/>
  <pageMargins left="0.7" right="0.7" top="0.75" bottom="0.75" header="0.3" footer="0.3"/>
  <pageSetup orientation="portrait" horizontalDpi="1200" verticalDpi="1200" r:id="rId1"/>
  <headerFooter scaleWithDoc="0">
    <oddHeader>&amp;R&amp;"-,Bold"&amp;10Dockets UE-170485 and UG-170486
Exhibit DJG-4
Risk-Free Rate
Page 7 of 17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I32"/>
  <sheetViews>
    <sheetView view="pageLayout" zoomScaleNormal="100" workbookViewId="0">
      <selection activeCell="I12" sqref="I12"/>
    </sheetView>
  </sheetViews>
  <sheetFormatPr defaultRowHeight="15" x14ac:dyDescent="0.25"/>
  <cols>
    <col min="1" max="1" width="29.7109375" customWidth="1"/>
    <col min="2" max="2" width="2.7109375" style="106" customWidth="1"/>
    <col min="3" max="3" width="6.7109375" customWidth="1"/>
    <col min="4" max="4" width="2.7109375" style="106" customWidth="1"/>
    <col min="5" max="5" width="13.7109375" customWidth="1"/>
    <col min="6" max="6" width="2.7109375" style="106" customWidth="1"/>
  </cols>
  <sheetData>
    <row r="1" spans="1:9" s="373" customFormat="1" x14ac:dyDescent="0.25">
      <c r="I1" s="374" t="s">
        <v>364</v>
      </c>
    </row>
    <row r="2" spans="1:9" s="373" customFormat="1" x14ac:dyDescent="0.25">
      <c r="I2" s="374" t="s">
        <v>365</v>
      </c>
    </row>
    <row r="3" spans="1:9" s="373" customFormat="1" x14ac:dyDescent="0.25">
      <c r="I3" s="374" t="s">
        <v>370</v>
      </c>
    </row>
    <row r="4" spans="1:9" s="373" customFormat="1" x14ac:dyDescent="0.25">
      <c r="I4" s="374" t="s">
        <v>371</v>
      </c>
    </row>
    <row r="5" spans="1:9" x14ac:dyDescent="0.25">
      <c r="A5" s="22"/>
      <c r="B5" s="22"/>
      <c r="C5" s="22"/>
      <c r="D5" s="22"/>
      <c r="E5" s="22"/>
      <c r="F5" s="22"/>
    </row>
    <row r="6" spans="1:9" ht="19.899999999999999" customHeight="1" x14ac:dyDescent="0.25"/>
    <row r="7" spans="1:9" ht="19.899999999999999" customHeight="1" x14ac:dyDescent="0.25">
      <c r="A7" s="2" t="s">
        <v>0</v>
      </c>
      <c r="B7" s="94"/>
      <c r="C7" s="2" t="s">
        <v>1</v>
      </c>
      <c r="D7" s="94"/>
      <c r="E7" s="5" t="s">
        <v>62</v>
      </c>
      <c r="F7" s="6"/>
    </row>
    <row r="8" spans="1:9" ht="19.899999999999999" customHeight="1" x14ac:dyDescent="0.25">
      <c r="A8" s="3"/>
      <c r="B8" s="94"/>
      <c r="C8" s="3"/>
      <c r="D8" s="94"/>
      <c r="E8" s="6"/>
      <c r="F8" s="6"/>
    </row>
    <row r="9" spans="1:9" ht="19.899999999999999" customHeight="1" x14ac:dyDescent="0.25">
      <c r="A9" t="str">
        <f>'3 Proxy Sum'!A6</f>
        <v>ALLETE</v>
      </c>
      <c r="C9" s="90" t="str">
        <f>'3 Proxy Sum'!C6</f>
        <v>ALE</v>
      </c>
      <c r="D9" s="104"/>
      <c r="E9" s="192">
        <v>0.75</v>
      </c>
      <c r="F9" s="54"/>
    </row>
    <row r="10" spans="1:9" ht="19.899999999999999" customHeight="1" x14ac:dyDescent="0.25">
      <c r="A10" s="282" t="str">
        <f>'3 Proxy Sum'!A7</f>
        <v>Ameren Corp.</v>
      </c>
      <c r="C10" s="90" t="str">
        <f>'3 Proxy Sum'!C7</f>
        <v>AEE</v>
      </c>
      <c r="D10" s="104"/>
      <c r="E10" s="193">
        <v>0.65</v>
      </c>
      <c r="F10" s="55"/>
    </row>
    <row r="11" spans="1:9" ht="19.899999999999999" customHeight="1" x14ac:dyDescent="0.25">
      <c r="A11" s="282" t="str">
        <f>'3 Proxy Sum'!A8</f>
        <v>Avangrid, Inc.</v>
      </c>
      <c r="C11" s="90" t="str">
        <f>'3 Proxy Sum'!C8</f>
        <v>AGR</v>
      </c>
      <c r="D11" s="104"/>
      <c r="E11" s="192" t="s">
        <v>347</v>
      </c>
      <c r="F11" s="54"/>
    </row>
    <row r="12" spans="1:9" ht="19.899999999999999" customHeight="1" x14ac:dyDescent="0.25">
      <c r="A12" s="282" t="str">
        <f>'3 Proxy Sum'!A9</f>
        <v>Avista Corp.</v>
      </c>
      <c r="C12" s="90" t="str">
        <f>'3 Proxy Sum'!C9</f>
        <v>AVA</v>
      </c>
      <c r="D12" s="104"/>
      <c r="E12" s="193">
        <v>0.7</v>
      </c>
      <c r="F12" s="55"/>
    </row>
    <row r="13" spans="1:9" ht="19.899999999999999" customHeight="1" x14ac:dyDescent="0.25">
      <c r="A13" s="282" t="str">
        <f>'3 Proxy Sum'!A10</f>
        <v>Black Hills</v>
      </c>
      <c r="C13" s="90" t="str">
        <f>'3 Proxy Sum'!C10</f>
        <v>BKH</v>
      </c>
      <c r="D13" s="104"/>
      <c r="E13" s="192">
        <v>0.85</v>
      </c>
      <c r="F13" s="54"/>
    </row>
    <row r="14" spans="1:9" ht="19.899999999999999" customHeight="1" x14ac:dyDescent="0.25">
      <c r="A14" s="282" t="str">
        <f>'3 Proxy Sum'!A11</f>
        <v>CMS Energy Corp.</v>
      </c>
      <c r="C14" s="90" t="str">
        <f>'3 Proxy Sum'!C11</f>
        <v>CMS</v>
      </c>
      <c r="D14" s="104"/>
      <c r="E14" s="193">
        <v>0.65</v>
      </c>
      <c r="F14" s="55"/>
    </row>
    <row r="15" spans="1:9" ht="19.899999999999999" customHeight="1" x14ac:dyDescent="0.25">
      <c r="A15" s="282" t="str">
        <f>'3 Proxy Sum'!A12</f>
        <v>Dominion Energy</v>
      </c>
      <c r="C15" s="90" t="str">
        <f>'3 Proxy Sum'!C12</f>
        <v>D</v>
      </c>
      <c r="D15" s="104"/>
      <c r="E15" s="192">
        <v>0.65</v>
      </c>
      <c r="F15" s="54"/>
    </row>
    <row r="16" spans="1:9" ht="19.899999999999999" customHeight="1" x14ac:dyDescent="0.25">
      <c r="A16" s="282" t="str">
        <f>'3 Proxy Sum'!A13</f>
        <v>DTE Energy Co.</v>
      </c>
      <c r="C16" s="90" t="str">
        <f>'3 Proxy Sum'!C13</f>
        <v>DTE</v>
      </c>
      <c r="D16" s="104"/>
      <c r="E16" s="193">
        <v>0.65</v>
      </c>
      <c r="F16" s="55"/>
    </row>
    <row r="17" spans="1:6" s="106" customFormat="1" ht="19.899999999999999" customHeight="1" x14ac:dyDescent="0.25">
      <c r="A17" s="282" t="str">
        <f>'3 Proxy Sum'!A14</f>
        <v>Edison International</v>
      </c>
      <c r="C17" s="90" t="str">
        <f>'3 Proxy Sum'!C14</f>
        <v>EIX</v>
      </c>
      <c r="D17" s="104"/>
      <c r="E17" s="193">
        <v>0.6</v>
      </c>
      <c r="F17" s="55"/>
    </row>
    <row r="18" spans="1:6" s="106" customFormat="1" ht="19.899999999999999" customHeight="1" x14ac:dyDescent="0.25">
      <c r="A18" s="282" t="str">
        <f>'3 Proxy Sum'!A15</f>
        <v>El Paso Electric</v>
      </c>
      <c r="C18" s="90" t="str">
        <f>'3 Proxy Sum'!C15</f>
        <v>EE</v>
      </c>
      <c r="D18" s="104"/>
      <c r="E18" s="193">
        <v>0.75</v>
      </c>
      <c r="F18" s="55"/>
    </row>
    <row r="19" spans="1:6" s="106" customFormat="1" ht="19.899999999999999" customHeight="1" x14ac:dyDescent="0.25">
      <c r="A19" s="282" t="str">
        <f>'3 Proxy Sum'!A16</f>
        <v>Exelon Corp.</v>
      </c>
      <c r="C19" s="90" t="str">
        <f>'3 Proxy Sum'!C16</f>
        <v>EXC</v>
      </c>
      <c r="D19" s="104"/>
      <c r="E19" s="193">
        <v>0.7</v>
      </c>
      <c r="F19" s="55"/>
    </row>
    <row r="20" spans="1:6" s="106" customFormat="1" ht="19.899999999999999" customHeight="1" x14ac:dyDescent="0.25">
      <c r="A20" s="282" t="str">
        <f>'3 Proxy Sum'!A17</f>
        <v>Hawaiian Elec.</v>
      </c>
      <c r="C20" s="90" t="str">
        <f>'3 Proxy Sum'!C17</f>
        <v>HE</v>
      </c>
      <c r="D20" s="104"/>
      <c r="E20" s="193">
        <v>0.7</v>
      </c>
      <c r="F20" s="55"/>
    </row>
    <row r="21" spans="1:6" s="106" customFormat="1" ht="19.899999999999999" customHeight="1" x14ac:dyDescent="0.25">
      <c r="A21" s="282" t="str">
        <f>'3 Proxy Sum'!A18</f>
        <v>IDACORP, Inc.</v>
      </c>
      <c r="C21" s="90" t="str">
        <f>'3 Proxy Sum'!C18</f>
        <v>IDA</v>
      </c>
      <c r="D21" s="104"/>
      <c r="E21" s="193">
        <v>0.7</v>
      </c>
      <c r="F21" s="55"/>
    </row>
    <row r="22" spans="1:6" s="106" customFormat="1" ht="19.899999999999999" customHeight="1" x14ac:dyDescent="0.25">
      <c r="A22" s="282" t="str">
        <f>'3 Proxy Sum'!A19</f>
        <v>NorthWestern Corp.</v>
      </c>
      <c r="C22" s="90" t="str">
        <f>'3 Proxy Sum'!C19</f>
        <v>NWE</v>
      </c>
      <c r="D22" s="104"/>
      <c r="E22" s="193">
        <v>0.65</v>
      </c>
      <c r="F22" s="55"/>
    </row>
    <row r="23" spans="1:6" s="106" customFormat="1" ht="19.899999999999999" customHeight="1" x14ac:dyDescent="0.25">
      <c r="A23" s="282" t="str">
        <f>'3 Proxy Sum'!A20</f>
        <v>Otter Tail Corp.</v>
      </c>
      <c r="C23" s="90" t="str">
        <f>'3 Proxy Sum'!C20</f>
        <v>OTTR</v>
      </c>
      <c r="D23" s="104"/>
      <c r="E23" s="193">
        <v>0.9</v>
      </c>
      <c r="F23" s="55"/>
    </row>
    <row r="24" spans="1:6" s="106" customFormat="1" ht="19.899999999999999" customHeight="1" x14ac:dyDescent="0.25">
      <c r="A24" s="282" t="str">
        <f>'3 Proxy Sum'!A21</f>
        <v>PG&amp;E Corp.</v>
      </c>
      <c r="C24" s="90" t="str">
        <f>'3 Proxy Sum'!C21</f>
        <v>PCG</v>
      </c>
      <c r="D24" s="104"/>
      <c r="E24" s="193">
        <v>0.65</v>
      </c>
      <c r="F24" s="55"/>
    </row>
    <row r="25" spans="1:6" s="106" customFormat="1" ht="19.899999999999999" customHeight="1" x14ac:dyDescent="0.25">
      <c r="A25" s="282" t="str">
        <f>'3 Proxy Sum'!A22</f>
        <v>Portland General</v>
      </c>
      <c r="C25" s="90" t="str">
        <f>'3 Proxy Sum'!C22</f>
        <v>POR</v>
      </c>
      <c r="D25" s="104"/>
      <c r="E25" s="193">
        <v>0.7</v>
      </c>
      <c r="F25" s="55"/>
    </row>
    <row r="26" spans="1:6" s="106" customFormat="1" ht="19.899999999999999" customHeight="1" x14ac:dyDescent="0.25">
      <c r="A26" s="22" t="str">
        <f>'3 Proxy Sum'!A23</f>
        <v>Sempra Energy</v>
      </c>
      <c r="C26" s="90" t="str">
        <f>'3 Proxy Sum'!C23</f>
        <v>SRE</v>
      </c>
      <c r="D26" s="104"/>
      <c r="E26" s="209">
        <v>0.8</v>
      </c>
      <c r="F26" s="55"/>
    </row>
    <row r="27" spans="1:6" ht="19.899999999999999" customHeight="1" x14ac:dyDescent="0.25">
      <c r="C27" s="10"/>
      <c r="D27" s="104"/>
      <c r="E27" s="8"/>
      <c r="F27" s="8"/>
    </row>
    <row r="28" spans="1:6" ht="19.899999999999999" customHeight="1" x14ac:dyDescent="0.25">
      <c r="A28" s="16" t="s">
        <v>80</v>
      </c>
      <c r="B28" s="13"/>
      <c r="C28" s="10"/>
      <c r="D28" s="104"/>
      <c r="E28" s="193">
        <f>AVERAGE(E9:E26)</f>
        <v>0.70882352941176474</v>
      </c>
      <c r="F28" s="54"/>
    </row>
    <row r="29" spans="1:6" s="106" customFormat="1" x14ac:dyDescent="0.25">
      <c r="A29" s="93"/>
      <c r="B29" s="22"/>
      <c r="C29" s="93"/>
      <c r="D29" s="93"/>
      <c r="E29" s="110"/>
      <c r="F29" s="110"/>
    </row>
    <row r="30" spans="1:6" x14ac:dyDescent="0.25">
      <c r="C30" s="10"/>
      <c r="D30" s="104"/>
      <c r="E30" s="8"/>
      <c r="F30" s="8"/>
    </row>
    <row r="32" spans="1:6" s="150" customFormat="1" ht="14.45" customHeight="1" x14ac:dyDescent="0.2">
      <c r="A32" s="399" t="s">
        <v>133</v>
      </c>
      <c r="B32" s="399"/>
      <c r="C32" s="399"/>
      <c r="D32" s="399"/>
      <c r="E32" s="399"/>
      <c r="F32" s="399"/>
    </row>
  </sheetData>
  <mergeCells count="1">
    <mergeCell ref="A32:F32"/>
  </mergeCells>
  <printOptions horizontalCentered="1"/>
  <pageMargins left="0.7" right="0.7" top="0.75" bottom="0.75" header="0.3" footer="0.3"/>
  <pageSetup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Q144"/>
  <sheetViews>
    <sheetView view="pageLayout" zoomScaleNormal="100" workbookViewId="0">
      <selection activeCell="U9" sqref="U9"/>
    </sheetView>
  </sheetViews>
  <sheetFormatPr defaultRowHeight="15" x14ac:dyDescent="0.25"/>
  <cols>
    <col min="1" max="1" width="25.28515625" customWidth="1"/>
    <col min="2" max="2" width="2.7109375" style="61" customWidth="1"/>
    <col min="3" max="3" width="10.7109375" customWidth="1"/>
    <col min="4" max="4" width="2.7109375" style="61" customWidth="1"/>
    <col min="5" max="5" width="10.7109375" customWidth="1"/>
    <col min="6" max="6" width="2.7109375" style="61" customWidth="1"/>
    <col min="7" max="7" width="10.7109375" style="56" customWidth="1"/>
    <col min="8" max="8" width="2.7109375" style="61" customWidth="1"/>
    <col min="9" max="9" width="10.7109375" style="61" customWidth="1"/>
    <col min="10" max="10" width="2.7109375" style="61" customWidth="1"/>
    <col min="11" max="11" width="10.7109375" customWidth="1"/>
    <col min="12" max="12" width="2.7109375" style="61" customWidth="1"/>
    <col min="13" max="13" width="10.7109375" customWidth="1"/>
    <col min="14" max="14" width="2.7109375" style="61" customWidth="1"/>
    <col min="15" max="15" width="10.7109375" customWidth="1"/>
    <col min="16" max="16" width="2.7109375" style="61" customWidth="1"/>
    <col min="17" max="18" width="10.7109375" customWidth="1"/>
  </cols>
  <sheetData>
    <row r="1" spans="1:17" s="61" customFormat="1" ht="18.75" x14ac:dyDescent="0.3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</row>
    <row r="2" spans="1:17" s="56" customFormat="1" x14ac:dyDescent="0.25">
      <c r="B2" s="61"/>
      <c r="D2" s="61"/>
      <c r="F2" s="61"/>
      <c r="H2" s="61"/>
      <c r="I2" s="61"/>
      <c r="J2" s="61"/>
      <c r="L2" s="61"/>
      <c r="N2" s="61"/>
      <c r="P2" s="61"/>
    </row>
    <row r="3" spans="1:17" s="134" customFormat="1" x14ac:dyDescent="0.25">
      <c r="C3" s="58" t="s">
        <v>3</v>
      </c>
      <c r="D3" s="58"/>
      <c r="E3" s="58" t="s">
        <v>4</v>
      </c>
      <c r="F3" s="58"/>
      <c r="G3" s="58" t="s">
        <v>5</v>
      </c>
      <c r="H3" s="58"/>
      <c r="I3" s="58" t="s">
        <v>6</v>
      </c>
      <c r="J3" s="58"/>
      <c r="K3" s="58" t="s">
        <v>7</v>
      </c>
      <c r="L3" s="58"/>
      <c r="M3" s="58" t="s">
        <v>23</v>
      </c>
      <c r="N3" s="58"/>
      <c r="O3" s="58" t="s">
        <v>24</v>
      </c>
      <c r="P3" s="58"/>
      <c r="Q3" s="58" t="s">
        <v>25</v>
      </c>
    </row>
    <row r="4" spans="1:17" s="56" customFormat="1" x14ac:dyDescent="0.25">
      <c r="B4" s="61"/>
    </row>
    <row r="5" spans="1:17" s="56" customFormat="1" ht="30" x14ac:dyDescent="0.25">
      <c r="A5" s="62" t="s">
        <v>34</v>
      </c>
      <c r="B5" s="64"/>
      <c r="C5" s="5" t="s">
        <v>37</v>
      </c>
      <c r="D5" s="6"/>
      <c r="E5" s="5" t="s">
        <v>32</v>
      </c>
      <c r="F5" s="6"/>
      <c r="G5" s="5" t="s">
        <v>29</v>
      </c>
      <c r="H5" s="6"/>
      <c r="I5" s="5" t="s">
        <v>33</v>
      </c>
      <c r="J5" s="6"/>
      <c r="K5" s="5" t="s">
        <v>35</v>
      </c>
      <c r="L5" s="6"/>
      <c r="M5" s="5" t="s">
        <v>31</v>
      </c>
      <c r="N5" s="6"/>
      <c r="O5" s="5" t="s">
        <v>30</v>
      </c>
      <c r="P5" s="6"/>
      <c r="Q5" s="5" t="s">
        <v>36</v>
      </c>
    </row>
    <row r="6" spans="1:17" x14ac:dyDescent="0.25">
      <c r="A6" s="58">
        <v>2011</v>
      </c>
      <c r="B6" s="58"/>
      <c r="C6" s="74">
        <v>11385.007700425625</v>
      </c>
      <c r="D6" s="74"/>
      <c r="E6" s="76">
        <v>876.75740003776309</v>
      </c>
      <c r="F6" s="76"/>
      <c r="G6" s="76">
        <v>240.19540468757725</v>
      </c>
      <c r="H6" s="76"/>
      <c r="I6" s="76">
        <v>405.07782202444332</v>
      </c>
      <c r="J6" s="76"/>
      <c r="K6" s="60">
        <f t="shared" ref="K6:K9" si="0">E6/C6</f>
        <v>7.7009820555939176E-2</v>
      </c>
      <c r="L6" s="60"/>
      <c r="M6" s="60">
        <f t="shared" ref="M6:M9" si="1">G6/C6</f>
        <v>2.1097517982231809E-2</v>
      </c>
      <c r="N6" s="60"/>
      <c r="O6" s="60">
        <f t="shared" ref="O6:O9" si="2">I6/C6</f>
        <v>3.5579933952025314E-2</v>
      </c>
      <c r="P6" s="60"/>
      <c r="Q6" s="59">
        <f t="shared" ref="Q6:Q9" si="3">M6+O6</f>
        <v>5.667745193425712E-2</v>
      </c>
    </row>
    <row r="7" spans="1:17" x14ac:dyDescent="0.25">
      <c r="A7" s="58">
        <v>2012</v>
      </c>
      <c r="B7" s="58"/>
      <c r="C7" s="74">
        <v>12742.436250224304</v>
      </c>
      <c r="D7" s="74"/>
      <c r="E7" s="76">
        <v>870.1948787587462</v>
      </c>
      <c r="F7" s="76"/>
      <c r="G7" s="76">
        <v>280.690417786708</v>
      </c>
      <c r="H7" s="76"/>
      <c r="I7" s="76">
        <v>398.90997200000004</v>
      </c>
      <c r="J7" s="76"/>
      <c r="K7" s="60">
        <f t="shared" si="0"/>
        <v>6.8291091410673396E-2</v>
      </c>
      <c r="L7" s="60"/>
      <c r="M7" s="60">
        <f t="shared" si="1"/>
        <v>2.2028002516533449E-2</v>
      </c>
      <c r="N7" s="60"/>
      <c r="O7" s="60">
        <f t="shared" si="2"/>
        <v>3.1305628230471082E-2</v>
      </c>
      <c r="P7" s="60"/>
      <c r="Q7" s="59">
        <f t="shared" si="3"/>
        <v>5.3333630747004535E-2</v>
      </c>
    </row>
    <row r="8" spans="1:17" x14ac:dyDescent="0.25">
      <c r="A8" s="58">
        <v>2013</v>
      </c>
      <c r="B8" s="58"/>
      <c r="C8" s="74">
        <v>16494.783083987797</v>
      </c>
      <c r="D8" s="74"/>
      <c r="E8" s="76">
        <v>956.00990460087269</v>
      </c>
      <c r="F8" s="76"/>
      <c r="G8" s="76">
        <v>311.77171051674964</v>
      </c>
      <c r="H8" s="76"/>
      <c r="I8" s="76">
        <v>475.58680400000003</v>
      </c>
      <c r="J8" s="76"/>
      <c r="K8" s="60">
        <f t="shared" si="0"/>
        <v>5.7958319289988909E-2</v>
      </c>
      <c r="L8" s="60"/>
      <c r="M8" s="60">
        <f t="shared" si="1"/>
        <v>1.890123131230504E-2</v>
      </c>
      <c r="N8" s="60"/>
      <c r="O8" s="60">
        <f t="shared" si="2"/>
        <v>2.8832558850784333E-2</v>
      </c>
      <c r="P8" s="60"/>
      <c r="Q8" s="59">
        <f t="shared" si="3"/>
        <v>4.7733790163089374E-2</v>
      </c>
    </row>
    <row r="9" spans="1:17" x14ac:dyDescent="0.25">
      <c r="A9" s="99">
        <v>2014</v>
      </c>
      <c r="B9" s="58"/>
      <c r="C9" s="74">
        <v>18245.162915721601</v>
      </c>
      <c r="D9" s="74"/>
      <c r="E9" s="76">
        <v>1004.2233066862408</v>
      </c>
      <c r="F9" s="76"/>
      <c r="G9" s="76">
        <v>350.43209036038417</v>
      </c>
      <c r="H9" s="76"/>
      <c r="I9" s="76">
        <v>553.27531399999998</v>
      </c>
      <c r="J9" s="76"/>
      <c r="K9" s="60">
        <f t="shared" si="0"/>
        <v>5.5040522867620748E-2</v>
      </c>
      <c r="L9" s="60"/>
      <c r="M9" s="60">
        <f t="shared" si="1"/>
        <v>1.9206849068934415E-2</v>
      </c>
      <c r="N9" s="60"/>
      <c r="O9" s="60">
        <f t="shared" si="2"/>
        <v>3.0324492938522921E-2</v>
      </c>
      <c r="P9" s="60"/>
      <c r="Q9" s="59">
        <f t="shared" si="3"/>
        <v>4.9531342007457332E-2</v>
      </c>
    </row>
    <row r="10" spans="1:17" s="191" customFormat="1" x14ac:dyDescent="0.25">
      <c r="A10" s="99">
        <v>2015</v>
      </c>
      <c r="B10" s="190"/>
      <c r="C10" s="74">
        <v>17899.5562447142</v>
      </c>
      <c r="D10" s="74"/>
      <c r="E10" s="76">
        <v>885.38</v>
      </c>
      <c r="F10" s="76"/>
      <c r="G10" s="76">
        <v>382.32</v>
      </c>
      <c r="H10" s="76"/>
      <c r="I10" s="76">
        <v>572.16</v>
      </c>
      <c r="J10" s="76"/>
      <c r="K10" s="189">
        <f t="shared" ref="K10" si="4">E10/C10</f>
        <v>4.9463796079383573E-2</v>
      </c>
      <c r="L10" s="189"/>
      <c r="M10" s="189">
        <f t="shared" ref="M10" si="5">G10/C10</f>
        <v>2.1359188729212233E-2</v>
      </c>
      <c r="N10" s="189"/>
      <c r="O10" s="189">
        <f t="shared" ref="O10" si="6">I10/C10</f>
        <v>3.1965038248865013E-2</v>
      </c>
      <c r="P10" s="189"/>
      <c r="Q10" s="171">
        <f t="shared" ref="Q10" si="7">M10+O10</f>
        <v>5.3324226978077247E-2</v>
      </c>
    </row>
    <row r="11" spans="1:17" s="285" customFormat="1" x14ac:dyDescent="0.25">
      <c r="A11" s="99">
        <v>2015</v>
      </c>
      <c r="B11" s="283"/>
      <c r="C11" s="74">
        <v>19268</v>
      </c>
      <c r="D11" s="74"/>
      <c r="E11" s="76">
        <v>919.85</v>
      </c>
      <c r="F11" s="76"/>
      <c r="G11" s="76">
        <v>397.22</v>
      </c>
      <c r="H11" s="76"/>
      <c r="I11" s="76">
        <v>536.38</v>
      </c>
      <c r="J11" s="76"/>
      <c r="K11" s="284">
        <f t="shared" ref="K11" si="8">E11/C11</f>
        <v>4.7739775794062696E-2</v>
      </c>
      <c r="L11" s="284"/>
      <c r="M11" s="284">
        <f t="shared" ref="M11" si="9">G11/C11</f>
        <v>2.06155283371393E-2</v>
      </c>
      <c r="N11" s="284"/>
      <c r="O11" s="284">
        <f t="shared" ref="O11" si="10">I11/C11</f>
        <v>2.7837865891633798E-2</v>
      </c>
      <c r="P11" s="284"/>
      <c r="Q11" s="171">
        <f t="shared" ref="Q11" si="11">M11+O11</f>
        <v>4.8453394228773095E-2</v>
      </c>
    </row>
    <row r="12" spans="1:17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s="61" customFormat="1" x14ac:dyDescent="0.25">
      <c r="A13" s="18"/>
      <c r="B13" s="18"/>
      <c r="Q13" s="71"/>
    </row>
    <row r="14" spans="1:17" s="61" customFormat="1" x14ac:dyDescent="0.25">
      <c r="A14" s="72" t="s">
        <v>38</v>
      </c>
      <c r="B14" s="72"/>
      <c r="C14" s="59">
        <f>AVERAGE(Q6:Q11)</f>
        <v>5.1508972676443117E-2</v>
      </c>
      <c r="D14" s="15"/>
      <c r="E14" s="58" t="s">
        <v>28</v>
      </c>
      <c r="Q14" s="71"/>
    </row>
    <row r="15" spans="1:17" s="61" customFormat="1" x14ac:dyDescent="0.25">
      <c r="A15" s="72" t="s">
        <v>39</v>
      </c>
      <c r="B15" s="72"/>
      <c r="C15" s="60">
        <f>(E11/E6)^(1/5)-1</f>
        <v>9.6422465777274979E-3</v>
      </c>
      <c r="D15" s="57"/>
      <c r="E15" s="58" t="s">
        <v>40</v>
      </c>
      <c r="G15" s="100"/>
      <c r="Q15" s="71"/>
    </row>
    <row r="16" spans="1:17" s="61" customFormat="1" x14ac:dyDescent="0.25">
      <c r="A16" s="48" t="s">
        <v>41</v>
      </c>
      <c r="B16" s="72"/>
      <c r="C16" s="60">
        <f>'8 Risk Free Rate'!E36</f>
        <v>2.8073333333333336E-2</v>
      </c>
      <c r="E16" s="58" t="s">
        <v>42</v>
      </c>
      <c r="Q16" s="71"/>
    </row>
    <row r="17" spans="1:17" s="61" customFormat="1" x14ac:dyDescent="0.25">
      <c r="A17" s="48" t="s">
        <v>43</v>
      </c>
      <c r="B17" s="72"/>
      <c r="C17" s="75">
        <f>'4 Stock Price'!B6</f>
        <v>2516.5656900333333</v>
      </c>
      <c r="E17" s="58" t="s">
        <v>48</v>
      </c>
      <c r="Q17" s="71"/>
    </row>
    <row r="18" spans="1:17" s="61" customFormat="1" x14ac:dyDescent="0.25">
      <c r="A18" s="77"/>
      <c r="B18" s="77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78"/>
    </row>
    <row r="19" spans="1:17" s="61" customFormat="1" x14ac:dyDescent="0.25">
      <c r="A19" s="79"/>
      <c r="B19" s="79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80"/>
    </row>
    <row r="20" spans="1:17" s="61" customFormat="1" x14ac:dyDescent="0.25">
      <c r="A20" s="79"/>
      <c r="B20" s="79"/>
      <c r="C20" s="64" t="s">
        <v>49</v>
      </c>
      <c r="D20" s="64"/>
      <c r="E20" s="64" t="s">
        <v>50</v>
      </c>
      <c r="F20" s="64"/>
      <c r="G20" s="64" t="s">
        <v>51</v>
      </c>
      <c r="H20" s="64"/>
      <c r="I20" s="64" t="s">
        <v>52</v>
      </c>
      <c r="J20" s="64"/>
      <c r="K20" s="64" t="s">
        <v>53</v>
      </c>
      <c r="L20" s="27"/>
      <c r="M20" s="27"/>
      <c r="N20" s="27"/>
      <c r="O20" s="27"/>
      <c r="P20" s="27"/>
      <c r="Q20" s="80"/>
    </row>
    <row r="21" spans="1:17" s="167" customFormat="1" x14ac:dyDescent="0.25">
      <c r="A21" s="79"/>
      <c r="B21" s="79"/>
      <c r="C21" s="94"/>
      <c r="D21" s="94"/>
      <c r="E21" s="94"/>
      <c r="F21" s="94"/>
      <c r="G21" s="94"/>
      <c r="H21" s="94"/>
      <c r="I21" s="94"/>
      <c r="J21" s="94"/>
      <c r="K21" s="94"/>
      <c r="L21" s="27"/>
      <c r="M21" s="27"/>
      <c r="N21" s="27"/>
      <c r="O21" s="27"/>
      <c r="P21" s="27"/>
      <c r="Q21" s="80"/>
    </row>
    <row r="22" spans="1:17" s="61" customFormat="1" x14ac:dyDescent="0.25">
      <c r="A22" s="62" t="s">
        <v>34</v>
      </c>
      <c r="B22" s="79"/>
      <c r="C22" s="62">
        <v>1</v>
      </c>
      <c r="D22" s="64"/>
      <c r="E22" s="62">
        <v>2</v>
      </c>
      <c r="F22" s="64"/>
      <c r="G22" s="62">
        <v>3</v>
      </c>
      <c r="H22" s="64"/>
      <c r="I22" s="62">
        <v>4</v>
      </c>
      <c r="J22" s="64"/>
      <c r="K22" s="62">
        <v>5</v>
      </c>
      <c r="L22" s="27"/>
      <c r="M22" s="27"/>
      <c r="N22" s="27"/>
      <c r="O22" s="27"/>
      <c r="P22" s="27"/>
      <c r="Q22" s="80"/>
    </row>
    <row r="23" spans="1:17" s="61" customFormat="1" x14ac:dyDescent="0.25">
      <c r="A23" s="72"/>
      <c r="B23" s="18"/>
      <c r="Q23" s="71"/>
    </row>
    <row r="24" spans="1:17" s="61" customFormat="1" x14ac:dyDescent="0.25">
      <c r="A24" s="72" t="s">
        <v>44</v>
      </c>
      <c r="B24" s="18"/>
      <c r="C24" s="45">
        <f>$C$14*$C$17*(1+$C$15)^C22</f>
        <v>130.87559645749386</v>
      </c>
      <c r="D24" s="45"/>
      <c r="E24" s="45">
        <f t="shared" ref="E24:K24" si="12">$C$14*$C$17*(1+$C$15)^E22</f>
        <v>132.13753122954418</v>
      </c>
      <c r="F24" s="45"/>
      <c r="G24" s="45">
        <f t="shared" si="12"/>
        <v>133.41163388783161</v>
      </c>
      <c r="H24" s="45"/>
      <c r="I24" s="45">
        <f t="shared" si="12"/>
        <v>134.69802175811557</v>
      </c>
      <c r="J24" s="45"/>
      <c r="K24" s="220">
        <f t="shared" si="12"/>
        <v>135.99681329743942</v>
      </c>
      <c r="Q24" s="71"/>
    </row>
    <row r="25" spans="1:17" s="61" customFormat="1" x14ac:dyDescent="0.25">
      <c r="A25" s="48" t="s">
        <v>45</v>
      </c>
      <c r="B25" s="18"/>
      <c r="C25" s="221"/>
      <c r="D25" s="221"/>
      <c r="E25" s="221"/>
      <c r="F25" s="221"/>
      <c r="G25" s="221"/>
      <c r="H25" s="221"/>
      <c r="I25" s="221"/>
      <c r="J25" s="221"/>
      <c r="K25" s="222">
        <f>K24*(1+C16)/C32</f>
        <v>2867.6243911744191</v>
      </c>
      <c r="Q25" s="71"/>
    </row>
    <row r="26" spans="1:17" s="61" customFormat="1" x14ac:dyDescent="0.25">
      <c r="A26" s="48" t="s">
        <v>46</v>
      </c>
      <c r="B26" s="18"/>
      <c r="C26" s="44">
        <f>C24/(1+$C$16+$C$32)^C22</f>
        <v>121.53788757444551</v>
      </c>
      <c r="D26" s="129"/>
      <c r="E26" s="44">
        <f t="shared" ref="E26:I26" si="13">E24/(1+$C$16+$C$32)^E22</f>
        <v>113.95469102881943</v>
      </c>
      <c r="F26" s="129"/>
      <c r="G26" s="44">
        <f t="shared" si="13"/>
        <v>106.84463805181403</v>
      </c>
      <c r="H26" s="129"/>
      <c r="I26" s="44">
        <f t="shared" si="13"/>
        <v>100.17820747314448</v>
      </c>
      <c r="J26" s="45"/>
      <c r="K26" s="222">
        <f>(K24+K25)/(1+$C$16+C32)^K22</f>
        <v>2074.4845765918967</v>
      </c>
      <c r="Q26" s="71"/>
    </row>
    <row r="27" spans="1:17" s="61" customFormat="1" x14ac:dyDescent="0.25">
      <c r="A27" s="72"/>
      <c r="B27" s="18"/>
      <c r="Q27" s="71"/>
    </row>
    <row r="28" spans="1:17" s="61" customFormat="1" x14ac:dyDescent="0.25">
      <c r="A28" s="48" t="s">
        <v>47</v>
      </c>
      <c r="B28" s="18"/>
      <c r="C28" s="44">
        <f>SUM(C26,E26,G26,I26,K26)</f>
        <v>2517.0000007201202</v>
      </c>
      <c r="E28" s="58" t="s">
        <v>60</v>
      </c>
      <c r="Q28" s="71"/>
    </row>
    <row r="29" spans="1:17" s="112" customFormat="1" x14ac:dyDescent="0.25">
      <c r="A29" s="48"/>
      <c r="B29" s="18"/>
      <c r="C29" s="129"/>
      <c r="E29" s="111"/>
      <c r="Q29" s="71"/>
    </row>
    <row r="30" spans="1:17" s="112" customFormat="1" x14ac:dyDescent="0.25">
      <c r="A30" s="48" t="s">
        <v>76</v>
      </c>
      <c r="B30" s="18"/>
      <c r="C30" s="130">
        <f>C32+C16</f>
        <v>7.6829613130545274E-2</v>
      </c>
      <c r="D30" s="61"/>
      <c r="E30" s="104" t="s">
        <v>61</v>
      </c>
      <c r="Q30" s="71"/>
    </row>
    <row r="31" spans="1:17" s="61" customFormat="1" ht="15.75" thickBot="1" x14ac:dyDescent="0.3">
      <c r="A31" s="72"/>
      <c r="B31" s="18"/>
      <c r="Q31" s="71"/>
    </row>
    <row r="32" spans="1:17" s="61" customFormat="1" ht="15.75" thickBot="1" x14ac:dyDescent="0.3">
      <c r="A32" s="73" t="s">
        <v>54</v>
      </c>
      <c r="B32" s="18"/>
      <c r="C32" s="347">
        <v>4.8756279797211942E-2</v>
      </c>
      <c r="E32" s="58" t="s">
        <v>77</v>
      </c>
      <c r="Q32" s="71"/>
    </row>
    <row r="33" spans="1:17" s="61" customFormat="1" x14ac:dyDescent="0.25">
      <c r="A33" s="77"/>
      <c r="B33" s="133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78"/>
    </row>
    <row r="34" spans="1:17" s="61" customFormat="1" x14ac:dyDescent="0.25">
      <c r="Q34" s="71"/>
    </row>
    <row r="35" spans="1:17" x14ac:dyDescent="0.25">
      <c r="A35" s="72"/>
    </row>
    <row r="36" spans="1:17" s="158" customFormat="1" ht="14.45" customHeight="1" x14ac:dyDescent="0.2">
      <c r="A36" s="401" t="s">
        <v>350</v>
      </c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  <c r="N36" s="401"/>
      <c r="O36" s="401"/>
      <c r="P36" s="401"/>
      <c r="Q36" s="401"/>
    </row>
    <row r="37" spans="1:17" s="158" customFormat="1" ht="14.45" customHeight="1" x14ac:dyDescent="0.2">
      <c r="A37" s="401" t="s">
        <v>86</v>
      </c>
      <c r="B37" s="401"/>
      <c r="C37" s="401"/>
      <c r="D37" s="401"/>
      <c r="E37" s="401"/>
      <c r="F37" s="401"/>
      <c r="G37" s="401"/>
      <c r="H37" s="401"/>
      <c r="I37" s="401"/>
      <c r="J37" s="401"/>
      <c r="K37" s="401"/>
      <c r="L37" s="401"/>
      <c r="M37" s="401"/>
      <c r="N37" s="401"/>
      <c r="O37" s="401"/>
      <c r="P37" s="401"/>
      <c r="Q37" s="401"/>
    </row>
    <row r="38" spans="1:17" s="158" customFormat="1" ht="14.45" customHeight="1" x14ac:dyDescent="0.2">
      <c r="A38" s="401" t="s">
        <v>55</v>
      </c>
      <c r="B38" s="401"/>
      <c r="C38" s="401"/>
      <c r="D38" s="401"/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401"/>
      <c r="P38" s="401"/>
      <c r="Q38" s="401"/>
    </row>
    <row r="39" spans="1:17" s="158" customFormat="1" ht="14.45" customHeight="1" x14ac:dyDescent="0.2">
      <c r="A39" s="401" t="s">
        <v>56</v>
      </c>
      <c r="B39" s="401"/>
      <c r="C39" s="401"/>
      <c r="D39" s="401"/>
      <c r="E39" s="401"/>
      <c r="F39" s="401"/>
      <c r="G39" s="401"/>
      <c r="H39" s="401"/>
      <c r="I39" s="401"/>
      <c r="J39" s="401"/>
      <c r="K39" s="401"/>
      <c r="L39" s="401"/>
      <c r="M39" s="401"/>
      <c r="N39" s="401"/>
      <c r="O39" s="401"/>
      <c r="P39" s="401"/>
      <c r="Q39" s="401"/>
    </row>
    <row r="40" spans="1:17" s="158" customFormat="1" ht="14.45" customHeight="1" x14ac:dyDescent="0.2">
      <c r="A40" s="401" t="s">
        <v>57</v>
      </c>
      <c r="B40" s="401"/>
      <c r="C40" s="401"/>
      <c r="D40" s="401"/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401"/>
      <c r="P40" s="401"/>
      <c r="Q40" s="401"/>
    </row>
    <row r="41" spans="1:17" s="158" customFormat="1" ht="14.45" customHeight="1" x14ac:dyDescent="0.2">
      <c r="A41" s="401" t="s">
        <v>58</v>
      </c>
      <c r="B41" s="401"/>
      <c r="C41" s="401"/>
      <c r="D41" s="401"/>
      <c r="E41" s="401"/>
      <c r="F41" s="401"/>
      <c r="G41" s="401"/>
      <c r="H41" s="401"/>
      <c r="I41" s="401"/>
      <c r="J41" s="401"/>
      <c r="K41" s="401"/>
      <c r="L41" s="401"/>
      <c r="M41" s="401"/>
      <c r="N41" s="401"/>
      <c r="O41" s="401"/>
      <c r="P41" s="401"/>
      <c r="Q41" s="401"/>
    </row>
    <row r="42" spans="1:17" s="158" customFormat="1" ht="14.45" customHeight="1" x14ac:dyDescent="0.2">
      <c r="A42" s="401" t="s">
        <v>59</v>
      </c>
      <c r="B42" s="401"/>
      <c r="C42" s="401"/>
      <c r="D42" s="401"/>
      <c r="E42" s="401"/>
      <c r="F42" s="401"/>
      <c r="G42" s="401"/>
      <c r="H42" s="401"/>
      <c r="I42" s="401"/>
      <c r="J42" s="401"/>
      <c r="K42" s="401"/>
      <c r="L42" s="401"/>
      <c r="M42" s="401"/>
      <c r="N42" s="401"/>
      <c r="O42" s="401"/>
      <c r="P42" s="401"/>
      <c r="Q42" s="401"/>
    </row>
    <row r="43" spans="1:17" s="158" customFormat="1" ht="14.45" customHeight="1" x14ac:dyDescent="0.2">
      <c r="A43" s="401" t="s">
        <v>122</v>
      </c>
      <c r="B43" s="401"/>
      <c r="C43" s="401"/>
      <c r="D43" s="401"/>
      <c r="E43" s="401"/>
      <c r="F43" s="401"/>
      <c r="G43" s="401"/>
      <c r="H43" s="401"/>
      <c r="I43" s="401"/>
      <c r="J43" s="401"/>
      <c r="K43" s="401"/>
      <c r="L43" s="401"/>
      <c r="M43" s="401"/>
      <c r="N43" s="401"/>
      <c r="O43" s="401"/>
      <c r="P43" s="401"/>
      <c r="Q43" s="401"/>
    </row>
    <row r="44" spans="1:17" s="158" customFormat="1" ht="14.45" customHeight="1" x14ac:dyDescent="0.2">
      <c r="A44" s="401" t="s">
        <v>325</v>
      </c>
      <c r="B44" s="401"/>
      <c r="C44" s="401"/>
      <c r="D44" s="401"/>
      <c r="E44" s="401"/>
      <c r="F44" s="401"/>
      <c r="G44" s="401"/>
      <c r="H44" s="401"/>
      <c r="I44" s="401"/>
      <c r="J44" s="401"/>
      <c r="K44" s="401"/>
      <c r="L44" s="401"/>
      <c r="M44" s="401"/>
      <c r="N44" s="401"/>
      <c r="O44" s="401"/>
      <c r="P44" s="401"/>
      <c r="Q44" s="401"/>
    </row>
    <row r="45" spans="1:17" s="158" customFormat="1" ht="14.45" customHeight="1" x14ac:dyDescent="0.2">
      <c r="A45" s="401" t="s">
        <v>326</v>
      </c>
      <c r="B45" s="401"/>
      <c r="C45" s="401"/>
      <c r="D45" s="401"/>
      <c r="E45" s="401"/>
      <c r="F45" s="401"/>
      <c r="G45" s="401"/>
      <c r="H45" s="401"/>
      <c r="I45" s="401"/>
      <c r="J45" s="401"/>
      <c r="K45" s="401"/>
      <c r="L45" s="401"/>
      <c r="M45" s="401"/>
      <c r="N45" s="401"/>
      <c r="O45" s="401"/>
      <c r="P45" s="401"/>
      <c r="Q45" s="401"/>
    </row>
    <row r="46" spans="1:17" s="158" customFormat="1" ht="14.45" customHeight="1" x14ac:dyDescent="0.2">
      <c r="A46" s="401" t="s">
        <v>95</v>
      </c>
      <c r="B46" s="401"/>
      <c r="C46" s="401"/>
      <c r="D46" s="401"/>
      <c r="E46" s="401"/>
      <c r="F46" s="401"/>
      <c r="G46" s="401"/>
      <c r="H46" s="401"/>
      <c r="I46" s="401"/>
      <c r="J46" s="401"/>
      <c r="K46" s="401"/>
      <c r="L46" s="401"/>
      <c r="M46" s="401"/>
      <c r="N46" s="401"/>
      <c r="O46" s="401"/>
      <c r="P46" s="401"/>
      <c r="Q46" s="401"/>
    </row>
    <row r="47" spans="1:17" s="158" customFormat="1" ht="14.45" customHeight="1" x14ac:dyDescent="0.2">
      <c r="A47" s="401" t="s">
        <v>96</v>
      </c>
      <c r="B47" s="401"/>
      <c r="C47" s="401"/>
      <c r="D47" s="401"/>
      <c r="E47" s="401"/>
      <c r="F47" s="401"/>
      <c r="G47" s="401"/>
      <c r="H47" s="401"/>
      <c r="I47" s="401"/>
      <c r="J47" s="401"/>
      <c r="K47" s="401"/>
      <c r="L47" s="401"/>
      <c r="M47" s="401"/>
      <c r="N47" s="401"/>
      <c r="O47" s="401"/>
      <c r="P47" s="401"/>
      <c r="Q47" s="401"/>
    </row>
    <row r="48" spans="1:17" s="158" customFormat="1" ht="14.45" customHeight="1" x14ac:dyDescent="0.2">
      <c r="A48" s="401" t="s">
        <v>97</v>
      </c>
      <c r="B48" s="401"/>
      <c r="C48" s="401"/>
      <c r="D48" s="401"/>
      <c r="E48" s="401"/>
      <c r="F48" s="401"/>
      <c r="G48" s="401"/>
      <c r="H48" s="401"/>
      <c r="I48" s="401"/>
      <c r="J48" s="401"/>
      <c r="K48" s="401"/>
      <c r="L48" s="401"/>
      <c r="M48" s="401"/>
      <c r="N48" s="401"/>
      <c r="O48" s="401"/>
      <c r="P48" s="401"/>
      <c r="Q48" s="401"/>
    </row>
    <row r="49" spans="1:17" s="158" customFormat="1" ht="14.45" customHeight="1" x14ac:dyDescent="0.2">
      <c r="A49" s="401" t="s">
        <v>85</v>
      </c>
      <c r="B49" s="401"/>
      <c r="C49" s="401"/>
      <c r="D49" s="401"/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</row>
    <row r="50" spans="1:17" s="158" customFormat="1" ht="14.45" customHeight="1" x14ac:dyDescent="0.2">
      <c r="A50" s="401" t="s">
        <v>98</v>
      </c>
      <c r="B50" s="401"/>
      <c r="C50" s="401"/>
      <c r="D50" s="401"/>
      <c r="E50" s="401"/>
      <c r="F50" s="401"/>
      <c r="G50" s="401"/>
      <c r="H50" s="401"/>
      <c r="I50" s="401"/>
      <c r="J50" s="401"/>
      <c r="K50" s="401"/>
      <c r="L50" s="401"/>
      <c r="M50" s="401"/>
      <c r="N50" s="401"/>
      <c r="O50" s="401"/>
      <c r="P50" s="401"/>
      <c r="Q50" s="401"/>
    </row>
    <row r="51" spans="1:17" x14ac:dyDescent="0.25">
      <c r="A51" s="72"/>
    </row>
    <row r="52" spans="1:17" x14ac:dyDescent="0.25">
      <c r="A52" s="72"/>
    </row>
    <row r="53" spans="1:17" x14ac:dyDescent="0.25">
      <c r="A53" s="72"/>
    </row>
    <row r="54" spans="1:17" x14ac:dyDescent="0.25">
      <c r="A54" s="72"/>
    </row>
    <row r="55" spans="1:17" x14ac:dyDescent="0.25">
      <c r="A55" s="72"/>
    </row>
    <row r="56" spans="1:17" x14ac:dyDescent="0.25">
      <c r="A56" s="72"/>
    </row>
    <row r="57" spans="1:17" x14ac:dyDescent="0.25">
      <c r="A57" s="72"/>
    </row>
    <row r="58" spans="1:17" x14ac:dyDescent="0.25">
      <c r="A58" s="72"/>
    </row>
    <row r="59" spans="1:17" x14ac:dyDescent="0.25">
      <c r="A59" s="72"/>
    </row>
    <row r="60" spans="1:17" x14ac:dyDescent="0.25">
      <c r="A60" s="72"/>
    </row>
    <row r="61" spans="1:17" x14ac:dyDescent="0.25">
      <c r="A61" s="72"/>
    </row>
    <row r="62" spans="1:17" x14ac:dyDescent="0.25">
      <c r="A62" s="72"/>
    </row>
    <row r="63" spans="1:17" x14ac:dyDescent="0.25">
      <c r="A63" s="72"/>
    </row>
    <row r="64" spans="1:17" x14ac:dyDescent="0.25">
      <c r="A64" s="72"/>
    </row>
    <row r="65" spans="1:1" x14ac:dyDescent="0.25">
      <c r="A65" s="72"/>
    </row>
    <row r="66" spans="1:1" x14ac:dyDescent="0.25">
      <c r="A66" s="72"/>
    </row>
    <row r="67" spans="1:1" x14ac:dyDescent="0.25">
      <c r="A67" s="72"/>
    </row>
    <row r="68" spans="1:1" x14ac:dyDescent="0.25">
      <c r="A68" s="72"/>
    </row>
    <row r="69" spans="1:1" x14ac:dyDescent="0.25">
      <c r="A69" s="72"/>
    </row>
    <row r="70" spans="1:1" x14ac:dyDescent="0.25">
      <c r="A70" s="72"/>
    </row>
    <row r="71" spans="1:1" x14ac:dyDescent="0.25">
      <c r="A71" s="72"/>
    </row>
    <row r="72" spans="1:1" x14ac:dyDescent="0.25">
      <c r="A72" s="72"/>
    </row>
    <row r="73" spans="1:1" x14ac:dyDescent="0.25">
      <c r="A73" s="72"/>
    </row>
    <row r="74" spans="1:1" x14ac:dyDescent="0.25">
      <c r="A74" s="72"/>
    </row>
    <row r="75" spans="1:1" x14ac:dyDescent="0.25">
      <c r="A75" s="72"/>
    </row>
    <row r="76" spans="1:1" x14ac:dyDescent="0.25">
      <c r="A76" s="72"/>
    </row>
    <row r="77" spans="1:1" x14ac:dyDescent="0.25">
      <c r="A77" s="72"/>
    </row>
    <row r="78" spans="1:1" x14ac:dyDescent="0.25">
      <c r="A78" s="72"/>
    </row>
    <row r="79" spans="1:1" x14ac:dyDescent="0.25">
      <c r="A79" s="72"/>
    </row>
    <row r="80" spans="1:1" x14ac:dyDescent="0.25">
      <c r="A80" s="72"/>
    </row>
    <row r="81" spans="1:1" x14ac:dyDescent="0.25">
      <c r="A81" s="72"/>
    </row>
    <row r="82" spans="1:1" x14ac:dyDescent="0.25">
      <c r="A82" s="72"/>
    </row>
    <row r="83" spans="1:1" x14ac:dyDescent="0.25">
      <c r="A83" s="72"/>
    </row>
    <row r="84" spans="1:1" x14ac:dyDescent="0.25">
      <c r="A84" s="72"/>
    </row>
    <row r="85" spans="1:1" x14ac:dyDescent="0.25">
      <c r="A85" s="72"/>
    </row>
    <row r="86" spans="1:1" x14ac:dyDescent="0.25">
      <c r="A86" s="72"/>
    </row>
    <row r="87" spans="1:1" x14ac:dyDescent="0.25">
      <c r="A87" s="72"/>
    </row>
    <row r="88" spans="1:1" x14ac:dyDescent="0.25">
      <c r="A88" s="72"/>
    </row>
    <row r="89" spans="1:1" x14ac:dyDescent="0.25">
      <c r="A89" s="72"/>
    </row>
    <row r="90" spans="1:1" x14ac:dyDescent="0.25">
      <c r="A90" s="72"/>
    </row>
    <row r="91" spans="1:1" x14ac:dyDescent="0.25">
      <c r="A91" s="72"/>
    </row>
    <row r="92" spans="1:1" x14ac:dyDescent="0.25">
      <c r="A92" s="72"/>
    </row>
    <row r="93" spans="1:1" x14ac:dyDescent="0.25">
      <c r="A93" s="72"/>
    </row>
    <row r="94" spans="1:1" x14ac:dyDescent="0.25">
      <c r="A94" s="72"/>
    </row>
    <row r="95" spans="1:1" x14ac:dyDescent="0.25">
      <c r="A95" s="72"/>
    </row>
    <row r="96" spans="1:1" x14ac:dyDescent="0.25">
      <c r="A96" s="72"/>
    </row>
    <row r="97" spans="1:1" x14ac:dyDescent="0.25">
      <c r="A97" s="72"/>
    </row>
    <row r="98" spans="1:1" x14ac:dyDescent="0.25">
      <c r="A98" s="72"/>
    </row>
    <row r="99" spans="1:1" x14ac:dyDescent="0.25">
      <c r="A99" s="72"/>
    </row>
    <row r="100" spans="1:1" x14ac:dyDescent="0.25">
      <c r="A100" s="72"/>
    </row>
    <row r="101" spans="1:1" x14ac:dyDescent="0.25">
      <c r="A101" s="72"/>
    </row>
    <row r="102" spans="1:1" x14ac:dyDescent="0.25">
      <c r="A102" s="72"/>
    </row>
    <row r="103" spans="1:1" x14ac:dyDescent="0.25">
      <c r="A103" s="72"/>
    </row>
    <row r="104" spans="1:1" x14ac:dyDescent="0.25">
      <c r="A104" s="72"/>
    </row>
    <row r="105" spans="1:1" x14ac:dyDescent="0.25">
      <c r="A105" s="72"/>
    </row>
    <row r="106" spans="1:1" x14ac:dyDescent="0.25">
      <c r="A106" s="72"/>
    </row>
    <row r="107" spans="1:1" x14ac:dyDescent="0.25">
      <c r="A107" s="72"/>
    </row>
    <row r="108" spans="1:1" x14ac:dyDescent="0.25">
      <c r="A108" s="72"/>
    </row>
    <row r="109" spans="1:1" x14ac:dyDescent="0.25">
      <c r="A109" s="72"/>
    </row>
    <row r="110" spans="1:1" x14ac:dyDescent="0.25">
      <c r="A110" s="72"/>
    </row>
    <row r="111" spans="1:1" x14ac:dyDescent="0.25">
      <c r="A111" s="72"/>
    </row>
    <row r="112" spans="1:1" x14ac:dyDescent="0.25">
      <c r="A112" s="72"/>
    </row>
    <row r="113" spans="1:1" x14ac:dyDescent="0.25">
      <c r="A113" s="72"/>
    </row>
    <row r="114" spans="1:1" x14ac:dyDescent="0.25">
      <c r="A114" s="72"/>
    </row>
    <row r="115" spans="1:1" x14ac:dyDescent="0.25">
      <c r="A115" s="72"/>
    </row>
    <row r="116" spans="1:1" x14ac:dyDescent="0.25">
      <c r="A116" s="72"/>
    </row>
    <row r="117" spans="1:1" x14ac:dyDescent="0.25">
      <c r="A117" s="72"/>
    </row>
    <row r="118" spans="1:1" x14ac:dyDescent="0.25">
      <c r="A118" s="72"/>
    </row>
    <row r="119" spans="1:1" x14ac:dyDescent="0.25">
      <c r="A119" s="72"/>
    </row>
    <row r="120" spans="1:1" x14ac:dyDescent="0.25">
      <c r="A120" s="72"/>
    </row>
    <row r="121" spans="1:1" x14ac:dyDescent="0.25">
      <c r="A121" s="72"/>
    </row>
    <row r="122" spans="1:1" x14ac:dyDescent="0.25">
      <c r="A122" s="72"/>
    </row>
    <row r="123" spans="1:1" x14ac:dyDescent="0.25">
      <c r="A123" s="72"/>
    </row>
    <row r="124" spans="1:1" x14ac:dyDescent="0.25">
      <c r="A124" s="72"/>
    </row>
    <row r="125" spans="1:1" x14ac:dyDescent="0.25">
      <c r="A125" s="72"/>
    </row>
    <row r="126" spans="1:1" x14ac:dyDescent="0.25">
      <c r="A126" s="72"/>
    </row>
    <row r="127" spans="1:1" x14ac:dyDescent="0.25">
      <c r="A127" s="72"/>
    </row>
    <row r="128" spans="1:1" x14ac:dyDescent="0.25">
      <c r="A128" s="72"/>
    </row>
    <row r="129" spans="1:1" x14ac:dyDescent="0.25">
      <c r="A129" s="72"/>
    </row>
    <row r="130" spans="1:1" x14ac:dyDescent="0.25">
      <c r="A130" s="72"/>
    </row>
    <row r="131" spans="1:1" x14ac:dyDescent="0.25">
      <c r="A131" s="72"/>
    </row>
    <row r="132" spans="1:1" x14ac:dyDescent="0.25">
      <c r="A132" s="72"/>
    </row>
    <row r="133" spans="1:1" x14ac:dyDescent="0.25">
      <c r="A133" s="72"/>
    </row>
    <row r="134" spans="1:1" x14ac:dyDescent="0.25">
      <c r="A134" s="72"/>
    </row>
    <row r="135" spans="1:1" x14ac:dyDescent="0.25">
      <c r="A135" s="72"/>
    </row>
    <row r="136" spans="1:1" x14ac:dyDescent="0.25">
      <c r="A136" s="72"/>
    </row>
    <row r="137" spans="1:1" x14ac:dyDescent="0.25">
      <c r="A137" s="72"/>
    </row>
    <row r="138" spans="1:1" x14ac:dyDescent="0.25">
      <c r="A138" s="72"/>
    </row>
    <row r="139" spans="1:1" x14ac:dyDescent="0.25">
      <c r="A139" s="72"/>
    </row>
    <row r="140" spans="1:1" x14ac:dyDescent="0.25">
      <c r="A140" s="72"/>
    </row>
    <row r="141" spans="1:1" x14ac:dyDescent="0.25">
      <c r="A141" s="72"/>
    </row>
    <row r="142" spans="1:1" x14ac:dyDescent="0.25">
      <c r="A142" s="72"/>
    </row>
    <row r="143" spans="1:1" x14ac:dyDescent="0.25">
      <c r="A143" s="72"/>
    </row>
    <row r="144" spans="1:1" x14ac:dyDescent="0.25">
      <c r="A144" s="72"/>
    </row>
  </sheetData>
  <mergeCells count="15">
    <mergeCell ref="A41:Q41"/>
    <mergeCell ref="A36:Q36"/>
    <mergeCell ref="A38:Q38"/>
    <mergeCell ref="A39:Q39"/>
    <mergeCell ref="A40:Q40"/>
    <mergeCell ref="A37:Q37"/>
    <mergeCell ref="A48:Q48"/>
    <mergeCell ref="A50:Q50"/>
    <mergeCell ref="A42:Q42"/>
    <mergeCell ref="A43:Q43"/>
    <mergeCell ref="A44:Q44"/>
    <mergeCell ref="A45:Q45"/>
    <mergeCell ref="A46:Q46"/>
    <mergeCell ref="A47:Q47"/>
    <mergeCell ref="A49:Q49"/>
  </mergeCells>
  <printOptions horizontalCentered="1"/>
  <pageMargins left="0.7" right="0.7" top="0.75" bottom="0.75" header="0.3" footer="0.3"/>
  <pageSetup scale="68" orientation="landscape" r:id="rId1"/>
  <headerFooter scaleWithDoc="0">
    <oddHeader xml:space="preserve">&amp;R&amp;"-,Bold"&amp;10Dockets UE-170485 and UG-170486
Exhibit DJG-4
Implied Equity Risk Premium
Page 9 of 17&amp;"-,Regular"&amp;11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N49"/>
  <sheetViews>
    <sheetView view="pageLayout" zoomScaleNormal="90" workbookViewId="0">
      <selection activeCell="L8" sqref="L8"/>
    </sheetView>
  </sheetViews>
  <sheetFormatPr defaultRowHeight="15" x14ac:dyDescent="0.25"/>
  <cols>
    <col min="1" max="1" width="29.7109375" style="287" customWidth="1"/>
    <col min="2" max="2" width="2.7109375" style="287" customWidth="1"/>
    <col min="3" max="3" width="10.7109375" style="287" customWidth="1"/>
    <col min="4" max="4" width="2.7109375" style="287" customWidth="1"/>
    <col min="5" max="5" width="3.28515625" style="287" customWidth="1"/>
    <col min="6" max="7" width="9.140625" style="287"/>
    <col min="8" max="8" width="17.85546875" style="287" customWidth="1"/>
    <col min="9" max="16384" width="9.140625" style="287"/>
  </cols>
  <sheetData>
    <row r="1" spans="1:12" x14ac:dyDescent="0.25">
      <c r="L1" s="374"/>
    </row>
    <row r="2" spans="1:12" x14ac:dyDescent="0.25">
      <c r="L2" s="374"/>
    </row>
    <row r="3" spans="1:12" x14ac:dyDescent="0.25">
      <c r="L3" s="374"/>
    </row>
    <row r="4" spans="1:12" x14ac:dyDescent="0.25">
      <c r="L4" s="374"/>
    </row>
    <row r="5" spans="1:12" x14ac:dyDescent="0.25">
      <c r="A5" s="286"/>
      <c r="B5" s="286"/>
      <c r="C5" s="286"/>
      <c r="D5" s="286"/>
      <c r="E5" s="286"/>
    </row>
    <row r="7" spans="1:12" x14ac:dyDescent="0.25">
      <c r="A7" s="288"/>
      <c r="C7" s="289"/>
      <c r="D7" s="289"/>
      <c r="E7" s="290"/>
      <c r="H7" s="287" t="s">
        <v>108</v>
      </c>
      <c r="I7" s="348">
        <v>8.6999999999999994E-2</v>
      </c>
    </row>
    <row r="8" spans="1:12" x14ac:dyDescent="0.25">
      <c r="A8" s="292" t="s">
        <v>161</v>
      </c>
      <c r="C8" s="293">
        <v>5.7000000000000002E-2</v>
      </c>
      <c r="D8" s="294"/>
      <c r="E8" s="290" t="s">
        <v>3</v>
      </c>
      <c r="I8" s="291"/>
      <c r="J8" s="291"/>
    </row>
    <row r="9" spans="1:12" x14ac:dyDescent="0.25">
      <c r="A9" s="295"/>
      <c r="C9" s="293"/>
      <c r="D9" s="294"/>
      <c r="E9" s="290"/>
      <c r="I9" s="291"/>
      <c r="J9" s="291"/>
    </row>
    <row r="10" spans="1:12" x14ac:dyDescent="0.25">
      <c r="A10" s="288" t="s">
        <v>162</v>
      </c>
      <c r="C10" s="293">
        <v>4.02E-2</v>
      </c>
      <c r="D10" s="296"/>
      <c r="E10" s="290" t="s">
        <v>4</v>
      </c>
      <c r="I10" s="297"/>
    </row>
    <row r="11" spans="1:12" x14ac:dyDescent="0.25">
      <c r="C11" s="293"/>
      <c r="E11" s="290"/>
      <c r="I11" s="291"/>
    </row>
    <row r="12" spans="1:12" x14ac:dyDescent="0.25">
      <c r="A12" s="287" t="s">
        <v>163</v>
      </c>
      <c r="C12" s="293">
        <v>0.05</v>
      </c>
      <c r="E12" s="290" t="s">
        <v>5</v>
      </c>
      <c r="I12" s="291"/>
    </row>
    <row r="13" spans="1:12" x14ac:dyDescent="0.25">
      <c r="A13" s="298"/>
      <c r="C13" s="293"/>
      <c r="E13" s="290"/>
      <c r="I13" s="291"/>
    </row>
    <row r="14" spans="1:12" x14ac:dyDescent="0.25">
      <c r="A14" s="292" t="s">
        <v>99</v>
      </c>
      <c r="C14" s="293">
        <f>AVERAGE(0.0463,0.0492,0.0616)</f>
        <v>5.2366666666666672E-2</v>
      </c>
      <c r="D14" s="296"/>
      <c r="E14" s="290" t="s">
        <v>6</v>
      </c>
      <c r="I14" s="291"/>
    </row>
    <row r="15" spans="1:12" x14ac:dyDescent="0.25">
      <c r="A15" s="292"/>
      <c r="C15" s="293"/>
      <c r="D15" s="296"/>
      <c r="E15" s="290"/>
      <c r="I15" s="291"/>
    </row>
    <row r="16" spans="1:12" x14ac:dyDescent="0.25">
      <c r="A16" s="288" t="s">
        <v>134</v>
      </c>
      <c r="C16" s="299">
        <f>'10 Implied ERP'!C32</f>
        <v>4.8756279797211942E-2</v>
      </c>
      <c r="D16" s="296"/>
      <c r="E16" s="290" t="s">
        <v>7</v>
      </c>
      <c r="I16" s="291"/>
    </row>
    <row r="17" spans="1:14" x14ac:dyDescent="0.25">
      <c r="C17" s="300"/>
      <c r="D17" s="301"/>
      <c r="E17" s="290"/>
      <c r="I17" s="291"/>
    </row>
    <row r="18" spans="1:14" x14ac:dyDescent="0.25">
      <c r="A18" s="18" t="s">
        <v>352</v>
      </c>
      <c r="C18" s="302">
        <f>MAX(C8:C16)</f>
        <v>5.7000000000000002E-2</v>
      </c>
      <c r="D18" s="303"/>
      <c r="E18" s="290"/>
      <c r="I18" s="291"/>
    </row>
    <row r="19" spans="1:14" x14ac:dyDescent="0.25">
      <c r="A19" s="304"/>
      <c r="B19" s="286"/>
      <c r="C19" s="305"/>
      <c r="D19" s="305"/>
      <c r="E19" s="306"/>
    </row>
    <row r="21" spans="1:14" x14ac:dyDescent="0.25">
      <c r="I21" s="297"/>
    </row>
    <row r="22" spans="1:14" x14ac:dyDescent="0.25">
      <c r="A22" s="402" t="s">
        <v>135</v>
      </c>
      <c r="B22" s="402"/>
      <c r="C22" s="402"/>
      <c r="D22" s="402"/>
      <c r="E22" s="402"/>
    </row>
    <row r="23" spans="1:14" x14ac:dyDescent="0.25">
      <c r="A23" s="402" t="s">
        <v>136</v>
      </c>
      <c r="B23" s="402"/>
      <c r="C23" s="402"/>
      <c r="D23" s="402"/>
      <c r="E23" s="402"/>
    </row>
    <row r="24" spans="1:14" x14ac:dyDescent="0.25">
      <c r="A24" s="402" t="s">
        <v>164</v>
      </c>
      <c r="B24" s="402"/>
      <c r="C24" s="402"/>
      <c r="D24" s="402"/>
      <c r="E24" s="402"/>
    </row>
    <row r="25" spans="1:14" x14ac:dyDescent="0.25">
      <c r="A25" s="402" t="s">
        <v>165</v>
      </c>
      <c r="B25" s="402"/>
      <c r="C25" s="402"/>
      <c r="D25" s="402"/>
      <c r="E25" s="402"/>
    </row>
    <row r="26" spans="1:14" x14ac:dyDescent="0.25">
      <c r="A26" s="402" t="s">
        <v>327</v>
      </c>
      <c r="B26" s="402"/>
      <c r="C26" s="402"/>
      <c r="D26" s="402"/>
      <c r="E26" s="402"/>
    </row>
    <row r="27" spans="1:14" ht="14.25" customHeight="1" x14ac:dyDescent="0.25"/>
    <row r="29" spans="1:14" s="307" customFormat="1" ht="14.25" customHeight="1" x14ac:dyDescent="0.25">
      <c r="A29" s="287"/>
      <c r="B29" s="287"/>
      <c r="C29" s="287"/>
      <c r="D29" s="287"/>
      <c r="E29" s="287"/>
      <c r="H29" s="287"/>
      <c r="I29" s="287"/>
      <c r="J29" s="287"/>
      <c r="K29" s="287"/>
      <c r="L29" s="287"/>
      <c r="M29" s="287"/>
      <c r="N29" s="287"/>
    </row>
    <row r="30" spans="1:14" s="307" customFormat="1" ht="14.25" customHeight="1" x14ac:dyDescent="0.25">
      <c r="A30" s="287"/>
      <c r="B30" s="287"/>
      <c r="C30" s="287"/>
      <c r="D30" s="287"/>
      <c r="E30" s="287"/>
      <c r="H30" s="287"/>
      <c r="I30" s="287"/>
      <c r="J30" s="287"/>
      <c r="K30" s="287"/>
      <c r="L30" s="287"/>
      <c r="M30" s="287"/>
      <c r="N30" s="287"/>
    </row>
    <row r="31" spans="1:14" s="307" customFormat="1" ht="14.25" customHeight="1" x14ac:dyDescent="0.25">
      <c r="A31" s="287"/>
      <c r="B31" s="287"/>
      <c r="C31" s="287"/>
      <c r="D31" s="287"/>
      <c r="E31" s="287"/>
      <c r="H31" s="287"/>
      <c r="I31" s="287"/>
      <c r="J31" s="287"/>
      <c r="K31" s="287"/>
      <c r="L31" s="287"/>
      <c r="M31" s="287"/>
      <c r="N31" s="287"/>
    </row>
    <row r="32" spans="1:14" s="308" customFormat="1" ht="14.25" customHeight="1" x14ac:dyDescent="0.25">
      <c r="A32" s="287"/>
      <c r="B32" s="287"/>
      <c r="C32" s="287"/>
      <c r="D32" s="287"/>
      <c r="E32" s="287"/>
      <c r="H32" s="287"/>
      <c r="I32" s="287"/>
      <c r="J32" s="287"/>
      <c r="K32" s="287"/>
      <c r="L32" s="287"/>
      <c r="M32" s="287"/>
      <c r="N32" s="287"/>
    </row>
    <row r="33" spans="1:14" s="308" customFormat="1" ht="14.25" customHeight="1" x14ac:dyDescent="0.25">
      <c r="A33" s="287"/>
      <c r="B33" s="287"/>
      <c r="C33" s="287"/>
      <c r="D33" s="287"/>
      <c r="E33" s="287"/>
      <c r="H33" s="287"/>
      <c r="I33" s="287"/>
      <c r="J33" s="287"/>
      <c r="K33" s="287"/>
      <c r="L33" s="287"/>
      <c r="M33" s="287"/>
      <c r="N33" s="287"/>
    </row>
    <row r="34" spans="1:14" s="308" customFormat="1" ht="14.25" customHeight="1" x14ac:dyDescent="0.25">
      <c r="A34" s="287"/>
      <c r="B34" s="287"/>
      <c r="C34" s="287"/>
      <c r="D34" s="287"/>
      <c r="E34" s="287"/>
      <c r="H34" s="287"/>
      <c r="I34" s="287"/>
      <c r="J34" s="287"/>
      <c r="K34" s="287"/>
      <c r="L34" s="287"/>
      <c r="M34" s="287"/>
      <c r="N34" s="287"/>
    </row>
    <row r="35" spans="1:14" s="308" customFormat="1" ht="14.25" customHeight="1" x14ac:dyDescent="0.25">
      <c r="A35" s="287"/>
      <c r="B35" s="287"/>
      <c r="C35" s="287"/>
      <c r="D35" s="287"/>
      <c r="E35" s="287"/>
      <c r="H35" s="287"/>
      <c r="I35" s="287"/>
      <c r="J35" s="287"/>
      <c r="K35" s="287"/>
      <c r="L35" s="287"/>
      <c r="M35" s="287"/>
      <c r="N35" s="287"/>
    </row>
    <row r="36" spans="1:14" s="308" customFormat="1" ht="14.25" customHeight="1" x14ac:dyDescent="0.25">
      <c r="A36" s="287"/>
      <c r="B36" s="287"/>
      <c r="C36" s="287"/>
      <c r="D36" s="287"/>
      <c r="E36" s="287"/>
      <c r="H36" s="287"/>
      <c r="I36" s="287"/>
      <c r="J36" s="287"/>
      <c r="K36" s="287"/>
      <c r="L36" s="287"/>
      <c r="M36" s="287"/>
      <c r="N36" s="287"/>
    </row>
    <row r="37" spans="1:14" s="308" customFormat="1" ht="14.25" customHeight="1" x14ac:dyDescent="0.25">
      <c r="A37" s="287"/>
      <c r="B37" s="287"/>
      <c r="C37" s="287"/>
      <c r="D37" s="287"/>
      <c r="E37" s="287"/>
      <c r="H37" s="307"/>
      <c r="I37" s="307"/>
      <c r="J37" s="287"/>
      <c r="K37" s="287"/>
      <c r="L37" s="287"/>
      <c r="M37" s="287"/>
      <c r="N37" s="287"/>
    </row>
    <row r="38" spans="1:14" s="308" customFormat="1" ht="14.45" customHeight="1" x14ac:dyDescent="0.25">
      <c r="A38" s="287"/>
      <c r="B38" s="287"/>
      <c r="C38" s="287"/>
      <c r="D38" s="287"/>
      <c r="E38" s="287"/>
      <c r="H38" s="307"/>
      <c r="I38" s="307"/>
      <c r="J38" s="307"/>
      <c r="K38" s="307"/>
      <c r="L38" s="307"/>
      <c r="M38" s="307"/>
      <c r="N38" s="307"/>
    </row>
    <row r="39" spans="1:14" s="308" customFormat="1" ht="14.45" customHeight="1" x14ac:dyDescent="0.25">
      <c r="A39" s="287"/>
      <c r="B39" s="287"/>
      <c r="C39" s="287"/>
      <c r="D39" s="287"/>
      <c r="E39" s="287"/>
      <c r="I39" s="307"/>
      <c r="J39" s="307"/>
      <c r="K39" s="307"/>
      <c r="L39" s="307"/>
      <c r="M39" s="307"/>
      <c r="N39" s="307"/>
    </row>
    <row r="40" spans="1:14" s="308" customFormat="1" ht="14.45" customHeight="1" x14ac:dyDescent="0.25">
      <c r="A40" s="287"/>
      <c r="B40" s="287"/>
      <c r="C40" s="287"/>
      <c r="D40" s="287"/>
      <c r="E40" s="287"/>
      <c r="J40" s="307"/>
      <c r="K40" s="307"/>
      <c r="L40" s="307"/>
      <c r="M40" s="307"/>
      <c r="N40" s="307"/>
    </row>
    <row r="41" spans="1:14" x14ac:dyDescent="0.25">
      <c r="H41" s="308"/>
      <c r="I41" s="308"/>
      <c r="J41" s="308"/>
      <c r="K41" s="308"/>
      <c r="L41" s="308"/>
      <c r="M41" s="308"/>
      <c r="N41" s="308"/>
    </row>
    <row r="42" spans="1:14" x14ac:dyDescent="0.25">
      <c r="H42" s="308"/>
      <c r="I42" s="308"/>
      <c r="J42" s="308"/>
      <c r="K42" s="308"/>
      <c r="L42" s="308"/>
      <c r="M42" s="308"/>
      <c r="N42" s="308"/>
    </row>
    <row r="43" spans="1:14" x14ac:dyDescent="0.25">
      <c r="H43" s="308"/>
      <c r="I43" s="308"/>
      <c r="J43" s="308"/>
      <c r="K43" s="308"/>
      <c r="L43" s="308"/>
      <c r="M43" s="308"/>
      <c r="N43" s="308"/>
    </row>
    <row r="44" spans="1:14" x14ac:dyDescent="0.25">
      <c r="H44" s="308"/>
      <c r="I44" s="308"/>
      <c r="J44" s="308"/>
      <c r="K44" s="308"/>
      <c r="L44" s="308"/>
      <c r="M44" s="308"/>
      <c r="N44" s="308"/>
    </row>
    <row r="45" spans="1:14" x14ac:dyDescent="0.25">
      <c r="H45" s="308"/>
      <c r="I45" s="308"/>
      <c r="J45" s="308"/>
      <c r="K45" s="308"/>
      <c r="L45" s="308"/>
      <c r="M45" s="308"/>
      <c r="N45" s="308"/>
    </row>
    <row r="46" spans="1:14" x14ac:dyDescent="0.25">
      <c r="H46" s="308"/>
      <c r="I46" s="308"/>
      <c r="J46" s="308"/>
      <c r="K46" s="308"/>
      <c r="L46" s="308"/>
      <c r="M46" s="308"/>
      <c r="N46" s="308"/>
    </row>
    <row r="47" spans="1:14" x14ac:dyDescent="0.25">
      <c r="H47" s="308"/>
      <c r="I47" s="308"/>
      <c r="J47" s="308"/>
      <c r="K47" s="308"/>
      <c r="L47" s="308"/>
      <c r="M47" s="308"/>
      <c r="N47" s="308"/>
    </row>
    <row r="48" spans="1:14" x14ac:dyDescent="0.25">
      <c r="I48" s="308"/>
      <c r="J48" s="308"/>
      <c r="K48" s="308"/>
      <c r="L48" s="308"/>
      <c r="M48" s="308"/>
      <c r="N48" s="308"/>
    </row>
    <row r="49" spans="10:14" x14ac:dyDescent="0.25">
      <c r="J49" s="308"/>
      <c r="K49" s="308"/>
      <c r="L49" s="308"/>
      <c r="M49" s="308"/>
      <c r="N49" s="308"/>
    </row>
  </sheetData>
  <mergeCells count="5">
    <mergeCell ref="A22:E22"/>
    <mergeCell ref="A23:E23"/>
    <mergeCell ref="A24:E24"/>
    <mergeCell ref="A25:E25"/>
    <mergeCell ref="A26:E26"/>
  </mergeCells>
  <printOptions horizontalCentered="1"/>
  <pageMargins left="0.7" right="0.7" top="0.75" bottom="0.75" header="0.3" footer="0.3"/>
  <pageSetup orientation="landscape" r:id="rId1"/>
  <headerFooter scaleWithDoc="0">
    <oddHeader xml:space="preserve">&amp;R&amp;"-,Bold"&amp;10Dockets UE-170485 and UG-170486
Exhibit DJG-4
Equity Risk Premium Results
Page 10 of 17&amp;"-,Regular"&amp;11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L36"/>
  <sheetViews>
    <sheetView view="pageLayout" zoomScaleNormal="90" workbookViewId="0">
      <selection activeCell="L3" sqref="L3"/>
    </sheetView>
  </sheetViews>
  <sheetFormatPr defaultRowHeight="15" x14ac:dyDescent="0.25"/>
  <cols>
    <col min="1" max="1" width="31.42578125" bestFit="1" customWidth="1"/>
    <col min="2" max="2" width="2.7109375" style="66" customWidth="1"/>
    <col min="3" max="3" width="10.7109375" customWidth="1"/>
    <col min="4" max="4" width="2.7109375" style="66" customWidth="1"/>
    <col min="5" max="5" width="10.7109375" customWidth="1"/>
    <col min="6" max="6" width="2.7109375" style="66" customWidth="1"/>
    <col min="7" max="7" width="10.7109375" style="106" customWidth="1"/>
    <col min="8" max="8" width="2.7109375" style="109" customWidth="1"/>
    <col min="9" max="9" width="10.7109375" customWidth="1"/>
    <col min="10" max="11" width="2.7109375" style="66" customWidth="1"/>
    <col min="12" max="12" width="10.7109375" customWidth="1"/>
  </cols>
  <sheetData>
    <row r="1" spans="1:12" s="373" customFormat="1" x14ac:dyDescent="0.25"/>
    <row r="2" spans="1:12" s="373" customFormat="1" x14ac:dyDescent="0.25"/>
    <row r="3" spans="1:12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s="134" customFormat="1" ht="19.5" customHeight="1" x14ac:dyDescent="0.25"/>
    <row r="5" spans="1:12" ht="19.5" customHeight="1" x14ac:dyDescent="0.25">
      <c r="E5" s="10" t="s">
        <v>3</v>
      </c>
      <c r="F5" s="65"/>
      <c r="G5" s="104" t="s">
        <v>4</v>
      </c>
      <c r="H5" s="108"/>
      <c r="I5" s="69" t="s">
        <v>5</v>
      </c>
      <c r="J5" s="69"/>
      <c r="K5" s="69"/>
      <c r="L5" s="34" t="s">
        <v>6</v>
      </c>
    </row>
    <row r="6" spans="1:12" s="134" customFormat="1" ht="19.5" customHeight="1" x14ac:dyDescent="0.25">
      <c r="E6" s="132"/>
      <c r="F6" s="132"/>
      <c r="G6" s="132"/>
      <c r="H6" s="132"/>
      <c r="I6" s="94"/>
      <c r="J6" s="94"/>
      <c r="K6" s="94"/>
      <c r="L6" s="132"/>
    </row>
    <row r="7" spans="1:12" ht="19.5" customHeight="1" x14ac:dyDescent="0.25">
      <c r="E7" s="132" t="s">
        <v>102</v>
      </c>
      <c r="F7" s="132"/>
      <c r="G7" s="132" t="s">
        <v>103</v>
      </c>
      <c r="H7" s="132"/>
      <c r="I7" s="132" t="s">
        <v>104</v>
      </c>
      <c r="J7" s="95"/>
      <c r="K7" s="132"/>
      <c r="L7" s="132" t="s">
        <v>105</v>
      </c>
    </row>
    <row r="8" spans="1:12" ht="19.5" customHeight="1" x14ac:dyDescent="0.25">
      <c r="A8" s="2" t="s">
        <v>0</v>
      </c>
      <c r="B8" s="69"/>
      <c r="C8" s="2" t="s">
        <v>1</v>
      </c>
      <c r="D8" s="69"/>
      <c r="E8" s="5" t="s">
        <v>106</v>
      </c>
      <c r="F8" s="6"/>
      <c r="G8" s="5" t="s">
        <v>62</v>
      </c>
      <c r="H8" s="6"/>
      <c r="I8" s="5" t="s">
        <v>107</v>
      </c>
      <c r="J8" s="49"/>
      <c r="K8" s="6"/>
      <c r="L8" s="14" t="s">
        <v>75</v>
      </c>
    </row>
    <row r="9" spans="1:12" ht="19.5" customHeight="1" x14ac:dyDescent="0.25">
      <c r="A9" s="3"/>
      <c r="B9" s="69"/>
      <c r="C9" s="3"/>
      <c r="D9" s="69"/>
      <c r="E9" s="6"/>
      <c r="F9" s="6"/>
      <c r="G9" s="6"/>
      <c r="H9" s="6"/>
      <c r="I9" s="6"/>
      <c r="J9" s="49"/>
      <c r="K9" s="6"/>
    </row>
    <row r="10" spans="1:12" ht="19.5" customHeight="1" x14ac:dyDescent="0.25">
      <c r="A10" t="str">
        <f>'3 Proxy Sum'!A6</f>
        <v>ALLETE</v>
      </c>
      <c r="C10" s="98" t="str">
        <f>'3 Proxy Sum'!C6</f>
        <v>ALE</v>
      </c>
      <c r="D10" s="65"/>
      <c r="E10" s="105">
        <f>'8 Risk Free Rate'!$E$36</f>
        <v>2.8073333333333336E-2</v>
      </c>
      <c r="F10" s="8"/>
      <c r="G10" s="210">
        <f>'9 Beta'!E9</f>
        <v>0.75</v>
      </c>
      <c r="H10" s="47"/>
      <c r="I10" s="349">
        <f>'11 ERP Result'!$C$18</f>
        <v>5.7000000000000002E-2</v>
      </c>
      <c r="J10" s="68"/>
      <c r="K10" s="67"/>
      <c r="L10" s="33">
        <f>E10+G10*I10</f>
        <v>7.0823333333333335E-2</v>
      </c>
    </row>
    <row r="11" spans="1:12" ht="19.5" customHeight="1" x14ac:dyDescent="0.25">
      <c r="A11" s="282" t="str">
        <f>'3 Proxy Sum'!A7</f>
        <v>Ameren Corp.</v>
      </c>
      <c r="C11" s="98" t="str">
        <f>'3 Proxy Sum'!C7</f>
        <v>AEE</v>
      </c>
      <c r="D11" s="65"/>
      <c r="E11" s="105">
        <f>'8 Risk Free Rate'!$E$36</f>
        <v>2.8073333333333336E-2</v>
      </c>
      <c r="F11" s="8"/>
      <c r="G11" s="210">
        <f>'9 Beta'!E10</f>
        <v>0.65</v>
      </c>
      <c r="H11" s="47"/>
      <c r="I11" s="349">
        <f>'11 ERP Result'!$C$18</f>
        <v>5.7000000000000002E-2</v>
      </c>
      <c r="J11" s="68"/>
      <c r="K11" s="67"/>
      <c r="L11" s="33">
        <f t="shared" ref="L11:L27" si="0">E11+G11*I11</f>
        <v>6.5123333333333339E-2</v>
      </c>
    </row>
    <row r="12" spans="1:12" ht="19.5" customHeight="1" x14ac:dyDescent="0.25">
      <c r="A12" s="282" t="str">
        <f>'3 Proxy Sum'!A8</f>
        <v>Avangrid, Inc.</v>
      </c>
      <c r="C12" s="98" t="str">
        <f>'3 Proxy Sum'!C8</f>
        <v>AGR</v>
      </c>
      <c r="D12" s="65"/>
      <c r="E12" s="105">
        <f>'8 Risk Free Rate'!$E$36</f>
        <v>2.8073333333333336E-2</v>
      </c>
      <c r="F12" s="8"/>
      <c r="G12" s="210" t="str">
        <f>'9 Beta'!E11</f>
        <v>NMF</v>
      </c>
      <c r="H12" s="47"/>
      <c r="I12" s="349">
        <f>'11 ERP Result'!$C$18</f>
        <v>5.7000000000000002E-2</v>
      </c>
      <c r="J12" s="68"/>
      <c r="K12" s="67"/>
      <c r="L12" s="33" t="s">
        <v>351</v>
      </c>
    </row>
    <row r="13" spans="1:12" ht="19.5" customHeight="1" x14ac:dyDescent="0.25">
      <c r="A13" s="282" t="str">
        <f>'3 Proxy Sum'!A9</f>
        <v>Avista Corp.</v>
      </c>
      <c r="C13" s="98" t="str">
        <f>'3 Proxy Sum'!C9</f>
        <v>AVA</v>
      </c>
      <c r="D13" s="65"/>
      <c r="E13" s="105">
        <f>'8 Risk Free Rate'!$E$36</f>
        <v>2.8073333333333336E-2</v>
      </c>
      <c r="F13" s="8"/>
      <c r="G13" s="210">
        <f>'9 Beta'!E12</f>
        <v>0.7</v>
      </c>
      <c r="H13" s="47"/>
      <c r="I13" s="349">
        <f>'11 ERP Result'!$C$18</f>
        <v>5.7000000000000002E-2</v>
      </c>
      <c r="J13" s="68"/>
      <c r="K13" s="67"/>
      <c r="L13" s="33">
        <f t="shared" si="0"/>
        <v>6.797333333333333E-2</v>
      </c>
    </row>
    <row r="14" spans="1:12" ht="19.5" customHeight="1" x14ac:dyDescent="0.25">
      <c r="A14" s="282" t="str">
        <f>'3 Proxy Sum'!A10</f>
        <v>Black Hills</v>
      </c>
      <c r="C14" s="98" t="str">
        <f>'3 Proxy Sum'!C10</f>
        <v>BKH</v>
      </c>
      <c r="D14" s="65"/>
      <c r="E14" s="105">
        <f>'8 Risk Free Rate'!$E$36</f>
        <v>2.8073333333333336E-2</v>
      </c>
      <c r="F14" s="8"/>
      <c r="G14" s="210">
        <f>'9 Beta'!E13</f>
        <v>0.85</v>
      </c>
      <c r="H14" s="47"/>
      <c r="I14" s="349">
        <f>'11 ERP Result'!$C$18</f>
        <v>5.7000000000000002E-2</v>
      </c>
      <c r="J14" s="68"/>
      <c r="K14" s="67"/>
      <c r="L14" s="33">
        <f t="shared" si="0"/>
        <v>7.6523333333333332E-2</v>
      </c>
    </row>
    <row r="15" spans="1:12" ht="19.5" customHeight="1" x14ac:dyDescent="0.25">
      <c r="A15" s="282" t="str">
        <f>'3 Proxy Sum'!A11</f>
        <v>CMS Energy Corp.</v>
      </c>
      <c r="C15" s="98" t="str">
        <f>'3 Proxy Sum'!C11</f>
        <v>CMS</v>
      </c>
      <c r="D15" s="65"/>
      <c r="E15" s="105">
        <f>'8 Risk Free Rate'!$E$36</f>
        <v>2.8073333333333336E-2</v>
      </c>
      <c r="F15" s="8"/>
      <c r="G15" s="210">
        <f>'9 Beta'!E14</f>
        <v>0.65</v>
      </c>
      <c r="H15" s="47"/>
      <c r="I15" s="349">
        <f>'11 ERP Result'!$C$18</f>
        <v>5.7000000000000002E-2</v>
      </c>
      <c r="J15" s="68"/>
      <c r="K15" s="67"/>
      <c r="L15" s="33">
        <f t="shared" si="0"/>
        <v>6.5123333333333339E-2</v>
      </c>
    </row>
    <row r="16" spans="1:12" ht="19.5" customHeight="1" x14ac:dyDescent="0.25">
      <c r="A16" s="282" t="str">
        <f>'3 Proxy Sum'!A12</f>
        <v>Dominion Energy</v>
      </c>
      <c r="C16" s="98" t="str">
        <f>'3 Proxy Sum'!C12</f>
        <v>D</v>
      </c>
      <c r="D16" s="65"/>
      <c r="E16" s="105">
        <f>'8 Risk Free Rate'!$E$36</f>
        <v>2.8073333333333336E-2</v>
      </c>
      <c r="F16" s="8"/>
      <c r="G16" s="210">
        <f>'9 Beta'!E15</f>
        <v>0.65</v>
      </c>
      <c r="H16" s="47"/>
      <c r="I16" s="349">
        <f>'11 ERP Result'!$C$18</f>
        <v>5.7000000000000002E-2</v>
      </c>
      <c r="J16" s="68"/>
      <c r="K16" s="67"/>
      <c r="L16" s="33">
        <f t="shared" si="0"/>
        <v>6.5123333333333339E-2</v>
      </c>
    </row>
    <row r="17" spans="1:12" ht="19.5" customHeight="1" x14ac:dyDescent="0.25">
      <c r="A17" s="282" t="str">
        <f>'3 Proxy Sum'!A13</f>
        <v>DTE Energy Co.</v>
      </c>
      <c r="C17" s="98" t="str">
        <f>'3 Proxy Sum'!C13</f>
        <v>DTE</v>
      </c>
      <c r="D17" s="65"/>
      <c r="E17" s="105">
        <f>'8 Risk Free Rate'!$E$36</f>
        <v>2.8073333333333336E-2</v>
      </c>
      <c r="F17" s="8"/>
      <c r="G17" s="210">
        <f>'9 Beta'!E16</f>
        <v>0.65</v>
      </c>
      <c r="H17" s="47"/>
      <c r="I17" s="349">
        <f>'11 ERP Result'!$C$18</f>
        <v>5.7000000000000002E-2</v>
      </c>
      <c r="J17" s="68"/>
      <c r="K17" s="67"/>
      <c r="L17" s="33">
        <f t="shared" si="0"/>
        <v>6.5123333333333339E-2</v>
      </c>
    </row>
    <row r="18" spans="1:12" s="106" customFormat="1" ht="19.5" customHeight="1" x14ac:dyDescent="0.25">
      <c r="A18" s="282" t="str">
        <f>'3 Proxy Sum'!A14</f>
        <v>Edison International</v>
      </c>
      <c r="C18" s="98" t="str">
        <f>'3 Proxy Sum'!C14</f>
        <v>EIX</v>
      </c>
      <c r="D18" s="104"/>
      <c r="E18" s="105">
        <f>'8 Risk Free Rate'!$E$36</f>
        <v>2.8073333333333336E-2</v>
      </c>
      <c r="F18" s="8"/>
      <c r="G18" s="210">
        <f>'9 Beta'!E17</f>
        <v>0.6</v>
      </c>
      <c r="H18" s="47"/>
      <c r="I18" s="349">
        <f>'11 ERP Result'!$C$18</f>
        <v>5.7000000000000002E-2</v>
      </c>
      <c r="J18" s="68"/>
      <c r="K18" s="83"/>
      <c r="L18" s="33">
        <f t="shared" si="0"/>
        <v>6.2273333333333333E-2</v>
      </c>
    </row>
    <row r="19" spans="1:12" s="106" customFormat="1" ht="19.5" customHeight="1" x14ac:dyDescent="0.25">
      <c r="A19" s="282" t="str">
        <f>'3 Proxy Sum'!A15</f>
        <v>El Paso Electric</v>
      </c>
      <c r="C19" s="98" t="str">
        <f>'3 Proxy Sum'!C15</f>
        <v>EE</v>
      </c>
      <c r="D19" s="104"/>
      <c r="E19" s="105">
        <f>'8 Risk Free Rate'!$E$36</f>
        <v>2.8073333333333336E-2</v>
      </c>
      <c r="F19" s="8"/>
      <c r="G19" s="210">
        <f>'9 Beta'!E18</f>
        <v>0.75</v>
      </c>
      <c r="H19" s="47"/>
      <c r="I19" s="349">
        <f>'11 ERP Result'!$C$18</f>
        <v>5.7000000000000002E-2</v>
      </c>
      <c r="J19" s="68"/>
      <c r="K19" s="83"/>
      <c r="L19" s="33">
        <f t="shared" si="0"/>
        <v>7.0823333333333335E-2</v>
      </c>
    </row>
    <row r="20" spans="1:12" s="106" customFormat="1" ht="19.5" customHeight="1" x14ac:dyDescent="0.25">
      <c r="A20" s="282" t="str">
        <f>'3 Proxy Sum'!A16</f>
        <v>Exelon Corp.</v>
      </c>
      <c r="C20" s="98" t="str">
        <f>'3 Proxy Sum'!C16</f>
        <v>EXC</v>
      </c>
      <c r="D20" s="104"/>
      <c r="E20" s="105">
        <f>'8 Risk Free Rate'!$E$36</f>
        <v>2.8073333333333336E-2</v>
      </c>
      <c r="F20" s="8"/>
      <c r="G20" s="210">
        <f>'9 Beta'!E19</f>
        <v>0.7</v>
      </c>
      <c r="H20" s="47"/>
      <c r="I20" s="349">
        <f>'11 ERP Result'!$C$18</f>
        <v>5.7000000000000002E-2</v>
      </c>
      <c r="J20" s="68"/>
      <c r="K20" s="83"/>
      <c r="L20" s="33">
        <f t="shared" si="0"/>
        <v>6.797333333333333E-2</v>
      </c>
    </row>
    <row r="21" spans="1:12" s="106" customFormat="1" ht="19.5" customHeight="1" x14ac:dyDescent="0.25">
      <c r="A21" s="282" t="str">
        <f>'3 Proxy Sum'!A17</f>
        <v>Hawaiian Elec.</v>
      </c>
      <c r="C21" s="98" t="str">
        <f>'3 Proxy Sum'!C17</f>
        <v>HE</v>
      </c>
      <c r="D21" s="104"/>
      <c r="E21" s="105">
        <f>'8 Risk Free Rate'!$E$36</f>
        <v>2.8073333333333336E-2</v>
      </c>
      <c r="F21" s="8"/>
      <c r="G21" s="210">
        <f>'9 Beta'!E20</f>
        <v>0.7</v>
      </c>
      <c r="H21" s="47"/>
      <c r="I21" s="349">
        <f>'11 ERP Result'!$C$18</f>
        <v>5.7000000000000002E-2</v>
      </c>
      <c r="J21" s="68"/>
      <c r="K21" s="83"/>
      <c r="L21" s="33">
        <f t="shared" si="0"/>
        <v>6.797333333333333E-2</v>
      </c>
    </row>
    <row r="22" spans="1:12" s="106" customFormat="1" ht="19.5" customHeight="1" x14ac:dyDescent="0.25">
      <c r="A22" s="282" t="str">
        <f>'3 Proxy Sum'!A18</f>
        <v>IDACORP, Inc.</v>
      </c>
      <c r="C22" s="98" t="str">
        <f>'3 Proxy Sum'!C18</f>
        <v>IDA</v>
      </c>
      <c r="D22" s="104"/>
      <c r="E22" s="105">
        <f>'8 Risk Free Rate'!$E$36</f>
        <v>2.8073333333333336E-2</v>
      </c>
      <c r="F22" s="8"/>
      <c r="G22" s="210">
        <f>'9 Beta'!E21</f>
        <v>0.7</v>
      </c>
      <c r="H22" s="47"/>
      <c r="I22" s="349">
        <f>'11 ERP Result'!$C$18</f>
        <v>5.7000000000000002E-2</v>
      </c>
      <c r="J22" s="68"/>
      <c r="K22" s="83"/>
      <c r="L22" s="33">
        <f t="shared" si="0"/>
        <v>6.797333333333333E-2</v>
      </c>
    </row>
    <row r="23" spans="1:12" s="106" customFormat="1" ht="19.5" customHeight="1" x14ac:dyDescent="0.25">
      <c r="A23" s="282" t="str">
        <f>'3 Proxy Sum'!A19</f>
        <v>NorthWestern Corp.</v>
      </c>
      <c r="C23" s="98" t="str">
        <f>'3 Proxy Sum'!C19</f>
        <v>NWE</v>
      </c>
      <c r="D23" s="104"/>
      <c r="E23" s="105">
        <f>'8 Risk Free Rate'!$E$36</f>
        <v>2.8073333333333336E-2</v>
      </c>
      <c r="F23" s="8"/>
      <c r="G23" s="210">
        <f>'9 Beta'!E22</f>
        <v>0.65</v>
      </c>
      <c r="H23" s="47"/>
      <c r="I23" s="349">
        <f>'11 ERP Result'!$C$18</f>
        <v>5.7000000000000002E-2</v>
      </c>
      <c r="J23" s="68"/>
      <c r="K23" s="83"/>
      <c r="L23" s="33">
        <f t="shared" si="0"/>
        <v>6.5123333333333339E-2</v>
      </c>
    </row>
    <row r="24" spans="1:12" s="106" customFormat="1" ht="19.5" customHeight="1" x14ac:dyDescent="0.25">
      <c r="A24" s="282" t="str">
        <f>'3 Proxy Sum'!A20</f>
        <v>Otter Tail Corp.</v>
      </c>
      <c r="C24" s="98" t="str">
        <f>'3 Proxy Sum'!C20</f>
        <v>OTTR</v>
      </c>
      <c r="D24" s="104"/>
      <c r="E24" s="105">
        <f>'8 Risk Free Rate'!$E$36</f>
        <v>2.8073333333333336E-2</v>
      </c>
      <c r="F24" s="8"/>
      <c r="G24" s="210">
        <f>'9 Beta'!E23</f>
        <v>0.9</v>
      </c>
      <c r="H24" s="47"/>
      <c r="I24" s="349">
        <f>'11 ERP Result'!$C$18</f>
        <v>5.7000000000000002E-2</v>
      </c>
      <c r="J24" s="68"/>
      <c r="K24" s="83"/>
      <c r="L24" s="33">
        <f t="shared" si="0"/>
        <v>7.9373333333333337E-2</v>
      </c>
    </row>
    <row r="25" spans="1:12" s="106" customFormat="1" ht="19.5" customHeight="1" x14ac:dyDescent="0.25">
      <c r="A25" s="282" t="str">
        <f>'3 Proxy Sum'!A21</f>
        <v>PG&amp;E Corp.</v>
      </c>
      <c r="C25" s="98" t="str">
        <f>'3 Proxy Sum'!C21</f>
        <v>PCG</v>
      </c>
      <c r="D25" s="104"/>
      <c r="E25" s="105">
        <f>'8 Risk Free Rate'!$E$36</f>
        <v>2.8073333333333336E-2</v>
      </c>
      <c r="F25" s="8"/>
      <c r="G25" s="210">
        <f>'9 Beta'!E24</f>
        <v>0.65</v>
      </c>
      <c r="H25" s="47"/>
      <c r="I25" s="349">
        <f>'11 ERP Result'!$C$18</f>
        <v>5.7000000000000002E-2</v>
      </c>
      <c r="J25" s="68"/>
      <c r="K25" s="83"/>
      <c r="L25" s="33">
        <f t="shared" si="0"/>
        <v>6.5123333333333339E-2</v>
      </c>
    </row>
    <row r="26" spans="1:12" s="106" customFormat="1" ht="19.5" customHeight="1" x14ac:dyDescent="0.25">
      <c r="A26" s="282" t="str">
        <f>'3 Proxy Sum'!A22</f>
        <v>Portland General</v>
      </c>
      <c r="C26" s="98" t="str">
        <f>'3 Proxy Sum'!C22</f>
        <v>POR</v>
      </c>
      <c r="D26" s="104"/>
      <c r="E26" s="105">
        <f>'8 Risk Free Rate'!$E$36</f>
        <v>2.8073333333333336E-2</v>
      </c>
      <c r="F26" s="8"/>
      <c r="G26" s="210">
        <f>'9 Beta'!E25</f>
        <v>0.7</v>
      </c>
      <c r="H26" s="47"/>
      <c r="I26" s="349">
        <f>'11 ERP Result'!$C$18</f>
        <v>5.7000000000000002E-2</v>
      </c>
      <c r="J26" s="68"/>
      <c r="K26" s="83"/>
      <c r="L26" s="33">
        <f t="shared" si="0"/>
        <v>6.797333333333333E-2</v>
      </c>
    </row>
    <row r="27" spans="1:12" s="106" customFormat="1" ht="19.5" customHeight="1" x14ac:dyDescent="0.25">
      <c r="A27" s="22" t="str">
        <f>'3 Proxy Sum'!A23</f>
        <v>Sempra Energy</v>
      </c>
      <c r="C27" s="98" t="str">
        <f>'3 Proxy Sum'!C23</f>
        <v>SRE</v>
      </c>
      <c r="D27" s="104"/>
      <c r="E27" s="105">
        <f>'8 Risk Free Rate'!$E$36</f>
        <v>2.8073333333333336E-2</v>
      </c>
      <c r="F27" s="8"/>
      <c r="G27" s="156">
        <f>'9 Beta'!E26</f>
        <v>0.8</v>
      </c>
      <c r="H27" s="47"/>
      <c r="I27" s="349">
        <f>'11 ERP Result'!$C$18</f>
        <v>5.7000000000000002E-2</v>
      </c>
      <c r="J27" s="68"/>
      <c r="K27" s="83"/>
      <c r="L27" s="138">
        <f t="shared" si="0"/>
        <v>7.3673333333333341E-2</v>
      </c>
    </row>
    <row r="28" spans="1:12" ht="19.5" customHeight="1" thickBot="1" x14ac:dyDescent="0.3">
      <c r="C28" s="10"/>
      <c r="D28" s="65"/>
      <c r="E28" s="8"/>
      <c r="F28" s="8"/>
      <c r="G28" s="8"/>
      <c r="H28" s="8"/>
      <c r="I28" s="11"/>
      <c r="J28" s="70"/>
      <c r="K28" s="70"/>
    </row>
    <row r="29" spans="1:12" ht="19.5" customHeight="1" thickBot="1" x14ac:dyDescent="0.35">
      <c r="A29" s="135" t="s">
        <v>80</v>
      </c>
      <c r="B29" s="13"/>
      <c r="C29" s="10"/>
      <c r="D29" s="65"/>
      <c r="E29" s="8"/>
      <c r="F29" s="8"/>
      <c r="G29" s="47">
        <f>AVERAGE(G10:G27)</f>
        <v>0.70882352941176474</v>
      </c>
      <c r="H29" s="47"/>
      <c r="I29" s="11"/>
      <c r="J29" s="70"/>
      <c r="K29" s="70"/>
      <c r="L29" s="217">
        <f>AVERAGE(L10:L27)</f>
        <v>6.8476274509803911E-2</v>
      </c>
    </row>
    <row r="30" spans="1:12" s="51" customFormat="1" ht="19.5" customHeight="1" x14ac:dyDescent="0.25">
      <c r="A30" s="155"/>
      <c r="B30" s="155"/>
      <c r="C30" s="93"/>
      <c r="D30" s="93"/>
      <c r="E30" s="151"/>
      <c r="F30" s="151"/>
      <c r="G30" s="156"/>
      <c r="H30" s="156"/>
      <c r="I30" s="153"/>
      <c r="J30" s="153"/>
      <c r="K30" s="153"/>
      <c r="L30" s="157"/>
    </row>
    <row r="31" spans="1:12" s="51" customFormat="1" x14ac:dyDescent="0.25">
      <c r="A31" s="13"/>
      <c r="B31" s="13"/>
      <c r="C31" s="50"/>
      <c r="D31" s="65"/>
      <c r="E31" s="8"/>
      <c r="F31" s="8"/>
      <c r="G31" s="9"/>
      <c r="H31" s="9"/>
      <c r="I31" s="52"/>
      <c r="J31" s="70"/>
      <c r="K31" s="70"/>
      <c r="L31" s="53"/>
    </row>
    <row r="33" spans="1:12" s="150" customFormat="1" ht="14.45" customHeight="1" x14ac:dyDescent="0.2">
      <c r="A33" s="399" t="s">
        <v>328</v>
      </c>
      <c r="B33" s="399"/>
      <c r="C33" s="399"/>
      <c r="D33" s="399"/>
      <c r="E33" s="399"/>
      <c r="F33" s="399"/>
      <c r="G33" s="399"/>
      <c r="H33" s="399"/>
      <c r="I33" s="399"/>
      <c r="J33" s="399"/>
      <c r="K33" s="399"/>
      <c r="L33" s="399"/>
    </row>
    <row r="34" spans="1:12" s="150" customFormat="1" ht="14.45" customHeight="1" x14ac:dyDescent="0.2">
      <c r="A34" s="399" t="s">
        <v>329</v>
      </c>
      <c r="B34" s="399"/>
      <c r="C34" s="399"/>
      <c r="D34" s="399"/>
      <c r="E34" s="399"/>
      <c r="F34" s="399"/>
      <c r="G34" s="399"/>
      <c r="H34" s="399"/>
      <c r="I34" s="399"/>
      <c r="J34" s="399"/>
      <c r="K34" s="399"/>
      <c r="L34" s="399"/>
    </row>
    <row r="35" spans="1:12" s="150" customFormat="1" ht="14.45" customHeight="1" x14ac:dyDescent="0.2">
      <c r="A35" s="399" t="s">
        <v>330</v>
      </c>
      <c r="B35" s="399"/>
      <c r="C35" s="399"/>
      <c r="D35" s="399"/>
      <c r="E35" s="399"/>
      <c r="F35" s="399"/>
      <c r="G35" s="399"/>
      <c r="H35" s="399"/>
      <c r="I35" s="399"/>
      <c r="J35" s="399"/>
      <c r="K35" s="399"/>
      <c r="L35" s="399"/>
    </row>
    <row r="36" spans="1:12" s="150" customFormat="1" ht="14.45" customHeight="1" x14ac:dyDescent="0.2">
      <c r="A36" s="399" t="s">
        <v>144</v>
      </c>
      <c r="B36" s="399"/>
      <c r="C36" s="399"/>
      <c r="D36" s="399"/>
      <c r="E36" s="399"/>
      <c r="F36" s="399"/>
      <c r="G36" s="399"/>
      <c r="H36" s="399"/>
      <c r="I36" s="399"/>
      <c r="J36" s="399"/>
      <c r="K36" s="399"/>
      <c r="L36" s="399"/>
    </row>
  </sheetData>
  <mergeCells count="4">
    <mergeCell ref="A36:L36"/>
    <mergeCell ref="A33:L33"/>
    <mergeCell ref="A34:L34"/>
    <mergeCell ref="A35:L35"/>
  </mergeCells>
  <printOptions horizontalCentered="1"/>
  <pageMargins left="0.7" right="0.7" top="0.75" bottom="0.75" header="0.3" footer="0.3"/>
  <pageSetup scale="89" orientation="portrait" r:id="rId1"/>
  <headerFooter scaleWithDoc="0">
    <oddHeader>&amp;R&amp;"-,Bold"&amp;10Dockets UE-170485 and UG-170486
Exhibit DJG-4
CAPM Results
Page 11 of 17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E14"/>
  <sheetViews>
    <sheetView tabSelected="1" view="pageLayout" zoomScaleNormal="110" workbookViewId="0">
      <selection activeCell="B1" sqref="B1"/>
    </sheetView>
  </sheetViews>
  <sheetFormatPr defaultRowHeight="15" x14ac:dyDescent="0.25"/>
  <cols>
    <col min="1" max="1" width="35.7109375" customWidth="1"/>
    <col min="2" max="2" width="4.7109375" style="39" customWidth="1"/>
    <col min="3" max="3" width="28.7109375" customWidth="1"/>
  </cols>
  <sheetData>
    <row r="1" spans="1:5" s="373" customFormat="1" x14ac:dyDescent="0.25">
      <c r="E1" s="374" t="s">
        <v>364</v>
      </c>
    </row>
    <row r="2" spans="1:5" s="373" customFormat="1" x14ac:dyDescent="0.25">
      <c r="E2" s="374" t="s">
        <v>365</v>
      </c>
    </row>
    <row r="3" spans="1:5" s="373" customFormat="1" x14ac:dyDescent="0.25">
      <c r="E3" s="374" t="s">
        <v>373</v>
      </c>
    </row>
    <row r="4" spans="1:5" s="373" customFormat="1" x14ac:dyDescent="0.25">
      <c r="E4" s="374" t="s">
        <v>372</v>
      </c>
    </row>
    <row r="5" spans="1:5" s="51" customFormat="1" x14ac:dyDescent="0.25">
      <c r="A5" s="22"/>
      <c r="B5" s="22"/>
      <c r="C5" s="22"/>
    </row>
    <row r="7" spans="1:5" ht="18.75" x14ac:dyDescent="0.3">
      <c r="A7" s="172" t="s">
        <v>112</v>
      </c>
      <c r="B7" s="135"/>
      <c r="C7" s="174" t="s">
        <v>87</v>
      </c>
    </row>
    <row r="8" spans="1:5" ht="18.75" x14ac:dyDescent="0.3">
      <c r="A8" s="175"/>
      <c r="B8" s="175"/>
      <c r="C8" s="175"/>
    </row>
    <row r="9" spans="1:5" ht="18.75" x14ac:dyDescent="0.3">
      <c r="A9" s="175" t="s">
        <v>111</v>
      </c>
      <c r="B9" s="175"/>
      <c r="C9" s="215">
        <f>'7 DCF Result'!H12</f>
        <v>7.247360632087152E-2</v>
      </c>
    </row>
    <row r="10" spans="1:5" ht="18.75" x14ac:dyDescent="0.3">
      <c r="A10" s="175"/>
      <c r="B10" s="175"/>
      <c r="C10" s="215"/>
    </row>
    <row r="11" spans="1:5" ht="18.75" x14ac:dyDescent="0.3">
      <c r="A11" s="177" t="s">
        <v>22</v>
      </c>
      <c r="B11" s="175"/>
      <c r="C11" s="216">
        <f>'12 CAPM Result'!L29</f>
        <v>6.8476274509803911E-2</v>
      </c>
    </row>
    <row r="12" spans="1:5" ht="18.75" x14ac:dyDescent="0.3">
      <c r="A12" s="175"/>
      <c r="B12" s="175"/>
      <c r="C12" s="176"/>
    </row>
    <row r="13" spans="1:5" ht="18.75" x14ac:dyDescent="0.3">
      <c r="A13" s="135" t="s">
        <v>80</v>
      </c>
      <c r="B13" s="173"/>
      <c r="C13" s="214">
        <f>AVERAGE(C9,C11)</f>
        <v>7.0474940415337722E-2</v>
      </c>
    </row>
    <row r="14" spans="1:5" x14ac:dyDescent="0.25">
      <c r="A14" s="22"/>
      <c r="B14" s="22"/>
      <c r="C14" s="22"/>
    </row>
  </sheetData>
  <printOptions horizontalCentered="1"/>
  <pageMargins left="0.7" right="0.7" top="0.75" bottom="0.75" header="0.3" footer="0.3"/>
  <pageSetup orientation="portrait" horizontalDpi="1200" verticalDpi="1200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H24"/>
  <sheetViews>
    <sheetView view="pageLayout" zoomScaleNormal="100" workbookViewId="0">
      <selection activeCell="H5" sqref="H5"/>
    </sheetView>
  </sheetViews>
  <sheetFormatPr defaultRowHeight="15" x14ac:dyDescent="0.25"/>
  <cols>
    <col min="1" max="1" width="28.140625" style="226" customWidth="1"/>
    <col min="2" max="2" width="4.28515625" style="226" customWidth="1"/>
    <col min="3" max="3" width="12.7109375" style="226" customWidth="1"/>
    <col min="4" max="4" width="4.7109375" style="226" customWidth="1"/>
    <col min="5" max="16384" width="9.140625" style="226"/>
  </cols>
  <sheetData>
    <row r="1" spans="1:8" s="373" customFormat="1" x14ac:dyDescent="0.25">
      <c r="H1" s="374" t="s">
        <v>364</v>
      </c>
    </row>
    <row r="2" spans="1:8" s="373" customFormat="1" x14ac:dyDescent="0.25">
      <c r="H2" s="374" t="s">
        <v>365</v>
      </c>
    </row>
    <row r="3" spans="1:8" s="373" customFormat="1" x14ac:dyDescent="0.25">
      <c r="H3" s="374" t="s">
        <v>374</v>
      </c>
    </row>
    <row r="4" spans="1:8" s="373" customFormat="1" x14ac:dyDescent="0.25">
      <c r="H4" s="374" t="s">
        <v>375</v>
      </c>
    </row>
    <row r="5" spans="1:8" x14ac:dyDescent="0.25">
      <c r="A5" s="22"/>
      <c r="B5" s="22"/>
      <c r="C5" s="22"/>
      <c r="D5" s="22"/>
    </row>
    <row r="7" spans="1:8" x14ac:dyDescent="0.25">
      <c r="A7" s="225" t="s">
        <v>13</v>
      </c>
      <c r="B7" s="224"/>
      <c r="C7" s="225" t="s">
        <v>155</v>
      </c>
    </row>
    <row r="9" spans="1:8" x14ac:dyDescent="0.25">
      <c r="A9" s="226" t="s">
        <v>157</v>
      </c>
      <c r="C9" s="96">
        <f>'11 ERP Result'!C8+'8 Risk Free Rate'!E36</f>
        <v>8.5073333333333334E-2</v>
      </c>
      <c r="D9" s="224" t="s">
        <v>3</v>
      </c>
    </row>
    <row r="10" spans="1:8" x14ac:dyDescent="0.25">
      <c r="D10" s="224"/>
    </row>
    <row r="11" spans="1:8" x14ac:dyDescent="0.25">
      <c r="A11" s="226" t="s">
        <v>156</v>
      </c>
      <c r="C11" s="96">
        <f>'11 ERP Result'!C10+'8 Risk Free Rate'!E36</f>
        <v>6.8273333333333339E-2</v>
      </c>
      <c r="D11" s="224" t="s">
        <v>4</v>
      </c>
    </row>
    <row r="12" spans="1:8" x14ac:dyDescent="0.25">
      <c r="C12" s="96"/>
      <c r="D12" s="224"/>
    </row>
    <row r="13" spans="1:8" x14ac:dyDescent="0.25">
      <c r="A13" s="226" t="s">
        <v>99</v>
      </c>
      <c r="C13" s="96">
        <f>'11 ERP Result'!C14+'8 Risk Free Rate'!E36</f>
        <v>8.0440000000000011E-2</v>
      </c>
      <c r="D13" s="224" t="s">
        <v>5</v>
      </c>
    </row>
    <row r="14" spans="1:8" x14ac:dyDescent="0.25">
      <c r="C14" s="96"/>
      <c r="D14" s="224"/>
    </row>
    <row r="15" spans="1:8" x14ac:dyDescent="0.25">
      <c r="A15" s="22" t="s">
        <v>134</v>
      </c>
      <c r="B15" s="27"/>
      <c r="C15" s="233">
        <f>'10 Implied ERP'!C30</f>
        <v>7.6829613130545274E-2</v>
      </c>
      <c r="D15" s="224" t="s">
        <v>6</v>
      </c>
    </row>
    <row r="16" spans="1:8" x14ac:dyDescent="0.25">
      <c r="A16" s="27"/>
      <c r="B16" s="27"/>
      <c r="C16" s="223"/>
      <c r="D16" s="224"/>
    </row>
    <row r="17" spans="1:7" x14ac:dyDescent="0.25">
      <c r="A17" s="166" t="s">
        <v>80</v>
      </c>
      <c r="B17" s="31"/>
      <c r="C17" s="234">
        <f>AVERAGE(C9:C16)</f>
        <v>7.765406994930299E-2</v>
      </c>
      <c r="D17" s="224"/>
    </row>
    <row r="18" spans="1:7" x14ac:dyDescent="0.25">
      <c r="A18" s="22"/>
      <c r="B18" s="22"/>
      <c r="C18" s="22"/>
      <c r="D18" s="22"/>
    </row>
    <row r="19" spans="1:7" x14ac:dyDescent="0.25">
      <c r="A19" s="27"/>
      <c r="B19" s="27"/>
      <c r="C19" s="27"/>
    </row>
    <row r="21" spans="1:7" x14ac:dyDescent="0.25">
      <c r="A21" s="399" t="s">
        <v>168</v>
      </c>
      <c r="B21" s="399"/>
      <c r="C21" s="399"/>
      <c r="D21" s="399"/>
    </row>
    <row r="22" spans="1:7" x14ac:dyDescent="0.25">
      <c r="A22" s="399" t="s">
        <v>167</v>
      </c>
      <c r="B22" s="399"/>
      <c r="C22" s="399"/>
      <c r="D22" s="399"/>
    </row>
    <row r="23" spans="1:7" x14ac:dyDescent="0.25">
      <c r="A23" s="399" t="s">
        <v>166</v>
      </c>
      <c r="B23" s="399"/>
      <c r="C23" s="399"/>
      <c r="D23" s="399"/>
      <c r="E23" s="227"/>
      <c r="F23" s="227"/>
      <c r="G23" s="227"/>
    </row>
    <row r="24" spans="1:7" x14ac:dyDescent="0.25">
      <c r="A24" s="399" t="s">
        <v>158</v>
      </c>
      <c r="B24" s="399"/>
      <c r="C24" s="399"/>
      <c r="D24" s="399"/>
      <c r="E24" s="227"/>
      <c r="F24" s="227"/>
      <c r="G24" s="227"/>
    </row>
  </sheetData>
  <mergeCells count="4">
    <mergeCell ref="A21:D21"/>
    <mergeCell ref="A22:D22"/>
    <mergeCell ref="A23:D23"/>
    <mergeCell ref="A24:D24"/>
  </mergeCells>
  <printOptions horizontalCentered="1"/>
  <pageMargins left="0.7" right="0.7" top="0.75" bottom="0.75" header="0.3" footer="0.3"/>
  <pageSetup orientation="portrait" horizontalDpi="1200" verticalDpi="1200" r:id="rId1"/>
  <headerFooter scaleWithDoc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R65"/>
  <sheetViews>
    <sheetView view="pageLayout" zoomScaleNormal="90" workbookViewId="0">
      <selection activeCell="P26" sqref="P26"/>
    </sheetView>
  </sheetViews>
  <sheetFormatPr defaultColWidth="9.140625" defaultRowHeight="15" x14ac:dyDescent="0.25"/>
  <cols>
    <col min="1" max="1" width="15.28515625" style="113" customWidth="1"/>
    <col min="2" max="2" width="2.42578125" style="113" customWidth="1"/>
    <col min="3" max="3" width="15.28515625" style="113" customWidth="1"/>
    <col min="4" max="5" width="2.42578125" style="113" customWidth="1"/>
    <col min="6" max="6" width="15.28515625" style="113" customWidth="1"/>
    <col min="7" max="8" width="2.42578125" style="113" customWidth="1"/>
    <col min="9" max="9" width="15.28515625" style="113" customWidth="1"/>
    <col min="10" max="11" width="5.7109375" style="113" customWidth="1"/>
    <col min="12" max="12" width="15.28515625" style="113" customWidth="1"/>
    <col min="13" max="13" width="9.140625" style="113"/>
    <col min="14" max="15" width="2.7109375" style="113" customWidth="1"/>
    <col min="16" max="16" width="12.85546875" style="113" bestFit="1" customWidth="1"/>
    <col min="17" max="17" width="14.42578125" style="113" customWidth="1"/>
    <col min="18" max="16384" width="9.140625" style="113"/>
  </cols>
  <sheetData>
    <row r="1" spans="1:18" x14ac:dyDescent="0.25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3" spans="1:18" x14ac:dyDescent="0.25">
      <c r="C3" s="228" t="s">
        <v>3</v>
      </c>
      <c r="F3" s="228" t="s">
        <v>4</v>
      </c>
      <c r="I3" s="228"/>
      <c r="J3" s="228"/>
      <c r="L3" s="228" t="s">
        <v>5</v>
      </c>
      <c r="N3" s="140"/>
    </row>
    <row r="4" spans="1:18" x14ac:dyDescent="0.25">
      <c r="N4" s="140"/>
      <c r="P4" s="404" t="s">
        <v>120</v>
      </c>
      <c r="Q4" s="404"/>
    </row>
    <row r="5" spans="1:18" ht="14.45" customHeight="1" x14ac:dyDescent="0.25">
      <c r="F5" s="228" t="s">
        <v>100</v>
      </c>
      <c r="G5" s="140"/>
      <c r="L5" s="228" t="s">
        <v>101</v>
      </c>
      <c r="N5" s="140"/>
      <c r="P5" s="405"/>
      <c r="Q5" s="405"/>
    </row>
    <row r="6" spans="1:18" x14ac:dyDescent="0.25">
      <c r="A6" s="114" t="s">
        <v>78</v>
      </c>
      <c r="B6" s="115"/>
      <c r="C6" s="114" t="s">
        <v>79</v>
      </c>
      <c r="D6" s="115"/>
      <c r="E6" s="115"/>
      <c r="F6" s="114" t="s">
        <v>63</v>
      </c>
      <c r="G6" s="125"/>
      <c r="H6" s="115"/>
      <c r="I6" s="114" t="s">
        <v>34</v>
      </c>
      <c r="J6" s="115"/>
      <c r="K6" s="116"/>
      <c r="L6" s="114" t="s">
        <v>11</v>
      </c>
      <c r="N6" s="140"/>
      <c r="Q6" s="139"/>
    </row>
    <row r="7" spans="1:18" x14ac:dyDescent="0.25">
      <c r="A7" s="117">
        <v>2005.1</v>
      </c>
      <c r="B7" s="118"/>
      <c r="C7" s="119">
        <v>4</v>
      </c>
      <c r="D7" s="119"/>
      <c r="E7" s="120"/>
      <c r="F7" s="144">
        <v>0.10550000000000001</v>
      </c>
      <c r="G7" s="126"/>
      <c r="H7" s="121"/>
      <c r="I7" s="123">
        <v>2005</v>
      </c>
      <c r="J7" s="123"/>
      <c r="K7" s="121"/>
      <c r="L7" s="144">
        <v>4.8300000000000003E-2</v>
      </c>
      <c r="N7" s="140"/>
      <c r="P7" s="123">
        <v>2005</v>
      </c>
      <c r="Q7" s="165">
        <f>AVERAGE(F7:F10)</f>
        <v>0.10522500000000001</v>
      </c>
      <c r="R7" s="165"/>
    </row>
    <row r="8" spans="1:18" x14ac:dyDescent="0.25">
      <c r="A8" s="117">
        <v>2005.2</v>
      </c>
      <c r="B8" s="118"/>
      <c r="C8" s="119">
        <v>12</v>
      </c>
      <c r="D8" s="119"/>
      <c r="E8" s="120"/>
      <c r="F8" s="144">
        <v>0.1013</v>
      </c>
      <c r="G8" s="126"/>
      <c r="H8" s="121"/>
      <c r="I8" s="123">
        <v>2006</v>
      </c>
      <c r="J8" s="123"/>
      <c r="K8" s="121"/>
      <c r="L8" s="144">
        <v>0.15609999999999999</v>
      </c>
      <c r="N8" s="140"/>
      <c r="P8" s="123">
        <v>2006</v>
      </c>
      <c r="Q8" s="165">
        <f>AVERAGE(F11:F14)</f>
        <v>0.10302500000000001</v>
      </c>
      <c r="R8" s="165"/>
    </row>
    <row r="9" spans="1:18" x14ac:dyDescent="0.25">
      <c r="A9" s="117">
        <v>2005.3</v>
      </c>
      <c r="B9" s="118"/>
      <c r="C9" s="119">
        <v>8</v>
      </c>
      <c r="D9" s="119"/>
      <c r="E9" s="120"/>
      <c r="F9" s="144">
        <v>0.1084</v>
      </c>
      <c r="G9" s="126"/>
      <c r="H9" s="121"/>
      <c r="I9" s="123">
        <v>2007</v>
      </c>
      <c r="J9" s="123"/>
      <c r="K9" s="121"/>
      <c r="L9" s="144">
        <v>5.4800000000000001E-2</v>
      </c>
      <c r="N9" s="140"/>
      <c r="P9" s="123">
        <v>2007</v>
      </c>
      <c r="Q9" s="165">
        <f>AVERAGE(F15:F18)</f>
        <v>0.102575</v>
      </c>
      <c r="R9" s="165"/>
    </row>
    <row r="10" spans="1:18" x14ac:dyDescent="0.25">
      <c r="A10" s="117">
        <v>2005.4</v>
      </c>
      <c r="B10" s="118"/>
      <c r="C10" s="119">
        <v>10</v>
      </c>
      <c r="D10" s="119"/>
      <c r="E10" s="120"/>
      <c r="F10" s="144">
        <v>0.1057</v>
      </c>
      <c r="G10" s="126"/>
      <c r="H10" s="121"/>
      <c r="I10" s="123">
        <v>2008</v>
      </c>
      <c r="J10" s="123"/>
      <c r="K10" s="121"/>
      <c r="L10" s="144">
        <v>-0.36549999999999999</v>
      </c>
      <c r="N10" s="140"/>
      <c r="P10" s="123">
        <v>2008</v>
      </c>
      <c r="Q10" s="165">
        <f>AVERAGE(F19:F22)</f>
        <v>0.10340000000000001</v>
      </c>
      <c r="R10" s="165"/>
    </row>
    <row r="11" spans="1:18" x14ac:dyDescent="0.25">
      <c r="A11" s="117">
        <v>2006.1</v>
      </c>
      <c r="B11" s="118"/>
      <c r="C11" s="119">
        <v>11</v>
      </c>
      <c r="D11" s="119"/>
      <c r="E11" s="120"/>
      <c r="F11" s="144">
        <v>0.1038</v>
      </c>
      <c r="G11" s="126"/>
      <c r="H11" s="121"/>
      <c r="I11" s="123">
        <v>2009</v>
      </c>
      <c r="J11" s="123"/>
      <c r="K11" s="121"/>
      <c r="L11" s="144">
        <v>0.25940000000000002</v>
      </c>
      <c r="N11" s="140"/>
      <c r="P11" s="123">
        <v>2009</v>
      </c>
      <c r="Q11" s="165">
        <f>AVERAGE(F23:F26)</f>
        <v>0.10465000000000001</v>
      </c>
      <c r="R11" s="165"/>
    </row>
    <row r="12" spans="1:18" x14ac:dyDescent="0.25">
      <c r="A12" s="117">
        <v>2006.2</v>
      </c>
      <c r="B12" s="118"/>
      <c r="C12" s="119">
        <v>18</v>
      </c>
      <c r="D12" s="119"/>
      <c r="E12" s="120"/>
      <c r="F12" s="144">
        <v>0.10390000000000001</v>
      </c>
      <c r="G12" s="126"/>
      <c r="H12" s="121"/>
      <c r="I12" s="123">
        <v>2010</v>
      </c>
      <c r="J12" s="123"/>
      <c r="K12" s="121"/>
      <c r="L12" s="144">
        <v>0.1482</v>
      </c>
      <c r="N12" s="140"/>
      <c r="P12" s="123">
        <v>2010</v>
      </c>
      <c r="Q12" s="165">
        <f>AVERAGE(F27:F30)</f>
        <v>0.10285</v>
      </c>
      <c r="R12" s="165"/>
    </row>
    <row r="13" spans="1:18" x14ac:dyDescent="0.25">
      <c r="A13" s="117">
        <v>2006.3</v>
      </c>
      <c r="B13" s="118"/>
      <c r="C13" s="119">
        <v>7</v>
      </c>
      <c r="D13" s="119"/>
      <c r="E13" s="120"/>
      <c r="F13" s="144">
        <v>0.10060000000000001</v>
      </c>
      <c r="G13" s="126"/>
      <c r="H13" s="121"/>
      <c r="I13" s="123">
        <v>2011</v>
      </c>
      <c r="J13" s="123"/>
      <c r="K13" s="121"/>
      <c r="L13" s="144">
        <v>2.1000000000000001E-2</v>
      </c>
      <c r="N13" s="140"/>
      <c r="P13" s="123">
        <v>2011</v>
      </c>
      <c r="Q13" s="165">
        <f>AVERAGE(F31:F34)</f>
        <v>0.10252500000000001</v>
      </c>
      <c r="R13" s="165"/>
    </row>
    <row r="14" spans="1:18" x14ac:dyDescent="0.25">
      <c r="A14" s="117">
        <v>2006.4</v>
      </c>
      <c r="B14" s="118"/>
      <c r="C14" s="119">
        <v>12</v>
      </c>
      <c r="D14" s="119"/>
      <c r="E14" s="120"/>
      <c r="F14" s="144">
        <v>0.1038</v>
      </c>
      <c r="G14" s="126"/>
      <c r="H14" s="121"/>
      <c r="I14" s="123">
        <v>2012</v>
      </c>
      <c r="J14" s="123"/>
      <c r="K14" s="121"/>
      <c r="L14" s="144">
        <v>0.15890000000000001</v>
      </c>
      <c r="N14" s="140"/>
      <c r="P14" s="123">
        <v>2012</v>
      </c>
      <c r="Q14" s="165">
        <f>AVERAGE(F35:F38)</f>
        <v>0.10147500000000001</v>
      </c>
      <c r="R14" s="165"/>
    </row>
    <row r="15" spans="1:18" x14ac:dyDescent="0.25">
      <c r="A15" s="117">
        <v>2007.1</v>
      </c>
      <c r="B15" s="118"/>
      <c r="C15" s="119">
        <v>11</v>
      </c>
      <c r="D15" s="119"/>
      <c r="E15" s="120"/>
      <c r="F15" s="144">
        <v>0.10300000000000001</v>
      </c>
      <c r="G15" s="126"/>
      <c r="H15" s="121"/>
      <c r="I15" s="123">
        <v>2013</v>
      </c>
      <c r="J15" s="123"/>
      <c r="K15" s="121"/>
      <c r="L15" s="144">
        <v>0.32150000000000001</v>
      </c>
      <c r="N15" s="140"/>
      <c r="P15" s="123">
        <v>2013</v>
      </c>
      <c r="Q15" s="165">
        <f>AVERAGE(F39:F42)</f>
        <v>9.9899999999999989E-2</v>
      </c>
      <c r="R15" s="165"/>
    </row>
    <row r="16" spans="1:18" x14ac:dyDescent="0.25">
      <c r="A16" s="117">
        <v>2007.2</v>
      </c>
      <c r="B16" s="118"/>
      <c r="C16" s="119">
        <v>16</v>
      </c>
      <c r="D16" s="119"/>
      <c r="E16" s="120"/>
      <c r="F16" s="144">
        <v>0.1027</v>
      </c>
      <c r="G16" s="126"/>
      <c r="H16" s="121"/>
      <c r="I16" s="123">
        <v>2014</v>
      </c>
      <c r="L16" s="144">
        <v>0.13250000000000001</v>
      </c>
      <c r="N16" s="140"/>
      <c r="P16" s="123">
        <v>2014</v>
      </c>
      <c r="Q16" s="165">
        <f>AVERAGE(F43:F46)</f>
        <v>9.9324999999999997E-2</v>
      </c>
      <c r="R16" s="165"/>
    </row>
    <row r="17" spans="1:18" x14ac:dyDescent="0.25">
      <c r="A17" s="117">
        <v>2007.3</v>
      </c>
      <c r="B17" s="118"/>
      <c r="C17" s="119">
        <v>8</v>
      </c>
      <c r="D17" s="119"/>
      <c r="E17" s="120"/>
      <c r="F17" s="144">
        <v>0.1002</v>
      </c>
      <c r="G17" s="126"/>
      <c r="H17" s="121"/>
      <c r="I17" s="123">
        <v>2015</v>
      </c>
      <c r="L17" s="144">
        <v>1.38E-2</v>
      </c>
      <c r="N17" s="140"/>
      <c r="P17" s="123">
        <v>2015</v>
      </c>
      <c r="Q17" s="165">
        <f>AVERAGE(F47:F50)</f>
        <v>9.7800000000000012E-2</v>
      </c>
      <c r="R17" s="165"/>
    </row>
    <row r="18" spans="1:18" x14ac:dyDescent="0.25">
      <c r="A18" s="117">
        <v>2007.4</v>
      </c>
      <c r="B18" s="118"/>
      <c r="C18" s="119">
        <v>11</v>
      </c>
      <c r="D18" s="119"/>
      <c r="E18" s="120"/>
      <c r="F18" s="144">
        <v>0.10439999999999999</v>
      </c>
      <c r="G18" s="126"/>
      <c r="H18" s="121"/>
      <c r="I18" s="127">
        <v>2016</v>
      </c>
      <c r="J18" s="123"/>
      <c r="K18" s="121"/>
      <c r="L18" s="145">
        <v>0.1174</v>
      </c>
      <c r="N18" s="141"/>
      <c r="O18" s="228"/>
      <c r="P18" s="123">
        <v>2016</v>
      </c>
      <c r="Q18" s="165">
        <f>AVERAGE(F51:F54)</f>
        <v>9.7900000000000001E-2</v>
      </c>
    </row>
    <row r="19" spans="1:18" x14ac:dyDescent="0.25">
      <c r="A19" s="117">
        <v>2008.1</v>
      </c>
      <c r="B19" s="118"/>
      <c r="C19" s="119">
        <v>7</v>
      </c>
      <c r="D19" s="119"/>
      <c r="E19" s="120"/>
      <c r="F19" s="144">
        <v>0.10150000000000001</v>
      </c>
      <c r="G19" s="126"/>
      <c r="H19" s="121"/>
      <c r="I19" s="124"/>
      <c r="J19" s="124"/>
      <c r="K19" s="121"/>
      <c r="N19" s="141"/>
      <c r="O19" s="228"/>
    </row>
    <row r="20" spans="1:18" x14ac:dyDescent="0.25">
      <c r="A20" s="117">
        <v>2008.2</v>
      </c>
      <c r="B20" s="118"/>
      <c r="C20" s="119">
        <v>8</v>
      </c>
      <c r="D20" s="119"/>
      <c r="E20" s="120"/>
      <c r="F20" s="144">
        <v>0.1041</v>
      </c>
      <c r="G20" s="126"/>
      <c r="H20" s="121"/>
      <c r="I20" s="127" t="s">
        <v>80</v>
      </c>
      <c r="J20" s="123"/>
      <c r="K20" s="121"/>
      <c r="N20" s="141"/>
      <c r="O20" s="228"/>
    </row>
    <row r="21" spans="1:18" x14ac:dyDescent="0.25">
      <c r="A21" s="117">
        <v>2008.3</v>
      </c>
      <c r="B21" s="118"/>
      <c r="C21" s="119">
        <v>21</v>
      </c>
      <c r="D21" s="119"/>
      <c r="E21" s="120"/>
      <c r="F21" s="144">
        <v>0.1042</v>
      </c>
      <c r="G21" s="126"/>
      <c r="H21" s="121"/>
      <c r="I21" s="128" t="s">
        <v>81</v>
      </c>
      <c r="J21" s="128"/>
      <c r="K21" s="121"/>
      <c r="L21" s="144">
        <f>AVERAGE(L7:L18)</f>
        <v>8.8866666666666663E-2</v>
      </c>
      <c r="M21" s="228" t="s">
        <v>6</v>
      </c>
      <c r="N21" s="141"/>
      <c r="O21" s="228"/>
    </row>
    <row r="22" spans="1:18" x14ac:dyDescent="0.25">
      <c r="A22" s="117">
        <v>2008.4</v>
      </c>
      <c r="B22" s="118"/>
      <c r="C22" s="119">
        <v>6</v>
      </c>
      <c r="D22" s="119"/>
      <c r="E22" s="120"/>
      <c r="F22" s="144">
        <v>0.1038</v>
      </c>
      <c r="G22" s="126"/>
      <c r="H22" s="121"/>
      <c r="I22" s="128" t="s">
        <v>82</v>
      </c>
      <c r="J22" s="128"/>
      <c r="K22" s="121"/>
      <c r="L22" s="144">
        <f t="array" ref="L22">GEOMEAN(1+L7:L18)-1</f>
        <v>7.3907396526160962E-2</v>
      </c>
      <c r="M22" s="228" t="s">
        <v>7</v>
      </c>
      <c r="N22" s="141"/>
      <c r="O22" s="228"/>
    </row>
    <row r="23" spans="1:18" x14ac:dyDescent="0.25">
      <c r="A23" s="117">
        <v>2009.1</v>
      </c>
      <c r="B23" s="118"/>
      <c r="C23" s="119">
        <v>13</v>
      </c>
      <c r="D23" s="119"/>
      <c r="E23" s="120"/>
      <c r="F23" s="144">
        <v>0.10310000000000001</v>
      </c>
      <c r="G23" s="126"/>
      <c r="H23" s="121"/>
      <c r="I23" s="136"/>
      <c r="J23" s="136"/>
      <c r="K23" s="122"/>
      <c r="L23" s="122"/>
      <c r="M23" s="228"/>
      <c r="N23" s="141"/>
      <c r="O23" s="228"/>
      <c r="P23" s="165"/>
    </row>
    <row r="24" spans="1:18" x14ac:dyDescent="0.25">
      <c r="A24" s="117">
        <v>2009.2</v>
      </c>
      <c r="B24" s="118"/>
      <c r="C24" s="119">
        <v>22</v>
      </c>
      <c r="D24" s="119"/>
      <c r="E24" s="120"/>
      <c r="F24" s="144">
        <v>0.10550000000000001</v>
      </c>
      <c r="G24" s="126"/>
      <c r="H24" s="121"/>
      <c r="I24" s="124"/>
      <c r="J24" s="124"/>
      <c r="K24" s="121"/>
      <c r="L24" s="121"/>
      <c r="M24" s="228"/>
      <c r="N24" s="141"/>
      <c r="O24" s="228"/>
    </row>
    <row r="25" spans="1:18" x14ac:dyDescent="0.25">
      <c r="A25" s="117">
        <v>2009.3</v>
      </c>
      <c r="B25" s="118"/>
      <c r="C25" s="119">
        <v>17</v>
      </c>
      <c r="D25" s="119"/>
      <c r="E25" s="120"/>
      <c r="F25" s="144">
        <v>0.10460000000000001</v>
      </c>
      <c r="G25" s="126"/>
      <c r="H25" s="121"/>
      <c r="I25" s="137" t="s">
        <v>89</v>
      </c>
      <c r="J25" s="124"/>
      <c r="K25" s="121"/>
      <c r="L25" s="219">
        <f>AVERAGE(L21:L22)</f>
        <v>8.1387031596413806E-2</v>
      </c>
      <c r="M25" s="228" t="s">
        <v>23</v>
      </c>
      <c r="N25" s="140"/>
    </row>
    <row r="26" spans="1:18" x14ac:dyDescent="0.25">
      <c r="A26" s="117">
        <v>2009.4</v>
      </c>
      <c r="B26" s="118"/>
      <c r="C26" s="119">
        <v>14</v>
      </c>
      <c r="D26" s="119"/>
      <c r="E26" s="120"/>
      <c r="F26" s="144">
        <v>0.10539999999999999</v>
      </c>
      <c r="G26" s="126"/>
      <c r="H26" s="121"/>
      <c r="I26" s="124"/>
      <c r="J26" s="124"/>
      <c r="K26" s="121"/>
      <c r="M26" s="228"/>
      <c r="N26" s="140"/>
    </row>
    <row r="27" spans="1:18" x14ac:dyDescent="0.25">
      <c r="A27" s="117">
        <v>2010.1</v>
      </c>
      <c r="B27" s="118"/>
      <c r="C27" s="119">
        <v>16</v>
      </c>
      <c r="D27" s="119"/>
      <c r="E27" s="120"/>
      <c r="F27" s="144">
        <v>0.1045</v>
      </c>
      <c r="G27" s="126"/>
      <c r="H27" s="121"/>
      <c r="I27" s="137" t="s">
        <v>90</v>
      </c>
      <c r="J27" s="124"/>
      <c r="K27" s="121"/>
      <c r="L27" s="219">
        <f>AVERAGE(F7:F54)</f>
        <v>0.10172083333333333</v>
      </c>
      <c r="M27" s="228" t="s">
        <v>24</v>
      </c>
      <c r="N27" s="140"/>
    </row>
    <row r="28" spans="1:18" x14ac:dyDescent="0.25">
      <c r="A28" s="117">
        <v>2010.2</v>
      </c>
      <c r="B28" s="118"/>
      <c r="C28" s="119">
        <v>19</v>
      </c>
      <c r="D28" s="119"/>
      <c r="E28" s="120"/>
      <c r="F28" s="144">
        <v>0.1012</v>
      </c>
      <c r="G28" s="126"/>
      <c r="H28" s="121"/>
      <c r="I28" s="229"/>
      <c r="J28" s="229"/>
      <c r="K28" s="229"/>
      <c r="L28" s="229"/>
      <c r="N28" s="140"/>
    </row>
    <row r="29" spans="1:18" x14ac:dyDescent="0.25">
      <c r="A29" s="117">
        <v>2010.3</v>
      </c>
      <c r="B29" s="118"/>
      <c r="C29" s="119">
        <v>12</v>
      </c>
      <c r="D29" s="119"/>
      <c r="E29" s="120"/>
      <c r="F29" s="144">
        <v>0.1027</v>
      </c>
      <c r="G29" s="126"/>
      <c r="H29" s="121"/>
      <c r="I29" s="229"/>
      <c r="J29" s="229"/>
      <c r="K29" s="229"/>
      <c r="L29" s="229"/>
      <c r="N29" s="140"/>
    </row>
    <row r="30" spans="1:18" x14ac:dyDescent="0.25">
      <c r="A30" s="117">
        <v>2010.4</v>
      </c>
      <c r="B30" s="118"/>
      <c r="C30" s="119">
        <v>8</v>
      </c>
      <c r="D30" s="119"/>
      <c r="E30" s="120"/>
      <c r="F30" s="144">
        <v>0.10300000000000001</v>
      </c>
      <c r="G30" s="126"/>
      <c r="H30" s="121"/>
      <c r="I30" s="124"/>
      <c r="J30" s="124"/>
      <c r="K30" s="121"/>
      <c r="N30" s="140"/>
    </row>
    <row r="31" spans="1:18" x14ac:dyDescent="0.2">
      <c r="A31" s="117">
        <v>2011.1</v>
      </c>
      <c r="B31" s="118"/>
      <c r="C31" s="119">
        <v>8</v>
      </c>
      <c r="D31" s="119"/>
      <c r="E31" s="120"/>
      <c r="F31" s="144">
        <v>0.10349999999999999</v>
      </c>
      <c r="G31" s="126"/>
      <c r="H31" s="121"/>
      <c r="N31" s="140"/>
      <c r="P31" s="159"/>
      <c r="Q31" s="160"/>
    </row>
    <row r="32" spans="1:18" x14ac:dyDescent="0.2">
      <c r="A32" s="117">
        <v>2011.2</v>
      </c>
      <c r="B32" s="118"/>
      <c r="C32" s="119">
        <v>15</v>
      </c>
      <c r="D32" s="119"/>
      <c r="E32" s="120"/>
      <c r="F32" s="144">
        <v>0.1024</v>
      </c>
      <c r="G32" s="126"/>
      <c r="H32" s="121"/>
      <c r="N32" s="140"/>
      <c r="P32" s="159"/>
      <c r="Q32" s="160"/>
    </row>
    <row r="33" spans="1:18" x14ac:dyDescent="0.2">
      <c r="A33" s="117">
        <v>2011.3</v>
      </c>
      <c r="B33" s="118"/>
      <c r="C33" s="119">
        <v>17</v>
      </c>
      <c r="D33" s="119"/>
      <c r="E33" s="120"/>
      <c r="F33" s="144">
        <v>0.1013</v>
      </c>
      <c r="G33" s="126"/>
      <c r="H33" s="121"/>
      <c r="I33" s="124"/>
      <c r="J33" s="124"/>
      <c r="K33" s="121"/>
      <c r="L33" s="228" t="s">
        <v>25</v>
      </c>
      <c r="N33" s="140"/>
      <c r="P33" s="159"/>
      <c r="Q33" s="160"/>
    </row>
    <row r="34" spans="1:18" x14ac:dyDescent="0.2">
      <c r="A34" s="117">
        <v>2011.4</v>
      </c>
      <c r="B34" s="118"/>
      <c r="C34" s="119">
        <v>10</v>
      </c>
      <c r="D34" s="119"/>
      <c r="E34" s="120"/>
      <c r="F34" s="144">
        <v>0.10289999999999999</v>
      </c>
      <c r="G34" s="126"/>
      <c r="H34" s="121"/>
      <c r="N34" s="140"/>
      <c r="P34" s="180"/>
      <c r="Q34" s="160"/>
    </row>
    <row r="35" spans="1:18" x14ac:dyDescent="0.2">
      <c r="A35" s="117">
        <v>2012.1</v>
      </c>
      <c r="B35" s="118"/>
      <c r="C35" s="119">
        <v>17</v>
      </c>
      <c r="D35" s="119"/>
      <c r="E35" s="120"/>
      <c r="F35" s="144">
        <v>0.1084</v>
      </c>
      <c r="G35" s="126"/>
      <c r="H35" s="121"/>
      <c r="L35" s="228" t="s">
        <v>159</v>
      </c>
      <c r="N35" s="140"/>
      <c r="P35" s="144"/>
      <c r="Q35" s="160"/>
      <c r="R35" s="165"/>
    </row>
    <row r="36" spans="1:18" x14ac:dyDescent="0.25">
      <c r="A36" s="117">
        <v>2012.2</v>
      </c>
      <c r="B36" s="118"/>
      <c r="C36" s="119">
        <v>16</v>
      </c>
      <c r="D36" s="119"/>
      <c r="E36" s="120"/>
      <c r="F36" s="144">
        <v>9.9199999999999997E-2</v>
      </c>
      <c r="G36" s="126"/>
      <c r="H36" s="121"/>
      <c r="I36" s="114" t="s">
        <v>34</v>
      </c>
      <c r="J36" s="115"/>
      <c r="K36" s="116"/>
      <c r="L36" s="114" t="s">
        <v>137</v>
      </c>
      <c r="N36" s="140"/>
      <c r="P36" s="144"/>
      <c r="Q36" s="161"/>
      <c r="R36" s="165"/>
    </row>
    <row r="37" spans="1:18" x14ac:dyDescent="0.2">
      <c r="A37" s="117">
        <v>2012.3</v>
      </c>
      <c r="B37" s="118"/>
      <c r="C37" s="119">
        <v>8</v>
      </c>
      <c r="D37" s="119"/>
      <c r="E37" s="120"/>
      <c r="F37" s="144">
        <v>9.7799999999999998E-2</v>
      </c>
      <c r="G37" s="126"/>
      <c r="H37" s="121"/>
      <c r="I37" s="123">
        <v>2005</v>
      </c>
      <c r="J37" s="123"/>
      <c r="K37" s="121"/>
      <c r="L37" s="144">
        <v>8.4699999999999998E-2</v>
      </c>
      <c r="N37" s="140"/>
      <c r="P37" s="144"/>
      <c r="Q37" s="161"/>
      <c r="R37" s="165"/>
    </row>
    <row r="38" spans="1:18" x14ac:dyDescent="0.2">
      <c r="A38" s="117">
        <v>2012.4</v>
      </c>
      <c r="B38" s="118"/>
      <c r="C38" s="119">
        <v>12</v>
      </c>
      <c r="D38" s="119"/>
      <c r="E38" s="120"/>
      <c r="F38" s="144">
        <v>0.10050000000000001</v>
      </c>
      <c r="G38" s="126"/>
      <c r="H38" s="121"/>
      <c r="I38" s="123">
        <v>2006</v>
      </c>
      <c r="J38" s="123"/>
      <c r="K38" s="121"/>
      <c r="L38" s="144">
        <v>8.8599999999999998E-2</v>
      </c>
      <c r="N38" s="140"/>
      <c r="P38" s="144"/>
      <c r="Q38" s="161"/>
      <c r="R38" s="165"/>
    </row>
    <row r="39" spans="1:18" x14ac:dyDescent="0.2">
      <c r="A39" s="117">
        <v>2013.1</v>
      </c>
      <c r="B39" s="118"/>
      <c r="C39" s="119">
        <v>19</v>
      </c>
      <c r="D39" s="119"/>
      <c r="E39" s="120"/>
      <c r="F39" s="144">
        <v>0.1023</v>
      </c>
      <c r="G39" s="126"/>
      <c r="H39" s="121"/>
      <c r="I39" s="123">
        <v>2007</v>
      </c>
      <c r="J39" s="123"/>
      <c r="K39" s="121"/>
      <c r="L39" s="144">
        <v>8.3900000000000002E-2</v>
      </c>
      <c r="N39" s="140"/>
      <c r="P39" s="144"/>
      <c r="Q39" s="161"/>
      <c r="R39" s="165"/>
    </row>
    <row r="40" spans="1:18" x14ac:dyDescent="0.2">
      <c r="A40" s="117">
        <v>2013.2</v>
      </c>
      <c r="B40" s="118"/>
      <c r="C40" s="119">
        <v>16</v>
      </c>
      <c r="D40" s="119"/>
      <c r="E40" s="120"/>
      <c r="F40" s="144">
        <v>9.7699999999999995E-2</v>
      </c>
      <c r="G40" s="126"/>
      <c r="H40" s="121"/>
      <c r="I40" s="123">
        <v>2008</v>
      </c>
      <c r="J40" s="123"/>
      <c r="K40" s="121"/>
      <c r="L40" s="144">
        <v>8.6400000000000005E-2</v>
      </c>
      <c r="N40" s="140"/>
      <c r="P40" s="144"/>
      <c r="Q40" s="161"/>
      <c r="R40" s="165"/>
    </row>
    <row r="41" spans="1:18" x14ac:dyDescent="0.2">
      <c r="A41" s="117">
        <v>2013.3</v>
      </c>
      <c r="B41" s="118"/>
      <c r="C41" s="119">
        <v>4</v>
      </c>
      <c r="D41" s="119"/>
      <c r="E41" s="120"/>
      <c r="F41" s="144">
        <v>0.10059999999999999</v>
      </c>
      <c r="G41" s="126"/>
      <c r="H41" s="121"/>
      <c r="I41" s="123">
        <v>2009</v>
      </c>
      <c r="J41" s="123"/>
      <c r="K41" s="121"/>
      <c r="L41" s="144">
        <v>8.199999999999999E-2</v>
      </c>
      <c r="N41" s="140"/>
      <c r="P41" s="144"/>
      <c r="Q41" s="161"/>
      <c r="R41" s="165"/>
    </row>
    <row r="42" spans="1:18" x14ac:dyDescent="0.2">
      <c r="A42" s="117">
        <v>2013.4</v>
      </c>
      <c r="B42" s="118"/>
      <c r="C42" s="119">
        <v>7</v>
      </c>
      <c r="D42" s="119"/>
      <c r="E42" s="120"/>
      <c r="F42" s="144">
        <v>9.9000000000000005E-2</v>
      </c>
      <c r="G42" s="126"/>
      <c r="H42" s="121"/>
      <c r="I42" s="123">
        <v>2010</v>
      </c>
      <c r="J42" s="123"/>
      <c r="K42" s="121"/>
      <c r="L42" s="144">
        <v>8.4900000000000003E-2</v>
      </c>
      <c r="N42" s="140"/>
      <c r="P42" s="144"/>
      <c r="Q42" s="161"/>
      <c r="R42" s="165"/>
    </row>
    <row r="43" spans="1:18" x14ac:dyDescent="0.2">
      <c r="A43" s="117">
        <v>2014.1</v>
      </c>
      <c r="B43" s="118"/>
      <c r="C43" s="119">
        <v>9</v>
      </c>
      <c r="D43" s="119"/>
      <c r="E43" s="120"/>
      <c r="F43" s="144">
        <v>0.1023</v>
      </c>
      <c r="G43" s="126"/>
      <c r="H43" s="121"/>
      <c r="I43" s="123">
        <v>2011</v>
      </c>
      <c r="J43" s="123"/>
      <c r="K43" s="121"/>
      <c r="L43" s="144">
        <v>7.8899999999999998E-2</v>
      </c>
      <c r="N43" s="140"/>
      <c r="P43" s="144"/>
      <c r="Q43" s="161"/>
      <c r="R43" s="165"/>
    </row>
    <row r="44" spans="1:18" x14ac:dyDescent="0.25">
      <c r="A44" s="117">
        <v>2014.2</v>
      </c>
      <c r="B44" s="118"/>
      <c r="C44" s="119">
        <v>25</v>
      </c>
      <c r="D44" s="119"/>
      <c r="E44" s="120"/>
      <c r="F44" s="144">
        <v>9.8299999999999998E-2</v>
      </c>
      <c r="G44" s="126"/>
      <c r="H44" s="121"/>
      <c r="I44" s="123">
        <v>2012</v>
      </c>
      <c r="J44" s="123"/>
      <c r="K44" s="121"/>
      <c r="L44" s="144">
        <v>7.5399999999999995E-2</v>
      </c>
      <c r="N44" s="140"/>
      <c r="P44" s="144"/>
      <c r="R44" s="165"/>
    </row>
    <row r="45" spans="1:18" x14ac:dyDescent="0.25">
      <c r="A45" s="117">
        <v>2014.3</v>
      </c>
      <c r="B45" s="118"/>
      <c r="C45" s="119">
        <v>8</v>
      </c>
      <c r="D45" s="119"/>
      <c r="E45" s="120"/>
      <c r="F45" s="144">
        <v>9.8900000000000002E-2</v>
      </c>
      <c r="G45" s="126"/>
      <c r="H45" s="121"/>
      <c r="I45" s="123">
        <v>2013</v>
      </c>
      <c r="J45" s="123"/>
      <c r="K45" s="121"/>
      <c r="L45" s="144">
        <v>0.08</v>
      </c>
      <c r="N45" s="140"/>
      <c r="P45" s="144"/>
      <c r="R45" s="165"/>
    </row>
    <row r="46" spans="1:18" x14ac:dyDescent="0.25">
      <c r="A46" s="117">
        <v>2014.4</v>
      </c>
      <c r="B46" s="118"/>
      <c r="C46" s="119">
        <v>16</v>
      </c>
      <c r="D46" s="119"/>
      <c r="E46" s="120"/>
      <c r="F46" s="144">
        <v>9.7799999999999998E-2</v>
      </c>
      <c r="G46" s="126"/>
      <c r="H46" s="121"/>
      <c r="I46" s="123">
        <v>2014</v>
      </c>
      <c r="J46" s="123"/>
      <c r="K46" s="121"/>
      <c r="L46" s="144">
        <v>7.9500000000000001E-2</v>
      </c>
      <c r="N46" s="140"/>
    </row>
    <row r="47" spans="1:18" x14ac:dyDescent="0.25">
      <c r="A47" s="117">
        <v>2015.1</v>
      </c>
      <c r="B47" s="118"/>
      <c r="C47" s="119">
        <v>10</v>
      </c>
      <c r="D47" s="119"/>
      <c r="E47" s="120"/>
      <c r="F47" s="144">
        <v>0.1037</v>
      </c>
      <c r="G47" s="126"/>
      <c r="H47" s="121"/>
      <c r="I47" s="123">
        <v>2015</v>
      </c>
      <c r="J47" s="123"/>
      <c r="K47" s="121"/>
      <c r="L47" s="144">
        <v>8.3900000000000002E-2</v>
      </c>
      <c r="N47" s="140"/>
    </row>
    <row r="48" spans="1:18" x14ac:dyDescent="0.25">
      <c r="A48" s="117">
        <v>2015.2</v>
      </c>
      <c r="B48" s="118"/>
      <c r="C48" s="119">
        <v>21</v>
      </c>
      <c r="D48" s="119"/>
      <c r="E48" s="120"/>
      <c r="F48" s="144">
        <v>9.7299999999999998E-2</v>
      </c>
      <c r="G48" s="126"/>
      <c r="H48" s="121"/>
      <c r="I48" s="123">
        <v>2016</v>
      </c>
      <c r="J48" s="123"/>
      <c r="K48" s="121"/>
      <c r="L48" s="144">
        <v>8.14E-2</v>
      </c>
      <c r="N48" s="140"/>
    </row>
    <row r="49" spans="1:14" x14ac:dyDescent="0.25">
      <c r="A49" s="117">
        <v>2015.3</v>
      </c>
      <c r="B49" s="118"/>
      <c r="C49" s="119">
        <v>6</v>
      </c>
      <c r="D49" s="119"/>
      <c r="E49" s="120"/>
      <c r="F49" s="144">
        <v>9.4E-2</v>
      </c>
      <c r="G49" s="126"/>
      <c r="H49" s="121"/>
      <c r="N49" s="140"/>
    </row>
    <row r="50" spans="1:14" x14ac:dyDescent="0.25">
      <c r="A50" s="117">
        <v>2015.4</v>
      </c>
      <c r="B50" s="118"/>
      <c r="C50" s="119">
        <v>11</v>
      </c>
      <c r="D50" s="119"/>
      <c r="E50" s="120"/>
      <c r="F50" s="144">
        <v>9.6199999999999994E-2</v>
      </c>
      <c r="G50" s="126"/>
      <c r="H50" s="121"/>
      <c r="I50" s="181" t="s">
        <v>80</v>
      </c>
      <c r="J50" s="124"/>
      <c r="K50" s="121"/>
      <c r="L50" s="182">
        <f>AVERAGE(L37:L48)</f>
        <v>8.246666666666666E-2</v>
      </c>
      <c r="N50" s="140"/>
    </row>
    <row r="51" spans="1:14" x14ac:dyDescent="0.25">
      <c r="A51" s="117">
        <v>2016.1</v>
      </c>
      <c r="B51" s="118"/>
      <c r="C51" s="119">
        <v>14</v>
      </c>
      <c r="D51" s="119"/>
      <c r="E51" s="120"/>
      <c r="F51" s="144">
        <v>0.1026</v>
      </c>
      <c r="G51" s="126"/>
      <c r="H51" s="121"/>
      <c r="I51" s="12"/>
      <c r="J51" s="124"/>
      <c r="K51" s="121"/>
      <c r="N51" s="140"/>
    </row>
    <row r="52" spans="1:14" x14ac:dyDescent="0.25">
      <c r="A52" s="117">
        <v>2016.2</v>
      </c>
      <c r="B52" s="118"/>
      <c r="C52" s="119">
        <v>27</v>
      </c>
      <c r="D52" s="119"/>
      <c r="E52" s="120"/>
      <c r="F52" s="144">
        <v>9.5699999999999993E-2</v>
      </c>
      <c r="G52" s="126"/>
      <c r="H52" s="121"/>
      <c r="I52" s="12"/>
      <c r="J52" s="124"/>
      <c r="K52" s="121"/>
      <c r="N52" s="140"/>
    </row>
    <row r="53" spans="1:14" x14ac:dyDescent="0.25">
      <c r="A53" s="117">
        <v>2016.3</v>
      </c>
      <c r="B53" s="118"/>
      <c r="C53" s="119">
        <v>12</v>
      </c>
      <c r="D53" s="119"/>
      <c r="E53" s="120"/>
      <c r="F53" s="144">
        <v>9.7600000000000006E-2</v>
      </c>
      <c r="G53" s="126"/>
      <c r="H53" s="121"/>
      <c r="I53" s="12"/>
      <c r="J53" s="124"/>
      <c r="K53" s="121"/>
      <c r="N53" s="140"/>
    </row>
    <row r="54" spans="1:14" x14ac:dyDescent="0.25">
      <c r="A54" s="117">
        <v>2016.4</v>
      </c>
      <c r="B54" s="118"/>
      <c r="C54" s="119">
        <v>17</v>
      </c>
      <c r="D54" s="119"/>
      <c r="E54" s="120"/>
      <c r="F54" s="144">
        <v>9.5699999999999993E-2</v>
      </c>
      <c r="G54" s="126"/>
      <c r="H54" s="121"/>
      <c r="I54" s="12"/>
      <c r="J54" s="124"/>
      <c r="K54" s="121"/>
      <c r="N54" s="140"/>
    </row>
    <row r="55" spans="1:14" x14ac:dyDescent="0.25">
      <c r="A55" s="142"/>
      <c r="B55" s="142"/>
      <c r="C55" s="142"/>
      <c r="D55" s="142"/>
      <c r="E55" s="142"/>
      <c r="F55" s="142"/>
      <c r="G55" s="142"/>
      <c r="H55" s="142"/>
      <c r="I55" s="143"/>
      <c r="J55" s="143"/>
      <c r="K55" s="122"/>
      <c r="L55" s="142"/>
      <c r="M55" s="142"/>
      <c r="N55" s="140"/>
    </row>
    <row r="56" spans="1:14" x14ac:dyDescent="0.25">
      <c r="N56" s="140"/>
    </row>
    <row r="57" spans="1:14" x14ac:dyDescent="0.25">
      <c r="N57" s="140"/>
    </row>
    <row r="58" spans="1:14" s="163" customFormat="1" ht="14.25" customHeight="1" x14ac:dyDescent="0.2">
      <c r="A58" s="403" t="s">
        <v>123</v>
      </c>
      <c r="B58" s="403"/>
      <c r="C58" s="403"/>
      <c r="D58" s="403"/>
      <c r="E58" s="403"/>
      <c r="F58" s="403"/>
      <c r="G58" s="403"/>
      <c r="H58" s="403"/>
      <c r="I58" s="403"/>
      <c r="J58" s="403"/>
      <c r="K58" s="403"/>
      <c r="L58" s="403"/>
      <c r="M58" s="403"/>
      <c r="N58" s="162"/>
    </row>
    <row r="59" spans="1:14" s="163" customFormat="1" ht="14.25" customHeight="1" x14ac:dyDescent="0.2">
      <c r="A59" s="403" t="s">
        <v>124</v>
      </c>
      <c r="B59" s="403"/>
      <c r="C59" s="403"/>
      <c r="D59" s="403"/>
      <c r="E59" s="403"/>
      <c r="F59" s="403"/>
      <c r="G59" s="403"/>
      <c r="H59" s="403"/>
      <c r="I59" s="403"/>
      <c r="J59" s="403"/>
      <c r="K59" s="403"/>
      <c r="L59" s="403"/>
      <c r="M59" s="403"/>
      <c r="N59" s="162"/>
    </row>
    <row r="60" spans="1:14" ht="14.25" customHeight="1" x14ac:dyDescent="0.2">
      <c r="A60" s="406" t="s">
        <v>125</v>
      </c>
      <c r="B60" s="406"/>
      <c r="C60" s="406"/>
      <c r="D60" s="406"/>
      <c r="E60" s="406"/>
      <c r="F60" s="406"/>
      <c r="G60" s="406"/>
      <c r="H60" s="406"/>
      <c r="I60" s="406"/>
      <c r="J60" s="406"/>
      <c r="K60" s="406"/>
      <c r="L60" s="406"/>
      <c r="M60" s="406"/>
      <c r="N60" s="140"/>
    </row>
    <row r="61" spans="1:14" s="163" customFormat="1" ht="14.25" customHeight="1" x14ac:dyDescent="0.2">
      <c r="A61" s="403" t="s">
        <v>91</v>
      </c>
      <c r="B61" s="403"/>
      <c r="C61" s="403"/>
      <c r="D61" s="403"/>
      <c r="E61" s="403"/>
      <c r="F61" s="403"/>
      <c r="G61" s="403"/>
      <c r="H61" s="403"/>
      <c r="I61" s="403"/>
      <c r="J61" s="403"/>
      <c r="K61" s="403"/>
      <c r="L61" s="403"/>
      <c r="M61" s="403"/>
      <c r="N61" s="162"/>
    </row>
    <row r="62" spans="1:14" s="163" customFormat="1" ht="14.25" customHeight="1" x14ac:dyDescent="0.2">
      <c r="A62" s="403" t="s">
        <v>92</v>
      </c>
      <c r="B62" s="403"/>
      <c r="C62" s="403"/>
      <c r="D62" s="403"/>
      <c r="E62" s="403"/>
      <c r="F62" s="403"/>
      <c r="G62" s="403"/>
      <c r="H62" s="403"/>
      <c r="I62" s="403"/>
      <c r="J62" s="403"/>
      <c r="K62" s="403"/>
      <c r="L62" s="403"/>
      <c r="M62" s="403"/>
      <c r="N62" s="162"/>
    </row>
    <row r="63" spans="1:14" s="163" customFormat="1" ht="14.25" customHeight="1" x14ac:dyDescent="0.2">
      <c r="A63" s="403" t="s">
        <v>93</v>
      </c>
      <c r="B63" s="403"/>
      <c r="C63" s="403"/>
      <c r="D63" s="403"/>
      <c r="E63" s="403"/>
      <c r="F63" s="403"/>
      <c r="G63" s="403"/>
      <c r="H63" s="403"/>
      <c r="I63" s="403"/>
      <c r="J63" s="403"/>
      <c r="K63" s="403"/>
      <c r="L63" s="403"/>
      <c r="M63" s="403"/>
      <c r="N63" s="162"/>
    </row>
    <row r="64" spans="1:14" s="163" customFormat="1" ht="14.25" customHeight="1" x14ac:dyDescent="0.2">
      <c r="A64" s="403" t="s">
        <v>94</v>
      </c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</row>
    <row r="65" spans="1:13" ht="14.25" customHeight="1" x14ac:dyDescent="0.2">
      <c r="A65" s="403" t="s">
        <v>119</v>
      </c>
      <c r="B65" s="403"/>
      <c r="C65" s="403"/>
      <c r="D65" s="403"/>
      <c r="E65" s="403"/>
      <c r="F65" s="403"/>
      <c r="G65" s="403"/>
      <c r="H65" s="403"/>
      <c r="I65" s="403"/>
      <c r="J65" s="403"/>
      <c r="K65" s="403"/>
      <c r="L65" s="403"/>
      <c r="M65" s="403"/>
    </row>
  </sheetData>
  <mergeCells count="10">
    <mergeCell ref="A62:M62"/>
    <mergeCell ref="A63:M63"/>
    <mergeCell ref="A64:M64"/>
    <mergeCell ref="A65:M65"/>
    <mergeCell ref="P4:Q4"/>
    <mergeCell ref="P5:Q5"/>
    <mergeCell ref="A58:M58"/>
    <mergeCell ref="A59:M59"/>
    <mergeCell ref="A60:M60"/>
    <mergeCell ref="A61:M61"/>
  </mergeCells>
  <printOptions horizontalCentered="1"/>
  <pageMargins left="0.7" right="0.7" top="0.75" bottom="0.75" header="0.3" footer="0.3"/>
  <pageSetup scale="73" orientation="portrait" r:id="rId1"/>
  <headerFooter scaleWithDoc="0">
    <oddHeader>&amp;L&amp;"-,Bold"&amp;10Dockets UE-170485 and UG-170486
Exhibit DJG-4&amp;R&amp;"-,Bold"&amp;8Awarded Returns vs. Market Cost of Equity (2005-2016)
Page 14 of 17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AW47"/>
  <sheetViews>
    <sheetView view="pageLayout" topLeftCell="V1" zoomScaleNormal="100" workbookViewId="0">
      <selection activeCell="AG29" sqref="AG29"/>
    </sheetView>
  </sheetViews>
  <sheetFormatPr defaultColWidth="9.140625" defaultRowHeight="15" x14ac:dyDescent="0.25"/>
  <cols>
    <col min="1" max="1" width="9.28515625" style="242" customWidth="1"/>
    <col min="2" max="2" width="1.7109375" style="242" customWidth="1"/>
    <col min="3" max="3" width="9.28515625" style="242" customWidth="1"/>
    <col min="4" max="4" width="1.7109375" style="242" customWidth="1"/>
    <col min="5" max="5" width="9.28515625" style="242" customWidth="1"/>
    <col min="6" max="6" width="1.7109375" style="242" customWidth="1"/>
    <col min="7" max="7" width="9.28515625" style="242" customWidth="1"/>
    <col min="8" max="8" width="1.7109375" style="242" customWidth="1"/>
    <col min="9" max="9" width="9.42578125" style="242" customWidth="1"/>
    <col min="10" max="10" width="1.7109375" style="242" customWidth="1"/>
    <col min="11" max="11" width="9.28515625" style="242" customWidth="1"/>
    <col min="12" max="12" width="1.7109375" style="242" customWidth="1"/>
    <col min="13" max="13" width="9.28515625" style="242" customWidth="1"/>
    <col min="14" max="14" width="1.7109375" style="242" customWidth="1"/>
    <col min="15" max="15" width="10.42578125" style="242" customWidth="1"/>
    <col min="16" max="16" width="1.7109375" style="242" customWidth="1"/>
    <col min="17" max="17" width="9.28515625" style="242" customWidth="1"/>
    <col min="18" max="18" width="1.7109375" style="242" customWidth="1"/>
    <col min="19" max="19" width="9.28515625" style="242" customWidth="1"/>
    <col min="20" max="20" width="1.7109375" style="242" customWidth="1"/>
    <col min="21" max="21" width="9.28515625" style="242" customWidth="1"/>
    <col min="22" max="22" width="1.7109375" style="242" customWidth="1"/>
    <col min="23" max="24" width="9.5703125" style="242" customWidth="1"/>
    <col min="25" max="25" width="13.28515625" style="242" customWidth="1"/>
    <col min="26" max="26" width="2.7109375" style="242" customWidth="1"/>
    <col min="27" max="34" width="9.140625" style="242"/>
    <col min="35" max="35" width="9.28515625" style="242" customWidth="1"/>
    <col min="36" max="36" width="1.7109375" style="242" customWidth="1"/>
    <col min="37" max="37" width="9.28515625" style="242" customWidth="1"/>
    <col min="38" max="38" width="1.7109375" style="242" customWidth="1"/>
    <col min="39" max="39" width="9.28515625" style="242" customWidth="1"/>
    <col min="40" max="40" width="1.7109375" style="242" customWidth="1"/>
    <col min="41" max="41" width="9.28515625" style="242" customWidth="1"/>
    <col min="42" max="42" width="1.7109375" style="242" customWidth="1"/>
    <col min="43" max="43" width="9.42578125" style="242" customWidth="1"/>
    <col min="44" max="44" width="1.7109375" style="242" customWidth="1"/>
    <col min="45" max="45" width="9.28515625" style="242" customWidth="1"/>
    <col min="46" max="46" width="1.7109375" style="242" customWidth="1"/>
    <col min="47" max="47" width="9.28515625" style="242" customWidth="1"/>
    <col min="48" max="48" width="1.7109375" style="242" customWidth="1"/>
    <col min="49" max="49" width="10.42578125" style="242" customWidth="1"/>
    <col min="50" max="50" width="1.7109375" style="242" customWidth="1"/>
    <col min="51" max="51" width="9.140625" style="242"/>
    <col min="52" max="52" width="1.7109375" style="242" customWidth="1"/>
    <col min="53" max="53" width="9.140625" style="242"/>
    <col min="54" max="54" width="1.7109375" style="242" customWidth="1"/>
    <col min="55" max="55" width="9.140625" style="242"/>
    <col min="56" max="56" width="1.7109375" style="242" customWidth="1"/>
    <col min="57" max="16384" width="9.140625" style="242"/>
  </cols>
  <sheetData>
    <row r="1" spans="1:49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7"/>
    </row>
    <row r="3" spans="1:49" x14ac:dyDescent="0.25">
      <c r="E3" s="100"/>
      <c r="Q3" s="241" t="s">
        <v>50</v>
      </c>
      <c r="S3" s="241" t="s">
        <v>51</v>
      </c>
      <c r="T3" s="241"/>
      <c r="U3" s="241" t="s">
        <v>52</v>
      </c>
      <c r="V3" s="241"/>
      <c r="W3" s="241" t="s">
        <v>53</v>
      </c>
      <c r="X3" s="241"/>
    </row>
    <row r="5" spans="1:49" x14ac:dyDescent="0.25">
      <c r="A5" s="407" t="s">
        <v>178</v>
      </c>
      <c r="B5" s="407"/>
      <c r="C5" s="407"/>
      <c r="D5" s="407"/>
      <c r="E5" s="407"/>
      <c r="F5" s="166"/>
      <c r="G5" s="166"/>
      <c r="H5" s="166"/>
      <c r="I5" s="166"/>
      <c r="J5" s="166"/>
      <c r="K5" s="37"/>
      <c r="M5" s="246"/>
      <c r="P5" s="166"/>
      <c r="Q5" s="407" t="s">
        <v>179</v>
      </c>
      <c r="R5" s="407"/>
      <c r="S5" s="407"/>
      <c r="T5" s="407"/>
      <c r="U5" s="407"/>
      <c r="V5" s="407"/>
      <c r="W5" s="407"/>
      <c r="X5" s="166"/>
    </row>
    <row r="6" spans="1:49" x14ac:dyDescent="0.25">
      <c r="K6" s="37"/>
      <c r="M6" s="246"/>
      <c r="Q6" s="241" t="s">
        <v>180</v>
      </c>
      <c r="R6" s="241"/>
      <c r="S6" s="241" t="s">
        <v>181</v>
      </c>
      <c r="T6" s="241"/>
      <c r="U6" s="241"/>
      <c r="V6" s="241"/>
      <c r="W6" s="241" t="s">
        <v>182</v>
      </c>
      <c r="X6" s="241"/>
    </row>
    <row r="7" spans="1:49" x14ac:dyDescent="0.25">
      <c r="A7" s="396" t="s">
        <v>183</v>
      </c>
      <c r="B7" s="396"/>
      <c r="C7" s="396"/>
      <c r="E7" s="247">
        <v>289803</v>
      </c>
      <c r="F7" s="248"/>
      <c r="G7" s="249" t="s">
        <v>3</v>
      </c>
      <c r="H7" s="248"/>
      <c r="I7" s="248"/>
      <c r="J7" s="248"/>
      <c r="K7" s="37"/>
      <c r="M7" s="246"/>
      <c r="Q7" s="187" t="s">
        <v>184</v>
      </c>
      <c r="R7" s="187"/>
      <c r="S7" s="187" t="s">
        <v>185</v>
      </c>
      <c r="T7" s="187"/>
      <c r="U7" s="187" t="s">
        <v>186</v>
      </c>
      <c r="V7" s="187"/>
      <c r="W7" s="187" t="s">
        <v>27</v>
      </c>
      <c r="X7" s="94"/>
      <c r="AI7" s="376" t="s">
        <v>223</v>
      </c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</row>
    <row r="8" spans="1:49" x14ac:dyDescent="0.25">
      <c r="A8" s="396" t="s">
        <v>187</v>
      </c>
      <c r="B8" s="396"/>
      <c r="C8" s="396"/>
      <c r="E8" s="247">
        <v>87130</v>
      </c>
      <c r="F8" s="248"/>
      <c r="G8" s="249" t="s">
        <v>4</v>
      </c>
      <c r="H8" s="248"/>
      <c r="I8" s="248"/>
      <c r="J8" s="248"/>
      <c r="K8" s="37"/>
      <c r="M8" s="246"/>
      <c r="Q8" s="48" t="s">
        <v>353</v>
      </c>
      <c r="R8" s="241"/>
      <c r="S8" s="48" t="s">
        <v>188</v>
      </c>
      <c r="T8" s="48"/>
      <c r="U8" s="244">
        <v>6.0000000000000001E-3</v>
      </c>
      <c r="V8" s="57"/>
      <c r="W8" s="250">
        <f t="shared" ref="W8:W19" si="0">$E$16+U8</f>
        <v>3.4073333333333337E-2</v>
      </c>
      <c r="X8" s="250"/>
      <c r="Z8" s="15"/>
    </row>
    <row r="9" spans="1:49" x14ac:dyDescent="0.25">
      <c r="A9" s="396" t="s">
        <v>189</v>
      </c>
      <c r="B9" s="396"/>
      <c r="C9" s="396"/>
      <c r="E9" s="267">
        <v>1682004</v>
      </c>
      <c r="F9" s="248"/>
      <c r="G9" s="249" t="s">
        <v>5</v>
      </c>
      <c r="H9" s="248"/>
      <c r="I9" s="248"/>
      <c r="J9" s="248"/>
      <c r="K9" s="37"/>
      <c r="M9" s="246"/>
      <c r="Q9" s="48" t="s">
        <v>354</v>
      </c>
      <c r="R9" s="241"/>
      <c r="S9" s="48" t="s">
        <v>190</v>
      </c>
      <c r="T9" s="48"/>
      <c r="U9" s="244">
        <v>8.0000000000000002E-3</v>
      </c>
      <c r="V9" s="57"/>
      <c r="W9" s="250">
        <f t="shared" si="0"/>
        <v>3.6073333333333332E-2</v>
      </c>
      <c r="X9" s="250"/>
      <c r="Z9" s="15"/>
      <c r="AI9" s="241" t="s">
        <v>224</v>
      </c>
      <c r="AJ9" s="241"/>
      <c r="AK9" s="241" t="s">
        <v>226</v>
      </c>
      <c r="AL9" s="241"/>
      <c r="AM9" s="241" t="s">
        <v>227</v>
      </c>
      <c r="AN9" s="241"/>
      <c r="AO9" s="241" t="s">
        <v>228</v>
      </c>
      <c r="AP9" s="241"/>
      <c r="AQ9" s="241" t="s">
        <v>180</v>
      </c>
      <c r="AR9" s="241"/>
      <c r="AS9" s="241" t="s">
        <v>230</v>
      </c>
      <c r="AT9" s="241"/>
      <c r="AU9" s="241" t="s">
        <v>231</v>
      </c>
      <c r="AV9" s="241"/>
      <c r="AW9" s="241" t="s">
        <v>232</v>
      </c>
    </row>
    <row r="10" spans="1:49" x14ac:dyDescent="0.25">
      <c r="A10" s="396" t="s">
        <v>191</v>
      </c>
      <c r="B10" s="396"/>
      <c r="C10" s="396"/>
      <c r="E10" s="267">
        <v>1648727</v>
      </c>
      <c r="F10" s="248"/>
      <c r="G10" s="249" t="s">
        <v>6</v>
      </c>
      <c r="H10" s="248"/>
      <c r="I10" s="248"/>
      <c r="J10" s="248"/>
      <c r="K10" s="37"/>
      <c r="M10" s="246"/>
      <c r="Q10" s="48" t="s">
        <v>355</v>
      </c>
      <c r="R10" s="241"/>
      <c r="S10" s="48" t="s">
        <v>192</v>
      </c>
      <c r="T10" s="48"/>
      <c r="U10" s="244">
        <v>0.01</v>
      </c>
      <c r="V10" s="57"/>
      <c r="W10" s="250">
        <f t="shared" si="0"/>
        <v>3.8073333333333334E-2</v>
      </c>
      <c r="X10" s="250"/>
      <c r="Z10" s="15"/>
      <c r="AI10" s="187" t="s">
        <v>184</v>
      </c>
      <c r="AJ10" s="187"/>
      <c r="AK10" s="187" t="s">
        <v>62</v>
      </c>
      <c r="AL10" s="187"/>
      <c r="AM10" s="187" t="s">
        <v>137</v>
      </c>
      <c r="AN10" s="187"/>
      <c r="AO10" s="187" t="s">
        <v>63</v>
      </c>
      <c r="AP10" s="187"/>
      <c r="AQ10" s="187" t="s">
        <v>184</v>
      </c>
      <c r="AR10" s="187"/>
      <c r="AS10" s="187" t="s">
        <v>197</v>
      </c>
      <c r="AT10" s="187"/>
      <c r="AU10" s="187" t="s">
        <v>235</v>
      </c>
      <c r="AV10" s="187"/>
      <c r="AW10" s="187" t="s">
        <v>316</v>
      </c>
    </row>
    <row r="11" spans="1:49" x14ac:dyDescent="0.25">
      <c r="A11" s="396" t="s">
        <v>193</v>
      </c>
      <c r="B11" s="396"/>
      <c r="C11" s="396"/>
      <c r="E11" s="57">
        <f>E9/(E9+E10)</f>
        <v>0.50499544994777423</v>
      </c>
      <c r="F11" s="251"/>
      <c r="G11" s="169" t="s">
        <v>7</v>
      </c>
      <c r="H11" s="251"/>
      <c r="I11" s="251"/>
      <c r="J11" s="251"/>
      <c r="K11" s="37"/>
      <c r="M11" s="246"/>
      <c r="Q11" s="48" t="s">
        <v>356</v>
      </c>
      <c r="R11" s="241"/>
      <c r="S11" s="48" t="s">
        <v>194</v>
      </c>
      <c r="T11" s="48"/>
      <c r="U11" s="244">
        <v>1.0999999999999999E-2</v>
      </c>
      <c r="V11" s="57"/>
      <c r="W11" s="250">
        <f t="shared" si="0"/>
        <v>3.9073333333333335E-2</v>
      </c>
      <c r="X11" s="250"/>
      <c r="Z11" s="15"/>
      <c r="AI11" s="254">
        <v>0</v>
      </c>
      <c r="AJ11" s="254"/>
      <c r="AK11" s="82">
        <v>0.4673941672057596</v>
      </c>
      <c r="AL11" s="252"/>
      <c r="AM11" s="250">
        <v>5.9201480699874798E-2</v>
      </c>
      <c r="AN11" s="15"/>
      <c r="AO11" s="250">
        <v>8.7499999999999994E-2</v>
      </c>
      <c r="AP11" s="15"/>
      <c r="AQ11" s="256" t="s">
        <v>236</v>
      </c>
      <c r="AR11" s="256"/>
      <c r="AS11" s="250">
        <v>2.366E-2</v>
      </c>
      <c r="AT11" s="250"/>
      <c r="AU11" s="244">
        <v>5.9201480699874798E-2</v>
      </c>
      <c r="AW11" s="244">
        <v>8.7499999999999994E-2</v>
      </c>
    </row>
    <row r="12" spans="1:49" x14ac:dyDescent="0.25">
      <c r="A12" s="396" t="s">
        <v>195</v>
      </c>
      <c r="B12" s="396"/>
      <c r="C12" s="396"/>
      <c r="E12" s="251">
        <f>E9/E10</f>
        <v>1.0201834506258465</v>
      </c>
      <c r="F12" s="251"/>
      <c r="G12" s="169" t="s">
        <v>23</v>
      </c>
      <c r="H12" s="251"/>
      <c r="I12" s="251"/>
      <c r="J12" s="251"/>
      <c r="K12" s="37"/>
      <c r="M12" s="246"/>
      <c r="Q12" s="350" t="s">
        <v>357</v>
      </c>
      <c r="R12" s="241"/>
      <c r="S12" s="48" t="s">
        <v>196</v>
      </c>
      <c r="T12" s="48"/>
      <c r="U12" s="244">
        <v>1.2500000000000001E-2</v>
      </c>
      <c r="V12" s="57"/>
      <c r="W12" s="250">
        <f t="shared" si="0"/>
        <v>4.0573333333333336E-2</v>
      </c>
      <c r="X12" s="250"/>
      <c r="Z12" s="15"/>
      <c r="AI12" s="254">
        <v>0.4</v>
      </c>
      <c r="AJ12" s="254"/>
      <c r="AK12" s="82">
        <v>0.66993163966158875</v>
      </c>
      <c r="AL12" s="252"/>
      <c r="AM12" s="250">
        <v>7.1677789003153872E-2</v>
      </c>
      <c r="AN12" s="15"/>
      <c r="AO12" s="250">
        <v>8.7499999999999994E-2</v>
      </c>
      <c r="AP12" s="15"/>
      <c r="AQ12" s="4">
        <v>8.1898526321155884</v>
      </c>
      <c r="AR12" s="256"/>
      <c r="AS12" s="250">
        <v>2.6259999999999999E-2</v>
      </c>
      <c r="AT12" s="250"/>
      <c r="AU12" s="244">
        <v>5.351067340189232E-2</v>
      </c>
      <c r="AW12" s="244">
        <v>6.3004000000000004E-2</v>
      </c>
    </row>
    <row r="13" spans="1:49" ht="15.75" thickBot="1" x14ac:dyDescent="0.3">
      <c r="A13" s="396" t="s">
        <v>197</v>
      </c>
      <c r="B13" s="396"/>
      <c r="C13" s="396"/>
      <c r="E13" s="57">
        <v>5.62E-2</v>
      </c>
      <c r="F13" s="57"/>
      <c r="G13" s="238" t="s">
        <v>24</v>
      </c>
      <c r="H13" s="57"/>
      <c r="I13" s="57"/>
      <c r="J13" s="57"/>
      <c r="K13" s="37"/>
      <c r="M13" s="246"/>
      <c r="O13" s="242" t="s">
        <v>198</v>
      </c>
      <c r="Q13" s="274" t="s">
        <v>199</v>
      </c>
      <c r="R13" s="275"/>
      <c r="S13" s="274" t="s">
        <v>200</v>
      </c>
      <c r="T13" s="274"/>
      <c r="U13" s="276">
        <v>1.6E-2</v>
      </c>
      <c r="V13" s="277"/>
      <c r="W13" s="278">
        <f t="shared" si="0"/>
        <v>4.4073333333333339E-2</v>
      </c>
      <c r="X13" s="250"/>
      <c r="Z13" s="15"/>
      <c r="AI13" s="254">
        <v>0.45</v>
      </c>
      <c r="AJ13" s="254"/>
      <c r="AK13" s="82">
        <v>0.7159628834015499</v>
      </c>
      <c r="AL13" s="252"/>
      <c r="AM13" s="250">
        <v>7.4513313617535479E-2</v>
      </c>
      <c r="AN13" s="15"/>
      <c r="AO13" s="250">
        <v>8.7499999999999994E-2</v>
      </c>
      <c r="AP13" s="15"/>
      <c r="AQ13" s="4">
        <v>7.2798690063249678</v>
      </c>
      <c r="AR13" s="256"/>
      <c r="AS13" s="250">
        <v>2.691E-2</v>
      </c>
      <c r="AT13" s="250"/>
      <c r="AU13" s="244">
        <v>5.3091822489644516E-2</v>
      </c>
      <c r="AW13" s="244">
        <v>6.0234500000000003E-2</v>
      </c>
    </row>
    <row r="14" spans="1:49" x14ac:dyDescent="0.25">
      <c r="A14" s="396" t="s">
        <v>201</v>
      </c>
      <c r="B14" s="396"/>
      <c r="C14" s="396"/>
      <c r="E14" s="251">
        <v>0.35</v>
      </c>
      <c r="F14" s="251"/>
      <c r="G14" s="169" t="s">
        <v>25</v>
      </c>
      <c r="H14" s="251"/>
      <c r="I14" s="251"/>
      <c r="J14" s="251"/>
      <c r="K14" s="37"/>
      <c r="M14" s="246"/>
      <c r="Q14" s="48" t="s">
        <v>358</v>
      </c>
      <c r="R14" s="241"/>
      <c r="S14" s="48" t="s">
        <v>202</v>
      </c>
      <c r="T14" s="48"/>
      <c r="U14" s="244">
        <v>2.5000000000000001E-2</v>
      </c>
      <c r="V14" s="57"/>
      <c r="W14" s="250">
        <f t="shared" si="0"/>
        <v>5.3073333333333333E-2</v>
      </c>
      <c r="X14" s="250"/>
      <c r="Z14" s="15"/>
      <c r="AI14" s="257">
        <v>0.5</v>
      </c>
      <c r="AJ14" s="254"/>
      <c r="AK14" s="82">
        <v>0.7712003758895033</v>
      </c>
      <c r="AL14" s="252"/>
      <c r="AM14" s="250">
        <v>7.7915943154793416E-2</v>
      </c>
      <c r="AN14" s="15"/>
      <c r="AO14" s="250">
        <v>8.7499999999999994E-2</v>
      </c>
      <c r="AP14" s="15"/>
      <c r="AQ14" s="4">
        <v>6.5518821056924716</v>
      </c>
      <c r="AR14" s="258"/>
      <c r="AS14" s="250">
        <v>2.691E-2</v>
      </c>
      <c r="AT14" s="250"/>
      <c r="AU14" s="259">
        <v>5.2412971577396709E-2</v>
      </c>
      <c r="AW14" s="244">
        <v>5.7204999999999999E-2</v>
      </c>
    </row>
    <row r="15" spans="1:49" x14ac:dyDescent="0.25">
      <c r="A15" s="396" t="s">
        <v>203</v>
      </c>
      <c r="B15" s="396"/>
      <c r="C15" s="396"/>
      <c r="E15" s="12">
        <f>'12 CAPM Result'!G29/(1+(1-'16 Optimal Cap Structure'!E14)*('16 Optimal Cap Structure'!E12))</f>
        <v>0.42620126754885163</v>
      </c>
      <c r="F15" s="252"/>
      <c r="G15" s="82" t="s">
        <v>28</v>
      </c>
      <c r="H15" s="252"/>
      <c r="I15" s="252"/>
      <c r="J15" s="252"/>
      <c r="K15" s="37"/>
      <c r="M15" s="246"/>
      <c r="Q15" s="48" t="s">
        <v>359</v>
      </c>
      <c r="R15" s="241"/>
      <c r="S15" s="48" t="s">
        <v>204</v>
      </c>
      <c r="T15" s="48"/>
      <c r="U15" s="244">
        <v>0.03</v>
      </c>
      <c r="V15" s="57"/>
      <c r="W15" s="250">
        <f t="shared" si="0"/>
        <v>5.8073333333333338E-2</v>
      </c>
      <c r="X15" s="250"/>
      <c r="Z15" s="15"/>
      <c r="AI15" s="254">
        <v>0.55000000000000004</v>
      </c>
      <c r="AJ15" s="254"/>
      <c r="AK15" s="82">
        <v>0.83871286670811318</v>
      </c>
      <c r="AL15" s="252"/>
      <c r="AM15" s="250">
        <v>8.2074712589219778E-2</v>
      </c>
      <c r="AN15" s="15"/>
      <c r="AO15" s="250">
        <v>8.7499999999999994E-2</v>
      </c>
      <c r="AP15" s="15"/>
      <c r="AQ15" s="4">
        <v>5.9562564597204277</v>
      </c>
      <c r="AR15" s="258"/>
      <c r="AS15" s="250">
        <v>2.7885E-2</v>
      </c>
      <c r="AT15" s="250"/>
      <c r="AU15" s="244">
        <v>5.2270370665148898E-2</v>
      </c>
      <c r="AW15" s="244">
        <v>5.4711749999999996E-2</v>
      </c>
    </row>
    <row r="16" spans="1:49" x14ac:dyDescent="0.25">
      <c r="A16" s="396" t="s">
        <v>41</v>
      </c>
      <c r="B16" s="396"/>
      <c r="C16" s="396"/>
      <c r="E16" s="15">
        <f>'8 Risk Free Rate'!E36</f>
        <v>2.8073333333333336E-2</v>
      </c>
      <c r="F16" s="15"/>
      <c r="G16" s="171" t="s">
        <v>40</v>
      </c>
      <c r="H16" s="15"/>
      <c r="I16" s="15"/>
      <c r="J16" s="15"/>
      <c r="K16" s="37"/>
      <c r="M16" s="246"/>
      <c r="Q16" s="48" t="s">
        <v>360</v>
      </c>
      <c r="R16" s="241"/>
      <c r="S16" s="48" t="s">
        <v>205</v>
      </c>
      <c r="T16" s="48"/>
      <c r="U16" s="244">
        <v>3.7499999999999999E-2</v>
      </c>
      <c r="V16" s="57"/>
      <c r="W16" s="250">
        <f t="shared" si="0"/>
        <v>6.5573333333333331E-2</v>
      </c>
      <c r="X16" s="250"/>
      <c r="Z16" s="15"/>
      <c r="AI16" s="254">
        <v>0.56000000000000005</v>
      </c>
      <c r="AJ16" s="254"/>
      <c r="AK16" s="82">
        <v>0.85405661462143345</v>
      </c>
      <c r="AL16" s="252"/>
      <c r="AM16" s="250">
        <v>8.3019887460680314E-2</v>
      </c>
      <c r="AN16" s="15"/>
      <c r="AO16" s="250">
        <v>8.7499999999999994E-2</v>
      </c>
      <c r="AP16" s="15"/>
      <c r="AQ16" s="4">
        <v>5.8498947372254202</v>
      </c>
      <c r="AR16" s="258"/>
      <c r="AS16" s="250">
        <v>2.7885E-2</v>
      </c>
      <c r="AT16" s="250"/>
      <c r="AU16" s="244">
        <v>5.2144350482699331E-2</v>
      </c>
      <c r="AV16" s="15"/>
      <c r="AW16" s="244">
        <v>5.4115599999999993E-2</v>
      </c>
    </row>
    <row r="17" spans="1:49" x14ac:dyDescent="0.25">
      <c r="A17" s="396" t="s">
        <v>206</v>
      </c>
      <c r="B17" s="396"/>
      <c r="C17" s="396"/>
      <c r="E17" s="15">
        <f>'11 ERP Result'!C18</f>
        <v>5.7000000000000002E-2</v>
      </c>
      <c r="F17" s="15"/>
      <c r="G17" s="171" t="s">
        <v>42</v>
      </c>
      <c r="H17" s="15"/>
      <c r="I17" s="15"/>
      <c r="J17" s="15"/>
      <c r="K17" s="37"/>
      <c r="M17" s="246"/>
      <c r="Q17" s="48" t="s">
        <v>361</v>
      </c>
      <c r="R17" s="241"/>
      <c r="S17" s="48" t="s">
        <v>207</v>
      </c>
      <c r="T17" s="48"/>
      <c r="U17" s="244">
        <v>4.4999999999999998E-2</v>
      </c>
      <c r="V17" s="57"/>
      <c r="W17" s="250">
        <f t="shared" si="0"/>
        <v>7.3073333333333337E-2</v>
      </c>
      <c r="X17" s="250"/>
      <c r="Z17" s="15"/>
      <c r="AI17" s="254">
        <v>0.57999999999999996</v>
      </c>
      <c r="AJ17" s="254"/>
      <c r="AK17" s="82">
        <v>0.88693607443569145</v>
      </c>
      <c r="AL17" s="252"/>
      <c r="AM17" s="250">
        <v>8.5045262185238599E-2</v>
      </c>
      <c r="AN17" s="15"/>
      <c r="AO17" s="250">
        <v>8.7499999999999994E-2</v>
      </c>
      <c r="AP17" s="15"/>
      <c r="AQ17" s="4">
        <v>5.6481742290452335</v>
      </c>
      <c r="AR17" s="258"/>
      <c r="AS17" s="250">
        <v>2.7885E-2</v>
      </c>
      <c r="AT17" s="250"/>
      <c r="AU17" s="244">
        <v>5.1892310117800211E-2</v>
      </c>
      <c r="AV17" s="15"/>
      <c r="AW17" s="259">
        <v>5.2923299999999993E-2</v>
      </c>
    </row>
    <row r="18" spans="1:49" x14ac:dyDescent="0.25">
      <c r="A18" s="242" t="s">
        <v>208</v>
      </c>
      <c r="E18" s="12">
        <f>E7/E8</f>
        <v>3.3260989326294044</v>
      </c>
      <c r="F18" s="15"/>
      <c r="G18" s="171" t="s">
        <v>48</v>
      </c>
      <c r="H18" s="15"/>
      <c r="I18" s="15"/>
      <c r="J18" s="15"/>
      <c r="K18" s="37"/>
      <c r="M18" s="246"/>
      <c r="Q18" s="48" t="s">
        <v>209</v>
      </c>
      <c r="R18" s="241"/>
      <c r="S18" s="48" t="s">
        <v>210</v>
      </c>
      <c r="T18" s="48"/>
      <c r="U18" s="244">
        <v>5.5E-2</v>
      </c>
      <c r="V18" s="57"/>
      <c r="W18" s="250">
        <f t="shared" si="0"/>
        <v>8.3073333333333332E-2</v>
      </c>
      <c r="X18" s="250"/>
      <c r="Z18" s="15"/>
      <c r="AI18" s="260">
        <v>0.6</v>
      </c>
      <c r="AJ18" s="257"/>
      <c r="AK18" s="263">
        <v>0.92310348023137512</v>
      </c>
      <c r="AL18" s="264"/>
      <c r="AM18" s="265">
        <v>8.7273174382252711E-2</v>
      </c>
      <c r="AN18" s="266"/>
      <c r="AO18" s="250">
        <v>8.7499999999999994E-2</v>
      </c>
      <c r="AP18" s="266"/>
      <c r="AQ18" s="268">
        <v>5.4599017547437256</v>
      </c>
      <c r="AR18" s="269"/>
      <c r="AS18" s="265">
        <v>2.7885E-2</v>
      </c>
      <c r="AT18" s="265"/>
      <c r="AU18" s="259">
        <v>5.1640269752901091E-2</v>
      </c>
      <c r="AV18" s="266"/>
      <c r="AW18" s="270">
        <v>5.1730999999999999E-2</v>
      </c>
    </row>
    <row r="19" spans="1:49" x14ac:dyDescent="0.25">
      <c r="A19" s="242" t="s">
        <v>211</v>
      </c>
      <c r="E19" s="253" t="str">
        <f>'3 Proxy Sum'!I9</f>
        <v>Baa1</v>
      </c>
      <c r="F19" s="15"/>
      <c r="G19" s="171" t="s">
        <v>49</v>
      </c>
      <c r="H19" s="15"/>
      <c r="I19" s="15"/>
      <c r="J19" s="15"/>
      <c r="K19" s="37"/>
      <c r="M19" s="246"/>
      <c r="Q19" s="48" t="s">
        <v>362</v>
      </c>
      <c r="R19" s="241"/>
      <c r="S19" s="48" t="s">
        <v>212</v>
      </c>
      <c r="T19" s="48"/>
      <c r="U19" s="244">
        <v>6.5000000000000002E-2</v>
      </c>
      <c r="V19" s="57"/>
      <c r="W19" s="250">
        <f t="shared" si="0"/>
        <v>9.3073333333333341E-2</v>
      </c>
      <c r="X19" s="250"/>
      <c r="Z19" s="15"/>
      <c r="AI19" s="260">
        <v>0.65</v>
      </c>
      <c r="AJ19" s="257"/>
      <c r="AK19" s="263">
        <v>1.0316056976184267</v>
      </c>
      <c r="AL19" s="264"/>
      <c r="AM19" s="265">
        <v>9.3956910973295088E-2</v>
      </c>
      <c r="AN19" s="266"/>
      <c r="AO19" s="250">
        <v>8.7499999999999994E-2</v>
      </c>
      <c r="AP19" s="266"/>
      <c r="AQ19" s="268">
        <v>5.0399093120711314</v>
      </c>
      <c r="AR19" s="269"/>
      <c r="AS19" s="265">
        <v>2.7885E-2</v>
      </c>
      <c r="AT19" s="265"/>
      <c r="AU19" s="259">
        <v>5.1010168840653278E-2</v>
      </c>
      <c r="AV19" s="266"/>
      <c r="AW19" s="270">
        <v>4.8750249999999995E-2</v>
      </c>
    </row>
    <row r="20" spans="1:49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7"/>
      <c r="AI20" s="273">
        <v>0.7</v>
      </c>
      <c r="AJ20" s="257"/>
      <c r="AK20" s="263">
        <v>1.1762753208011616</v>
      </c>
      <c r="AL20" s="264"/>
      <c r="AM20" s="265">
        <v>0.10286855976135156</v>
      </c>
      <c r="AN20" s="266"/>
      <c r="AO20" s="250">
        <v>8.7499999999999994E-2</v>
      </c>
      <c r="AP20" s="266"/>
      <c r="AQ20" s="268">
        <v>4.6799157897803365</v>
      </c>
      <c r="AR20" s="269"/>
      <c r="AS20" s="250">
        <v>2.7885E-2</v>
      </c>
      <c r="AT20" s="265"/>
      <c r="AU20" s="272">
        <v>5.0380067928405471E-2</v>
      </c>
      <c r="AW20" s="259">
        <v>4.5769500000000005E-2</v>
      </c>
    </row>
    <row r="21" spans="1:49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49" x14ac:dyDescent="0.25">
      <c r="A22" s="241" t="s">
        <v>60</v>
      </c>
      <c r="B22" s="241"/>
      <c r="C22" s="241" t="s">
        <v>61</v>
      </c>
      <c r="D22" s="241"/>
      <c r="E22" s="238" t="s">
        <v>77</v>
      </c>
      <c r="F22" s="238"/>
      <c r="G22" s="171" t="s">
        <v>214</v>
      </c>
      <c r="H22" s="171"/>
      <c r="I22" s="241" t="s">
        <v>215</v>
      </c>
      <c r="J22" s="241"/>
      <c r="K22" s="241" t="s">
        <v>216</v>
      </c>
      <c r="L22" s="241"/>
      <c r="M22" s="241" t="s">
        <v>217</v>
      </c>
      <c r="N22" s="241"/>
      <c r="O22" s="241" t="s">
        <v>218</v>
      </c>
      <c r="P22" s="241"/>
      <c r="Q22" s="241" t="s">
        <v>219</v>
      </c>
      <c r="R22" s="241"/>
      <c r="S22" s="241" t="s">
        <v>220</v>
      </c>
      <c r="U22" s="241" t="s">
        <v>221</v>
      </c>
      <c r="W22" s="241" t="s">
        <v>222</v>
      </c>
      <c r="X22" s="241"/>
    </row>
    <row r="23" spans="1:49" x14ac:dyDescent="0.25">
      <c r="A23" s="241"/>
      <c r="B23" s="241"/>
      <c r="C23" s="48"/>
      <c r="D23" s="48"/>
      <c r="E23" s="57"/>
      <c r="F23" s="57"/>
      <c r="G23" s="15"/>
      <c r="H23" s="15"/>
      <c r="I23" s="15"/>
      <c r="J23" s="15"/>
      <c r="O23" s="241"/>
      <c r="Q23" s="48"/>
    </row>
    <row r="24" spans="1:49" x14ac:dyDescent="0.25">
      <c r="A24" s="376" t="s">
        <v>223</v>
      </c>
      <c r="B24" s="376"/>
      <c r="C24" s="376"/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6"/>
      <c r="T24" s="376"/>
      <c r="U24" s="376"/>
      <c r="V24" s="376"/>
      <c r="W24" s="376"/>
      <c r="X24" s="27"/>
    </row>
    <row r="26" spans="1:49" x14ac:dyDescent="0.25">
      <c r="A26" s="241" t="s">
        <v>224</v>
      </c>
      <c r="B26" s="241"/>
      <c r="C26" s="241" t="s">
        <v>225</v>
      </c>
      <c r="D26" s="241"/>
      <c r="E26" s="241" t="s">
        <v>226</v>
      </c>
      <c r="F26" s="241"/>
      <c r="G26" s="241" t="s">
        <v>227</v>
      </c>
      <c r="H26" s="241"/>
      <c r="I26" s="241" t="s">
        <v>228</v>
      </c>
      <c r="J26" s="241"/>
      <c r="K26" s="241" t="s">
        <v>224</v>
      </c>
      <c r="L26" s="241"/>
      <c r="M26" s="241" t="s">
        <v>182</v>
      </c>
      <c r="N26" s="241"/>
      <c r="O26" s="241" t="s">
        <v>180</v>
      </c>
      <c r="P26" s="241"/>
      <c r="Q26" s="241" t="s">
        <v>229</v>
      </c>
      <c r="R26" s="241"/>
      <c r="S26" s="241" t="s">
        <v>230</v>
      </c>
      <c r="T26" s="241"/>
      <c r="U26" s="241" t="s">
        <v>231</v>
      </c>
      <c r="V26" s="241"/>
      <c r="W26" s="241" t="s">
        <v>232</v>
      </c>
      <c r="X26" s="241"/>
    </row>
    <row r="27" spans="1:49" x14ac:dyDescent="0.25">
      <c r="A27" s="187" t="s">
        <v>184</v>
      </c>
      <c r="B27" s="187"/>
      <c r="C27" s="187" t="s">
        <v>184</v>
      </c>
      <c r="D27" s="187"/>
      <c r="E27" s="187" t="s">
        <v>62</v>
      </c>
      <c r="F27" s="187"/>
      <c r="G27" s="187" t="s">
        <v>137</v>
      </c>
      <c r="H27" s="187"/>
      <c r="I27" s="187" t="s">
        <v>63</v>
      </c>
      <c r="J27" s="187"/>
      <c r="K27" s="187" t="s">
        <v>233</v>
      </c>
      <c r="L27" s="187"/>
      <c r="M27" s="187" t="s">
        <v>234</v>
      </c>
      <c r="N27" s="187"/>
      <c r="O27" s="187" t="s">
        <v>184</v>
      </c>
      <c r="P27" s="187"/>
      <c r="Q27" s="187" t="s">
        <v>197</v>
      </c>
      <c r="R27" s="187"/>
      <c r="S27" s="187" t="s">
        <v>197</v>
      </c>
      <c r="T27" s="187"/>
      <c r="U27" s="187" t="s">
        <v>235</v>
      </c>
      <c r="V27" s="187"/>
      <c r="W27" s="187" t="s">
        <v>363</v>
      </c>
      <c r="X27" s="94"/>
    </row>
    <row r="28" spans="1:49" x14ac:dyDescent="0.25">
      <c r="A28" s="254">
        <v>0</v>
      </c>
      <c r="B28" s="254"/>
      <c r="C28" s="255">
        <f>A28/(1-A28)</f>
        <v>0</v>
      </c>
      <c r="D28" s="251"/>
      <c r="E28" s="82">
        <f>$E$15</f>
        <v>0.42620126754885163</v>
      </c>
      <c r="F28" s="252"/>
      <c r="G28" s="250">
        <f t="shared" ref="G28:G34" si="1">$E$16+E28*$E$17</f>
        <v>5.2366805583617879E-2</v>
      </c>
      <c r="H28" s="15"/>
      <c r="I28" s="250">
        <v>9.9000000000000005E-2</v>
      </c>
      <c r="J28" s="15"/>
      <c r="K28" s="247">
        <f>A28*($E$9+$E$10)</f>
        <v>0</v>
      </c>
      <c r="L28" s="247"/>
      <c r="M28" s="247">
        <f t="shared" ref="M28:M34" si="2">K28*$E$13</f>
        <v>0</v>
      </c>
      <c r="N28" s="247"/>
      <c r="O28" s="256" t="s">
        <v>236</v>
      </c>
      <c r="P28" s="256"/>
      <c r="Q28" s="250">
        <v>3.4099999999999998E-2</v>
      </c>
      <c r="R28" s="250"/>
      <c r="S28" s="250">
        <f>Q28*(1-$E$14)</f>
        <v>2.2165000000000001E-2</v>
      </c>
      <c r="T28" s="250"/>
      <c r="U28" s="244">
        <f t="shared" ref="U28:U34" si="3">(A28*S28)+((1-A28)*G28)</f>
        <v>5.2366805583617879E-2</v>
      </c>
      <c r="W28" s="244">
        <f>(A28*S28)+((1-A28)*I28)</f>
        <v>9.9000000000000005E-2</v>
      </c>
      <c r="AI28" s="309" t="s">
        <v>224</v>
      </c>
      <c r="AJ28" s="309"/>
      <c r="AK28" s="309" t="s">
        <v>226</v>
      </c>
      <c r="AL28" s="309"/>
      <c r="AM28" s="309" t="s">
        <v>227</v>
      </c>
      <c r="AN28" s="309"/>
      <c r="AO28" s="309" t="s">
        <v>228</v>
      </c>
      <c r="AP28" s="309"/>
      <c r="AQ28" s="309" t="s">
        <v>180</v>
      </c>
      <c r="AR28" s="309"/>
      <c r="AS28" s="309" t="s">
        <v>230</v>
      </c>
      <c r="AT28" s="309"/>
      <c r="AU28" s="309" t="s">
        <v>231</v>
      </c>
      <c r="AV28" s="309"/>
      <c r="AW28" s="309" t="s">
        <v>232</v>
      </c>
    </row>
    <row r="29" spans="1:49" x14ac:dyDescent="0.25">
      <c r="A29" s="254">
        <v>0.2</v>
      </c>
      <c r="B29" s="254"/>
      <c r="C29" s="255">
        <f t="shared" ref="C29:C34" si="4">A29/(1-A29)</f>
        <v>0.25</v>
      </c>
      <c r="D29" s="251"/>
      <c r="E29" s="82">
        <f t="shared" ref="E29:E34" si="5">$E$28*(1+(1-$E$14)*C29)</f>
        <v>0.49545897352554003</v>
      </c>
      <c r="F29" s="252"/>
      <c r="G29" s="250">
        <f t="shared" si="1"/>
        <v>5.6314494824289116E-2</v>
      </c>
      <c r="H29" s="15"/>
      <c r="I29" s="250">
        <v>9.9000000000000005E-2</v>
      </c>
      <c r="J29" s="15"/>
      <c r="K29" s="247">
        <f t="shared" ref="K29:K34" si="6">A29*($E$9+$E$10)</f>
        <v>666146.20000000007</v>
      </c>
      <c r="L29" s="247"/>
      <c r="M29" s="247">
        <f t="shared" si="2"/>
        <v>37437.416440000001</v>
      </c>
      <c r="N29" s="247"/>
      <c r="O29" s="4">
        <f t="shared" ref="O29:O34" si="7">$E$7/M29</f>
        <v>7.7409989138662905</v>
      </c>
      <c r="P29" s="256"/>
      <c r="Q29" s="250">
        <v>3.61E-2</v>
      </c>
      <c r="R29" s="250"/>
      <c r="S29" s="250">
        <f t="shared" ref="S29:S34" si="8">Q29*(1-$E$14)</f>
        <v>2.3465E-2</v>
      </c>
      <c r="T29" s="250"/>
      <c r="U29" s="244">
        <f t="shared" si="3"/>
        <v>4.97445958594313E-2</v>
      </c>
      <c r="W29" s="244">
        <f t="shared" ref="W29:W34" si="9">(A29*S29)+((1-A29)*I29)</f>
        <v>8.3893000000000009E-2</v>
      </c>
      <c r="AI29" s="187" t="s">
        <v>184</v>
      </c>
      <c r="AJ29" s="187"/>
      <c r="AK29" s="187" t="s">
        <v>62</v>
      </c>
      <c r="AL29" s="187"/>
      <c r="AM29" s="187" t="s">
        <v>137</v>
      </c>
      <c r="AN29" s="187"/>
      <c r="AO29" s="187" t="s">
        <v>63</v>
      </c>
      <c r="AP29" s="187"/>
      <c r="AQ29" s="187" t="s">
        <v>184</v>
      </c>
      <c r="AR29" s="187"/>
      <c r="AS29" s="187" t="s">
        <v>197</v>
      </c>
      <c r="AT29" s="187"/>
      <c r="AU29" s="187" t="s">
        <v>235</v>
      </c>
      <c r="AV29" s="187"/>
      <c r="AW29" s="187" t="s">
        <v>363</v>
      </c>
    </row>
    <row r="30" spans="1:49" x14ac:dyDescent="0.25">
      <c r="A30" s="254">
        <v>0.3</v>
      </c>
      <c r="B30" s="254"/>
      <c r="C30" s="255">
        <f t="shared" si="4"/>
        <v>0.4285714285714286</v>
      </c>
      <c r="D30" s="251"/>
      <c r="E30" s="82">
        <f t="shared" si="5"/>
        <v>0.54492876350888886</v>
      </c>
      <c r="F30" s="252"/>
      <c r="G30" s="250">
        <f t="shared" si="1"/>
        <v>5.9134272853339997E-2</v>
      </c>
      <c r="H30" s="15"/>
      <c r="I30" s="250">
        <v>9.9000000000000005E-2</v>
      </c>
      <c r="J30" s="15"/>
      <c r="K30" s="247">
        <f t="shared" si="6"/>
        <v>999219.29999999993</v>
      </c>
      <c r="L30" s="247"/>
      <c r="M30" s="247">
        <f t="shared" si="2"/>
        <v>56156.124659999994</v>
      </c>
      <c r="N30" s="247"/>
      <c r="O30" s="4">
        <f t="shared" si="7"/>
        <v>5.160665942577527</v>
      </c>
      <c r="P30" s="256"/>
      <c r="Q30" s="250">
        <v>3.9100000000000003E-2</v>
      </c>
      <c r="R30" s="250"/>
      <c r="S30" s="250">
        <f t="shared" si="8"/>
        <v>2.5415000000000004E-2</v>
      </c>
      <c r="T30" s="250"/>
      <c r="U30" s="244">
        <f t="shared" si="3"/>
        <v>4.9018490997337995E-2</v>
      </c>
      <c r="W30" s="244">
        <f t="shared" si="9"/>
        <v>7.6924500000000007E-2</v>
      </c>
      <c r="Y30" s="247"/>
      <c r="AI30" s="254">
        <v>0</v>
      </c>
      <c r="AJ30" s="254"/>
      <c r="AK30" s="82">
        <v>0.42620126754885163</v>
      </c>
      <c r="AL30" s="252"/>
      <c r="AM30" s="250">
        <v>5.2366805583617879E-2</v>
      </c>
      <c r="AN30" s="15"/>
      <c r="AO30" s="250">
        <v>9.9000000000000005E-2</v>
      </c>
      <c r="AP30" s="247"/>
      <c r="AQ30" s="256" t="s">
        <v>236</v>
      </c>
      <c r="AR30" s="256"/>
      <c r="AS30" s="250">
        <v>2.2165000000000001E-2</v>
      </c>
      <c r="AT30" s="250"/>
      <c r="AU30" s="244">
        <v>5.2366805583617879E-2</v>
      </c>
      <c r="AV30" s="310"/>
      <c r="AW30" s="244">
        <v>9.9000000000000005E-2</v>
      </c>
    </row>
    <row r="31" spans="1:49" x14ac:dyDescent="0.25">
      <c r="A31" s="257">
        <v>0.4</v>
      </c>
      <c r="B31" s="254"/>
      <c r="C31" s="255">
        <f t="shared" si="4"/>
        <v>0.66666666666666674</v>
      </c>
      <c r="D31" s="251"/>
      <c r="E31" s="82">
        <f t="shared" si="5"/>
        <v>0.61088848348668734</v>
      </c>
      <c r="F31" s="252"/>
      <c r="G31" s="250">
        <f t="shared" si="1"/>
        <v>6.2893976892074516E-2</v>
      </c>
      <c r="H31" s="15"/>
      <c r="I31" s="250">
        <v>9.9000000000000005E-2</v>
      </c>
      <c r="J31" s="15"/>
      <c r="K31" s="247">
        <f t="shared" si="6"/>
        <v>1332292.4000000001</v>
      </c>
      <c r="L31" s="247"/>
      <c r="M31" s="247">
        <f t="shared" si="2"/>
        <v>74874.832880000002</v>
      </c>
      <c r="N31" s="247"/>
      <c r="O31" s="4">
        <f t="shared" si="7"/>
        <v>3.8704994569331452</v>
      </c>
      <c r="P31" s="258"/>
      <c r="Q31" s="250">
        <v>4.0599999999999997E-2</v>
      </c>
      <c r="R31" s="250"/>
      <c r="S31" s="250">
        <f t="shared" si="8"/>
        <v>2.639E-2</v>
      </c>
      <c r="T31" s="250"/>
      <c r="U31" s="259">
        <f t="shared" si="3"/>
        <v>4.8292386135244711E-2</v>
      </c>
      <c r="W31" s="244">
        <f t="shared" si="9"/>
        <v>6.9956000000000004E-2</v>
      </c>
      <c r="AI31" s="254">
        <v>0.2</v>
      </c>
      <c r="AJ31" s="254"/>
      <c r="AK31" s="82">
        <v>0.49545897352554003</v>
      </c>
      <c r="AL31" s="252"/>
      <c r="AM31" s="250">
        <v>5.6314494824289116E-2</v>
      </c>
      <c r="AN31" s="15"/>
      <c r="AO31" s="250">
        <v>9.9000000000000005E-2</v>
      </c>
      <c r="AP31" s="247"/>
      <c r="AQ31" s="4">
        <v>7.7409989138662905</v>
      </c>
      <c r="AR31" s="256"/>
      <c r="AS31" s="250">
        <v>2.3465E-2</v>
      </c>
      <c r="AT31" s="250"/>
      <c r="AU31" s="244">
        <v>4.97445958594313E-2</v>
      </c>
      <c r="AV31" s="310"/>
      <c r="AW31" s="244">
        <v>8.3893000000000009E-2</v>
      </c>
    </row>
    <row r="32" spans="1:49" x14ac:dyDescent="0.25">
      <c r="A32" s="353">
        <v>0.5</v>
      </c>
      <c r="B32" s="254"/>
      <c r="C32" s="255">
        <f t="shared" si="4"/>
        <v>1</v>
      </c>
      <c r="D32" s="251"/>
      <c r="E32" s="82">
        <f t="shared" si="5"/>
        <v>0.70323209145560517</v>
      </c>
      <c r="F32" s="252"/>
      <c r="G32" s="250">
        <f t="shared" si="1"/>
        <v>6.8157562546302827E-2</v>
      </c>
      <c r="H32" s="15"/>
      <c r="I32" s="250">
        <v>9.9000000000000005E-2</v>
      </c>
      <c r="J32" s="15"/>
      <c r="K32" s="247">
        <f t="shared" si="6"/>
        <v>1665365.5</v>
      </c>
      <c r="L32" s="247"/>
      <c r="M32" s="247">
        <f t="shared" si="2"/>
        <v>93593.541100000002</v>
      </c>
      <c r="N32" s="247"/>
      <c r="O32" s="4">
        <f t="shared" si="7"/>
        <v>3.0963995655465162</v>
      </c>
      <c r="P32" s="258"/>
      <c r="Q32" s="250">
        <v>4.0599999999999997E-2</v>
      </c>
      <c r="R32" s="250"/>
      <c r="S32" s="250">
        <f t="shared" si="8"/>
        <v>2.639E-2</v>
      </c>
      <c r="T32" s="250"/>
      <c r="U32" s="352">
        <f t="shared" si="3"/>
        <v>4.7273781273151412E-2</v>
      </c>
      <c r="W32" s="244">
        <f t="shared" si="9"/>
        <v>6.2695000000000001E-2</v>
      </c>
      <c r="Y32" s="17"/>
      <c r="AI32" s="254">
        <v>0.3</v>
      </c>
      <c r="AJ32" s="254"/>
      <c r="AK32" s="82">
        <v>0.54492876350888886</v>
      </c>
      <c r="AL32" s="252"/>
      <c r="AM32" s="250">
        <v>5.9134272853339997E-2</v>
      </c>
      <c r="AN32" s="15"/>
      <c r="AO32" s="250">
        <v>9.9000000000000005E-2</v>
      </c>
      <c r="AP32" s="247"/>
      <c r="AQ32" s="4">
        <v>5.160665942577527</v>
      </c>
      <c r="AR32" s="256"/>
      <c r="AS32" s="250">
        <v>2.5415000000000004E-2</v>
      </c>
      <c r="AT32" s="250"/>
      <c r="AU32" s="244">
        <v>4.9018490997337995E-2</v>
      </c>
      <c r="AV32" s="310"/>
      <c r="AW32" s="244">
        <v>7.6924500000000007E-2</v>
      </c>
    </row>
    <row r="33" spans="1:49" x14ac:dyDescent="0.25">
      <c r="A33" s="254">
        <v>0.6</v>
      </c>
      <c r="B33" s="254"/>
      <c r="C33" s="255">
        <f t="shared" si="4"/>
        <v>1.4999999999999998</v>
      </c>
      <c r="D33" s="251"/>
      <c r="E33" s="82">
        <f t="shared" si="5"/>
        <v>0.84174750340898186</v>
      </c>
      <c r="F33" s="252"/>
      <c r="G33" s="250">
        <f t="shared" si="1"/>
        <v>7.6052941027645302E-2</v>
      </c>
      <c r="H33" s="15"/>
      <c r="I33" s="250">
        <v>9.9000000000000005E-2</v>
      </c>
      <c r="J33" s="15"/>
      <c r="K33" s="247">
        <f t="shared" si="6"/>
        <v>1998438.5999999999</v>
      </c>
      <c r="L33" s="247"/>
      <c r="M33" s="247">
        <f t="shared" si="2"/>
        <v>112312.24931999999</v>
      </c>
      <c r="N33" s="247"/>
      <c r="O33" s="4">
        <f t="shared" si="7"/>
        <v>2.5803329712887635</v>
      </c>
      <c r="P33" s="258"/>
      <c r="Q33" s="250">
        <v>4.41E-2</v>
      </c>
      <c r="R33" s="250"/>
      <c r="S33" s="250">
        <f t="shared" si="8"/>
        <v>2.8665E-2</v>
      </c>
      <c r="T33" s="250"/>
      <c r="U33" s="244">
        <f t="shared" si="3"/>
        <v>4.7620176411058118E-2</v>
      </c>
      <c r="V33" s="15"/>
      <c r="W33" s="244">
        <f t="shared" si="9"/>
        <v>5.6799000000000002E-2</v>
      </c>
      <c r="AI33" s="257">
        <v>0.4</v>
      </c>
      <c r="AJ33" s="254"/>
      <c r="AK33" s="82">
        <v>0.61088848348668734</v>
      </c>
      <c r="AL33" s="252"/>
      <c r="AM33" s="250">
        <v>6.2893976892074516E-2</v>
      </c>
      <c r="AN33" s="15"/>
      <c r="AO33" s="250">
        <v>9.9000000000000005E-2</v>
      </c>
      <c r="AP33" s="247"/>
      <c r="AQ33" s="4">
        <v>3.8704994569331452</v>
      </c>
      <c r="AR33" s="258"/>
      <c r="AS33" s="250">
        <v>2.639E-2</v>
      </c>
      <c r="AT33" s="250"/>
      <c r="AU33" s="259">
        <v>4.8292386135244711E-2</v>
      </c>
      <c r="AV33" s="310"/>
      <c r="AW33" s="244">
        <v>6.9956000000000004E-2</v>
      </c>
    </row>
    <row r="34" spans="1:49" x14ac:dyDescent="0.25">
      <c r="A34" s="354">
        <v>0.7</v>
      </c>
      <c r="B34" s="257"/>
      <c r="C34" s="261">
        <f t="shared" si="4"/>
        <v>2.333333333333333</v>
      </c>
      <c r="D34" s="262"/>
      <c r="E34" s="263">
        <f t="shared" si="5"/>
        <v>1.0726065233312765</v>
      </c>
      <c r="F34" s="264"/>
      <c r="G34" s="265">
        <f t="shared" si="1"/>
        <v>8.9211905163216101E-2</v>
      </c>
      <c r="H34" s="266"/>
      <c r="I34" s="250">
        <v>9.9000000000000005E-2</v>
      </c>
      <c r="J34" s="266"/>
      <c r="K34" s="267">
        <f t="shared" si="6"/>
        <v>2331511.6999999997</v>
      </c>
      <c r="L34" s="267"/>
      <c r="M34" s="267">
        <f t="shared" si="2"/>
        <v>131030.95753999999</v>
      </c>
      <c r="N34" s="267"/>
      <c r="O34" s="268">
        <f t="shared" si="7"/>
        <v>2.211713975390369</v>
      </c>
      <c r="P34" s="269"/>
      <c r="Q34" s="265">
        <v>5.3100000000000001E-2</v>
      </c>
      <c r="R34" s="265"/>
      <c r="S34" s="250">
        <f t="shared" si="8"/>
        <v>3.4515000000000004E-2</v>
      </c>
      <c r="T34" s="265"/>
      <c r="U34" s="270">
        <f t="shared" si="3"/>
        <v>5.0924071548964833E-2</v>
      </c>
      <c r="W34" s="351">
        <f t="shared" si="9"/>
        <v>5.3860500000000006E-2</v>
      </c>
      <c r="AI34" s="353">
        <v>0.5</v>
      </c>
      <c r="AJ34" s="254"/>
      <c r="AK34" s="82">
        <v>0.70323209145560517</v>
      </c>
      <c r="AL34" s="252"/>
      <c r="AM34" s="250">
        <v>6.8157562546302827E-2</v>
      </c>
      <c r="AN34" s="15"/>
      <c r="AO34" s="250">
        <v>9.9000000000000005E-2</v>
      </c>
      <c r="AP34" s="247"/>
      <c r="AQ34" s="4">
        <v>3.0963995655465162</v>
      </c>
      <c r="AR34" s="258"/>
      <c r="AS34" s="250">
        <v>2.639E-2</v>
      </c>
      <c r="AT34" s="250"/>
      <c r="AU34" s="352">
        <v>4.7273781273151412E-2</v>
      </c>
      <c r="AV34" s="310"/>
      <c r="AW34" s="244">
        <v>6.2695000000000001E-2</v>
      </c>
    </row>
    <row r="35" spans="1:49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7"/>
      <c r="AI35" s="254">
        <v>0.6</v>
      </c>
      <c r="AJ35" s="254"/>
      <c r="AK35" s="82">
        <v>0.84174750340898186</v>
      </c>
      <c r="AL35" s="252"/>
      <c r="AM35" s="250">
        <v>7.6052941027645302E-2</v>
      </c>
      <c r="AN35" s="15"/>
      <c r="AO35" s="250">
        <v>9.9000000000000005E-2</v>
      </c>
      <c r="AP35" s="247"/>
      <c r="AQ35" s="4">
        <v>2.5803329712887635</v>
      </c>
      <c r="AR35" s="258"/>
      <c r="AS35" s="250">
        <v>2.8665E-2</v>
      </c>
      <c r="AT35" s="250"/>
      <c r="AU35" s="244">
        <v>4.7620176411058118E-2</v>
      </c>
      <c r="AV35" s="15"/>
      <c r="AW35" s="244">
        <v>5.6799000000000002E-2</v>
      </c>
    </row>
    <row r="36" spans="1:49" x14ac:dyDescent="0.25">
      <c r="AI36" s="354">
        <v>0.7</v>
      </c>
      <c r="AJ36" s="257"/>
      <c r="AK36" s="263">
        <v>1.0726065233312765</v>
      </c>
      <c r="AL36" s="264"/>
      <c r="AM36" s="265">
        <v>8.9211905163216101E-2</v>
      </c>
      <c r="AN36" s="266"/>
      <c r="AO36" s="250">
        <v>9.9000000000000005E-2</v>
      </c>
      <c r="AP36" s="267"/>
      <c r="AQ36" s="268">
        <v>2.211713975390369</v>
      </c>
      <c r="AR36" s="269"/>
      <c r="AS36" s="250">
        <v>3.4515000000000004E-2</v>
      </c>
      <c r="AT36" s="265"/>
      <c r="AU36" s="270">
        <v>5.0924071548964833E-2</v>
      </c>
      <c r="AV36" s="310"/>
      <c r="AW36" s="351">
        <v>5.3860500000000006E-2</v>
      </c>
    </row>
    <row r="37" spans="1:49" x14ac:dyDescent="0.25">
      <c r="U37" s="15"/>
    </row>
    <row r="38" spans="1:49" x14ac:dyDescent="0.25">
      <c r="A38" s="399" t="s">
        <v>260</v>
      </c>
      <c r="B38" s="399"/>
      <c r="C38" s="399"/>
      <c r="D38" s="399"/>
      <c r="E38" s="399"/>
      <c r="F38" s="399"/>
      <c r="G38" s="399"/>
      <c r="H38" s="271"/>
      <c r="I38" s="408" t="s">
        <v>237</v>
      </c>
      <c r="J38" s="408"/>
      <c r="K38" s="408"/>
      <c r="L38" s="408"/>
      <c r="M38" s="408"/>
      <c r="N38" s="408"/>
      <c r="O38" s="408"/>
      <c r="P38" s="243"/>
      <c r="Q38" s="399" t="s">
        <v>238</v>
      </c>
      <c r="R38" s="399"/>
      <c r="S38" s="399"/>
      <c r="T38" s="399"/>
      <c r="U38" s="399"/>
      <c r="V38" s="399"/>
      <c r="W38" s="399"/>
      <c r="X38" s="243"/>
    </row>
    <row r="39" spans="1:49" x14ac:dyDescent="0.25">
      <c r="A39" s="399" t="s">
        <v>259</v>
      </c>
      <c r="B39" s="399"/>
      <c r="C39" s="399"/>
      <c r="D39" s="399"/>
      <c r="E39" s="399"/>
      <c r="F39" s="399"/>
      <c r="G39" s="399"/>
      <c r="H39" s="271"/>
      <c r="I39" s="408" t="s">
        <v>239</v>
      </c>
      <c r="J39" s="408"/>
      <c r="K39" s="408"/>
      <c r="L39" s="408"/>
      <c r="M39" s="408"/>
      <c r="N39" s="408"/>
      <c r="O39" s="408"/>
      <c r="P39" s="243"/>
      <c r="Q39" s="399" t="s">
        <v>240</v>
      </c>
      <c r="R39" s="399"/>
      <c r="S39" s="399"/>
      <c r="T39" s="399"/>
      <c r="U39" s="399"/>
      <c r="V39" s="399"/>
      <c r="W39" s="399"/>
      <c r="X39" s="243"/>
    </row>
    <row r="40" spans="1:49" x14ac:dyDescent="0.25">
      <c r="A40" s="399" t="s">
        <v>241</v>
      </c>
      <c r="B40" s="399"/>
      <c r="C40" s="399"/>
      <c r="D40" s="399"/>
      <c r="E40" s="399"/>
      <c r="F40" s="399"/>
      <c r="G40" s="399"/>
      <c r="H40" s="271"/>
      <c r="I40" s="408" t="s">
        <v>242</v>
      </c>
      <c r="J40" s="408"/>
      <c r="K40" s="408"/>
      <c r="L40" s="408"/>
      <c r="M40" s="408"/>
      <c r="N40" s="408"/>
      <c r="O40" s="408"/>
      <c r="P40" s="243"/>
      <c r="Q40" s="399" t="s">
        <v>243</v>
      </c>
      <c r="R40" s="399"/>
      <c r="S40" s="399"/>
      <c r="T40" s="399"/>
      <c r="U40" s="399"/>
      <c r="V40" s="399"/>
      <c r="W40" s="399"/>
      <c r="X40" s="243"/>
    </row>
    <row r="41" spans="1:49" x14ac:dyDescent="0.25">
      <c r="A41" s="399" t="s">
        <v>244</v>
      </c>
      <c r="B41" s="399"/>
      <c r="C41" s="399"/>
      <c r="D41" s="399"/>
      <c r="E41" s="399"/>
      <c r="F41" s="399"/>
      <c r="G41" s="399"/>
      <c r="H41" s="271"/>
      <c r="I41" s="408" t="s">
        <v>245</v>
      </c>
      <c r="J41" s="408"/>
      <c r="K41" s="408"/>
      <c r="L41" s="408"/>
      <c r="M41" s="408"/>
      <c r="N41" s="408"/>
      <c r="O41" s="408"/>
      <c r="P41" s="243"/>
      <c r="Q41" s="399" t="s">
        <v>246</v>
      </c>
      <c r="R41" s="399"/>
      <c r="S41" s="399"/>
      <c r="T41" s="399"/>
      <c r="U41" s="399"/>
      <c r="V41" s="399"/>
      <c r="W41" s="399"/>
      <c r="X41" s="243"/>
    </row>
    <row r="42" spans="1:49" x14ac:dyDescent="0.25">
      <c r="A42" s="399" t="s">
        <v>261</v>
      </c>
      <c r="B42" s="399"/>
      <c r="C42" s="399"/>
      <c r="D42" s="399"/>
      <c r="E42" s="399"/>
      <c r="F42" s="399"/>
      <c r="G42" s="399"/>
      <c r="H42" s="271"/>
      <c r="I42" s="408" t="s">
        <v>247</v>
      </c>
      <c r="J42" s="408"/>
      <c r="K42" s="408"/>
      <c r="L42" s="408"/>
      <c r="M42" s="408"/>
      <c r="N42" s="408"/>
      <c r="O42" s="408"/>
      <c r="P42" s="243"/>
      <c r="Q42" s="399" t="s">
        <v>248</v>
      </c>
      <c r="R42" s="399"/>
      <c r="S42" s="399"/>
      <c r="T42" s="399"/>
      <c r="U42" s="399"/>
      <c r="V42" s="399"/>
      <c r="W42" s="399"/>
      <c r="X42" s="243"/>
    </row>
    <row r="43" spans="1:49" x14ac:dyDescent="0.25">
      <c r="A43" s="399" t="s">
        <v>249</v>
      </c>
      <c r="B43" s="399"/>
      <c r="C43" s="399"/>
      <c r="D43" s="399"/>
      <c r="E43" s="399"/>
      <c r="F43" s="399"/>
      <c r="G43" s="399"/>
      <c r="H43" s="271"/>
      <c r="I43" s="408" t="s">
        <v>250</v>
      </c>
      <c r="J43" s="408"/>
      <c r="K43" s="408"/>
      <c r="L43" s="408"/>
      <c r="M43" s="408"/>
      <c r="N43" s="408"/>
      <c r="O43" s="408"/>
      <c r="P43" s="243"/>
      <c r="Q43" s="399" t="s">
        <v>251</v>
      </c>
      <c r="R43" s="399"/>
      <c r="S43" s="399"/>
      <c r="T43" s="399"/>
      <c r="U43" s="399"/>
      <c r="V43" s="399"/>
      <c r="W43" s="399"/>
      <c r="X43" s="243"/>
    </row>
    <row r="44" spans="1:49" x14ac:dyDescent="0.25">
      <c r="A44" s="399" t="s">
        <v>252</v>
      </c>
      <c r="B44" s="399"/>
      <c r="C44" s="399"/>
      <c r="D44" s="399"/>
      <c r="E44" s="399"/>
      <c r="F44" s="399"/>
      <c r="G44" s="399"/>
      <c r="H44" s="271"/>
      <c r="I44" s="408" t="s">
        <v>253</v>
      </c>
      <c r="J44" s="408"/>
      <c r="K44" s="408"/>
      <c r="L44" s="408"/>
      <c r="M44" s="408"/>
      <c r="N44" s="408"/>
      <c r="O44" s="408"/>
      <c r="P44" s="243"/>
      <c r="Q44" s="399" t="s">
        <v>254</v>
      </c>
      <c r="R44" s="399"/>
      <c r="S44" s="399"/>
      <c r="T44" s="399"/>
      <c r="U44" s="399"/>
      <c r="V44" s="399"/>
      <c r="W44" s="399"/>
      <c r="X44" s="243"/>
    </row>
    <row r="45" spans="1:49" x14ac:dyDescent="0.25">
      <c r="A45" s="401" t="s">
        <v>262</v>
      </c>
      <c r="B45" s="401"/>
      <c r="C45" s="401"/>
      <c r="D45" s="401"/>
      <c r="E45" s="401"/>
      <c r="F45" s="401"/>
      <c r="G45" s="401"/>
      <c r="H45" s="271"/>
      <c r="I45" s="408" t="s">
        <v>255</v>
      </c>
      <c r="J45" s="408"/>
      <c r="K45" s="408"/>
      <c r="L45" s="408"/>
      <c r="M45" s="408"/>
      <c r="N45" s="408"/>
      <c r="O45" s="408"/>
      <c r="P45" s="243"/>
      <c r="Q45" s="399" t="s">
        <v>256</v>
      </c>
      <c r="R45" s="399"/>
      <c r="S45" s="399"/>
      <c r="T45" s="399"/>
      <c r="U45" s="399"/>
      <c r="V45" s="399"/>
      <c r="W45" s="399"/>
      <c r="X45" s="243"/>
    </row>
    <row r="46" spans="1:49" x14ac:dyDescent="0.25">
      <c r="A46" s="401" t="s">
        <v>331</v>
      </c>
      <c r="B46" s="401"/>
      <c r="C46" s="401"/>
      <c r="D46" s="401"/>
      <c r="E46" s="401"/>
      <c r="F46" s="401"/>
      <c r="G46" s="401"/>
      <c r="H46" s="271"/>
      <c r="I46" s="408" t="s">
        <v>257</v>
      </c>
      <c r="J46" s="408"/>
      <c r="K46" s="408"/>
      <c r="L46" s="408"/>
      <c r="M46" s="408"/>
      <c r="N46" s="408"/>
      <c r="O46" s="408"/>
      <c r="P46" s="243"/>
      <c r="Q46" s="399" t="s">
        <v>258</v>
      </c>
      <c r="R46" s="399"/>
      <c r="S46" s="399"/>
      <c r="T46" s="399"/>
      <c r="U46" s="399"/>
      <c r="V46" s="399"/>
      <c r="W46" s="399"/>
      <c r="X46" s="243"/>
    </row>
    <row r="47" spans="1:49" x14ac:dyDescent="0.25">
      <c r="F47" s="243"/>
    </row>
  </sheetData>
  <mergeCells count="42">
    <mergeCell ref="AI7:AW7"/>
    <mergeCell ref="A45:G45"/>
    <mergeCell ref="I45:O45"/>
    <mergeCell ref="Q45:W45"/>
    <mergeCell ref="A46:G46"/>
    <mergeCell ref="I46:O46"/>
    <mergeCell ref="Q46:W46"/>
    <mergeCell ref="A43:G43"/>
    <mergeCell ref="I43:O43"/>
    <mergeCell ref="Q43:W43"/>
    <mergeCell ref="A44:G44"/>
    <mergeCell ref="I44:O44"/>
    <mergeCell ref="Q44:W44"/>
    <mergeCell ref="A41:G41"/>
    <mergeCell ref="I41:O41"/>
    <mergeCell ref="Q41:W41"/>
    <mergeCell ref="A42:G42"/>
    <mergeCell ref="I42:O42"/>
    <mergeCell ref="Q42:W42"/>
    <mergeCell ref="A39:G39"/>
    <mergeCell ref="I39:O39"/>
    <mergeCell ref="Q39:W39"/>
    <mergeCell ref="A40:G40"/>
    <mergeCell ref="I40:O40"/>
    <mergeCell ref="Q40:W40"/>
    <mergeCell ref="A16:C16"/>
    <mergeCell ref="A17:C17"/>
    <mergeCell ref="A24:W24"/>
    <mergeCell ref="A38:G38"/>
    <mergeCell ref="I38:O38"/>
    <mergeCell ref="Q38:W38"/>
    <mergeCell ref="A15:C15"/>
    <mergeCell ref="A5:E5"/>
    <mergeCell ref="Q5:W5"/>
    <mergeCell ref="A7:C7"/>
    <mergeCell ref="A8:C8"/>
    <mergeCell ref="A9:C9"/>
    <mergeCell ref="A10:C10"/>
    <mergeCell ref="A11:C11"/>
    <mergeCell ref="A12:C12"/>
    <mergeCell ref="A13:C13"/>
    <mergeCell ref="A14:C14"/>
  </mergeCells>
  <printOptions horizontalCentered="1"/>
  <pageMargins left="0.7" right="0.7" top="0.75" bottom="0.75" header="0.3" footer="0.3"/>
  <pageSetup scale="69" orientation="portrait" r:id="rId1"/>
  <headerFooter scaleWithDoc="0">
    <oddHeader xml:space="preserve">&amp;L&amp;"-,Bold"&amp;10Dockets UE-170485 and UG-170486
Exhibit DJG-4&amp;R&amp;"-,Bold"&amp;10Optimal Capital Structure
Page 15 of 17
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M60"/>
  <sheetViews>
    <sheetView view="pageLayout" zoomScaleNormal="90" workbookViewId="0"/>
  </sheetViews>
  <sheetFormatPr defaultRowHeight="15" x14ac:dyDescent="0.25"/>
  <cols>
    <col min="1" max="1" width="36.140625" style="357" customWidth="1"/>
    <col min="2" max="2" width="2.7109375" style="357" customWidth="1"/>
    <col min="3" max="3" width="16" style="357" customWidth="1"/>
    <col min="4" max="4" width="2.7109375" style="357" customWidth="1"/>
    <col min="5" max="5" width="13.28515625" style="372" customWidth="1"/>
    <col min="6" max="8" width="9.140625" style="357"/>
    <col min="9" max="9" width="36.140625" style="357" customWidth="1"/>
    <col min="10" max="10" width="2.7109375" style="357" customWidth="1"/>
    <col min="11" max="11" width="16" style="357" customWidth="1"/>
    <col min="12" max="12" width="2.7109375" style="357" customWidth="1"/>
    <col min="13" max="13" width="13.28515625" style="357" customWidth="1"/>
    <col min="14" max="16384" width="9.140625" style="357"/>
  </cols>
  <sheetData>
    <row r="1" spans="1:13" x14ac:dyDescent="0.25">
      <c r="A1" s="355"/>
      <c r="B1" s="355"/>
      <c r="C1" s="355"/>
      <c r="D1" s="355"/>
      <c r="E1" s="356"/>
      <c r="I1" s="357" t="s">
        <v>213</v>
      </c>
    </row>
    <row r="3" spans="1:13" ht="14.45" customHeight="1" x14ac:dyDescent="0.25">
      <c r="A3" s="358" t="s">
        <v>83</v>
      </c>
      <c r="B3" s="359"/>
      <c r="C3" s="358" t="s">
        <v>263</v>
      </c>
      <c r="D3" s="359"/>
      <c r="E3" s="360" t="s">
        <v>110</v>
      </c>
      <c r="I3" s="358" t="s">
        <v>83</v>
      </c>
      <c r="J3" s="359"/>
      <c r="K3" s="358" t="s">
        <v>263</v>
      </c>
      <c r="L3" s="359"/>
      <c r="M3" s="360" t="s">
        <v>110</v>
      </c>
    </row>
    <row r="4" spans="1:13" ht="14.45" customHeight="1" x14ac:dyDescent="0.25">
      <c r="A4" s="357" t="s">
        <v>264</v>
      </c>
      <c r="C4" s="361">
        <v>41</v>
      </c>
      <c r="D4" s="361"/>
      <c r="E4" s="362">
        <v>0.86994962597017911</v>
      </c>
      <c r="I4" s="357" t="s">
        <v>264</v>
      </c>
      <c r="K4" s="361">
        <v>41</v>
      </c>
      <c r="L4" s="361"/>
      <c r="M4" s="362">
        <v>0.86994962597017911</v>
      </c>
    </row>
    <row r="5" spans="1:13" ht="14.45" customHeight="1" x14ac:dyDescent="0.25">
      <c r="A5" s="357" t="s">
        <v>272</v>
      </c>
      <c r="C5" s="361">
        <v>38</v>
      </c>
      <c r="D5" s="361"/>
      <c r="E5" s="362">
        <v>0.8372854478697952</v>
      </c>
      <c r="I5" s="357" t="s">
        <v>272</v>
      </c>
      <c r="K5" s="361">
        <v>38</v>
      </c>
      <c r="L5" s="361"/>
      <c r="M5" s="362">
        <v>0.8372854478697952</v>
      </c>
    </row>
    <row r="6" spans="1:13" ht="14.45" customHeight="1" x14ac:dyDescent="0.25">
      <c r="A6" s="357" t="s">
        <v>84</v>
      </c>
      <c r="C6" s="361">
        <v>30</v>
      </c>
      <c r="D6" s="361"/>
      <c r="E6" s="362">
        <v>0.82984896462675883</v>
      </c>
      <c r="I6" s="357" t="s">
        <v>84</v>
      </c>
      <c r="K6" s="361">
        <v>30</v>
      </c>
      <c r="L6" s="361"/>
      <c r="M6" s="362">
        <v>0.82984896462675883</v>
      </c>
    </row>
    <row r="7" spans="1:13" ht="14.45" customHeight="1" x14ac:dyDescent="0.25">
      <c r="A7" s="357" t="s">
        <v>277</v>
      </c>
      <c r="C7" s="361">
        <v>86</v>
      </c>
      <c r="D7" s="361"/>
      <c r="E7" s="362">
        <v>0.82254999046070254</v>
      </c>
      <c r="I7" s="357" t="s">
        <v>277</v>
      </c>
      <c r="K7" s="361">
        <v>86</v>
      </c>
      <c r="L7" s="361"/>
      <c r="M7" s="362">
        <v>0.82254999046070254</v>
      </c>
    </row>
    <row r="8" spans="1:13" ht="14.45" customHeight="1" x14ac:dyDescent="0.25">
      <c r="A8" s="357" t="s">
        <v>283</v>
      </c>
      <c r="C8" s="361">
        <v>22</v>
      </c>
      <c r="D8" s="361"/>
      <c r="E8" s="362">
        <v>0.79507651586783579</v>
      </c>
      <c r="I8" s="357" t="s">
        <v>283</v>
      </c>
      <c r="K8" s="361">
        <v>22</v>
      </c>
      <c r="L8" s="361"/>
      <c r="M8" s="362">
        <v>0.79507651586783579</v>
      </c>
    </row>
    <row r="9" spans="1:13" ht="14.45" customHeight="1" x14ac:dyDescent="0.25">
      <c r="A9" s="357" t="s">
        <v>271</v>
      </c>
      <c r="C9" s="361">
        <v>38</v>
      </c>
      <c r="D9" s="361"/>
      <c r="E9" s="362">
        <v>0.78501168138405542</v>
      </c>
      <c r="I9" s="363" t="s">
        <v>271</v>
      </c>
      <c r="K9" s="361">
        <v>38</v>
      </c>
      <c r="L9" s="361"/>
      <c r="M9" s="364">
        <v>0.78501168138405542</v>
      </c>
    </row>
    <row r="10" spans="1:13" ht="14.45" customHeight="1" x14ac:dyDescent="0.25">
      <c r="A10" s="357" t="s">
        <v>269</v>
      </c>
      <c r="C10" s="361">
        <v>45</v>
      </c>
      <c r="D10" s="361"/>
      <c r="E10" s="362">
        <v>0.75842173921650546</v>
      </c>
      <c r="I10" s="357" t="s">
        <v>269</v>
      </c>
      <c r="K10" s="361">
        <v>45</v>
      </c>
      <c r="L10" s="361"/>
      <c r="M10" s="362">
        <v>0.75842173921650546</v>
      </c>
    </row>
    <row r="11" spans="1:13" ht="14.45" customHeight="1" x14ac:dyDescent="0.25">
      <c r="A11" s="357" t="s">
        <v>279</v>
      </c>
      <c r="C11" s="361">
        <v>6</v>
      </c>
      <c r="D11" s="361"/>
      <c r="E11" s="362">
        <v>0.74607510211636308</v>
      </c>
      <c r="I11" s="357" t="s">
        <v>279</v>
      </c>
      <c r="K11" s="361">
        <v>6</v>
      </c>
      <c r="L11" s="361"/>
      <c r="M11" s="362">
        <v>0.74607510211636308</v>
      </c>
    </row>
    <row r="12" spans="1:13" ht="14.45" customHeight="1" x14ac:dyDescent="0.25">
      <c r="A12" s="357" t="s">
        <v>278</v>
      </c>
      <c r="C12" s="361">
        <v>25</v>
      </c>
      <c r="D12" s="361"/>
      <c r="E12" s="362">
        <v>0.73383350925620117</v>
      </c>
      <c r="I12" s="357" t="s">
        <v>278</v>
      </c>
      <c r="K12" s="361">
        <v>25</v>
      </c>
      <c r="L12" s="361"/>
      <c r="M12" s="362">
        <v>0.73383350925620117</v>
      </c>
    </row>
    <row r="13" spans="1:13" ht="14.45" customHeight="1" x14ac:dyDescent="0.25">
      <c r="A13" s="357" t="s">
        <v>266</v>
      </c>
      <c r="C13" s="361">
        <v>15</v>
      </c>
      <c r="D13" s="361"/>
      <c r="E13" s="362">
        <v>0.73260937869809262</v>
      </c>
      <c r="I13" s="357" t="s">
        <v>266</v>
      </c>
      <c r="K13" s="361">
        <v>15</v>
      </c>
      <c r="L13" s="361"/>
      <c r="M13" s="362">
        <v>0.73260937869809262</v>
      </c>
    </row>
    <row r="14" spans="1:13" ht="14.45" customHeight="1" x14ac:dyDescent="0.25">
      <c r="A14" s="357" t="s">
        <v>284</v>
      </c>
      <c r="C14" s="361">
        <v>30</v>
      </c>
      <c r="D14" s="361"/>
      <c r="E14" s="362">
        <v>0.72948246714286125</v>
      </c>
      <c r="I14" s="357" t="s">
        <v>284</v>
      </c>
      <c r="K14" s="361">
        <v>30</v>
      </c>
      <c r="L14" s="361"/>
      <c r="M14" s="362">
        <v>0.72948246714286125</v>
      </c>
    </row>
    <row r="15" spans="1:13" ht="14.45" customHeight="1" x14ac:dyDescent="0.25">
      <c r="A15" s="357" t="s">
        <v>275</v>
      </c>
      <c r="C15" s="361">
        <v>26</v>
      </c>
      <c r="D15" s="361"/>
      <c r="E15" s="362">
        <v>0.66387019420937876</v>
      </c>
      <c r="I15" s="357" t="s">
        <v>275</v>
      </c>
      <c r="K15" s="361">
        <v>26</v>
      </c>
      <c r="L15" s="361"/>
      <c r="M15" s="362">
        <v>0.66387019420937876</v>
      </c>
    </row>
    <row r="16" spans="1:13" ht="14.45" customHeight="1" x14ac:dyDescent="0.25">
      <c r="A16" s="357" t="s">
        <v>267</v>
      </c>
      <c r="C16" s="361">
        <v>10</v>
      </c>
      <c r="D16" s="361"/>
      <c r="E16" s="362">
        <v>0.6616448899504429</v>
      </c>
      <c r="I16" s="357" t="s">
        <v>267</v>
      </c>
      <c r="K16" s="361">
        <v>10</v>
      </c>
      <c r="L16" s="361"/>
      <c r="M16" s="362">
        <v>0.6616448899504429</v>
      </c>
    </row>
    <row r="17" spans="1:13" ht="14.45" customHeight="1" x14ac:dyDescent="0.25">
      <c r="A17" s="357" t="s">
        <v>268</v>
      </c>
      <c r="C17" s="361">
        <v>36</v>
      </c>
      <c r="D17" s="361"/>
      <c r="E17" s="362">
        <v>0.66007770307339675</v>
      </c>
      <c r="I17" s="357" t="s">
        <v>268</v>
      </c>
      <c r="K17" s="361">
        <v>36</v>
      </c>
      <c r="L17" s="361"/>
      <c r="M17" s="362">
        <v>0.66007770307339675</v>
      </c>
    </row>
    <row r="18" spans="1:13" ht="14.45" customHeight="1" x14ac:dyDescent="0.25">
      <c r="A18" s="357" t="s">
        <v>274</v>
      </c>
      <c r="C18" s="361">
        <v>24</v>
      </c>
      <c r="D18" s="361"/>
      <c r="E18" s="362">
        <v>0.6511218853508135</v>
      </c>
      <c r="I18" s="357" t="s">
        <v>274</v>
      </c>
      <c r="K18" s="361">
        <v>24</v>
      </c>
      <c r="L18" s="361"/>
      <c r="M18" s="362">
        <v>0.6511218853508135</v>
      </c>
    </row>
    <row r="19" spans="1:13" ht="14.45" customHeight="1" x14ac:dyDescent="0.25">
      <c r="A19" s="357" t="s">
        <v>282</v>
      </c>
      <c r="C19" s="361">
        <v>67</v>
      </c>
      <c r="D19" s="361"/>
      <c r="E19" s="362">
        <v>0.63689257410386679</v>
      </c>
      <c r="I19" s="363" t="s">
        <v>282</v>
      </c>
      <c r="J19" s="365"/>
      <c r="K19" s="361">
        <v>67</v>
      </c>
      <c r="L19" s="366"/>
      <c r="M19" s="364">
        <v>0.63689257410386679</v>
      </c>
    </row>
    <row r="20" spans="1:13" ht="14.45" customHeight="1" x14ac:dyDescent="0.25">
      <c r="A20" s="357" t="s">
        <v>280</v>
      </c>
      <c r="C20" s="361">
        <v>88</v>
      </c>
      <c r="D20" s="361"/>
      <c r="E20" s="362">
        <v>0.61848517397823577</v>
      </c>
      <c r="I20" s="357" t="s">
        <v>280</v>
      </c>
      <c r="K20" s="361">
        <v>88</v>
      </c>
      <c r="L20" s="361"/>
      <c r="M20" s="362">
        <v>0.61848517397823577</v>
      </c>
    </row>
    <row r="21" spans="1:13" ht="14.45" customHeight="1" x14ac:dyDescent="0.25">
      <c r="A21" s="357" t="s">
        <v>287</v>
      </c>
      <c r="C21" s="361">
        <v>68</v>
      </c>
      <c r="D21" s="361"/>
      <c r="E21" s="362">
        <v>0.61612405828541539</v>
      </c>
      <c r="I21" s="363" t="s">
        <v>287</v>
      </c>
      <c r="J21" s="365"/>
      <c r="K21" s="361">
        <v>68</v>
      </c>
      <c r="L21" s="366"/>
      <c r="M21" s="364">
        <v>0.61612405828541539</v>
      </c>
    </row>
    <row r="22" spans="1:13" ht="14.45" customHeight="1" x14ac:dyDescent="0.25">
      <c r="A22" s="357" t="s">
        <v>273</v>
      </c>
      <c r="C22" s="361">
        <v>69</v>
      </c>
      <c r="D22" s="361"/>
      <c r="E22" s="362">
        <v>0.61408743098819141</v>
      </c>
      <c r="I22" s="357" t="s">
        <v>273</v>
      </c>
      <c r="K22" s="361">
        <v>69</v>
      </c>
      <c r="L22" s="361"/>
      <c r="M22" s="362">
        <v>0.61408743098819141</v>
      </c>
    </row>
    <row r="23" spans="1:13" ht="14.45" customHeight="1" x14ac:dyDescent="0.25">
      <c r="A23" s="357" t="s">
        <v>281</v>
      </c>
      <c r="C23" s="361">
        <v>17</v>
      </c>
      <c r="D23" s="361"/>
      <c r="E23" s="362">
        <v>0.60847424395744465</v>
      </c>
      <c r="I23" s="363" t="s">
        <v>281</v>
      </c>
      <c r="J23" s="365"/>
      <c r="K23" s="361">
        <v>17</v>
      </c>
      <c r="L23" s="366"/>
      <c r="M23" s="364">
        <v>0.60847424395744465</v>
      </c>
    </row>
    <row r="24" spans="1:13" x14ac:dyDescent="0.25">
      <c r="A24" s="357" t="s">
        <v>276</v>
      </c>
      <c r="C24" s="361">
        <v>238</v>
      </c>
      <c r="D24" s="361"/>
      <c r="E24" s="362">
        <v>0.60457906067046652</v>
      </c>
      <c r="I24" s="357" t="s">
        <v>276</v>
      </c>
      <c r="K24" s="361">
        <v>238</v>
      </c>
      <c r="L24" s="361"/>
      <c r="M24" s="362">
        <v>0.60457906067046652</v>
      </c>
    </row>
    <row r="25" spans="1:13" x14ac:dyDescent="0.25">
      <c r="A25" s="357" t="s">
        <v>288</v>
      </c>
      <c r="C25" s="361">
        <v>16</v>
      </c>
      <c r="D25" s="361"/>
      <c r="E25" s="362">
        <v>0.60400911939787971</v>
      </c>
      <c r="I25" s="355" t="s">
        <v>288</v>
      </c>
      <c r="J25" s="359"/>
      <c r="K25" s="367">
        <v>16</v>
      </c>
      <c r="L25" s="368"/>
      <c r="M25" s="369">
        <v>0.60400911939787971</v>
      </c>
    </row>
    <row r="26" spans="1:13" x14ac:dyDescent="0.25">
      <c r="A26" s="357" t="s">
        <v>289</v>
      </c>
      <c r="C26" s="361">
        <v>14</v>
      </c>
      <c r="D26" s="361"/>
      <c r="E26" s="362">
        <v>0.59426900862294152</v>
      </c>
      <c r="I26" s="365" t="s">
        <v>285</v>
      </c>
      <c r="K26" s="366">
        <f>SUM(K4:K25)</f>
        <v>1035</v>
      </c>
      <c r="L26" s="361"/>
      <c r="M26" s="370">
        <f>AVERAGE(M4:M25)</f>
        <v>0.70815957984431277</v>
      </c>
    </row>
    <row r="27" spans="1:13" x14ac:dyDescent="0.25">
      <c r="A27" s="357" t="s">
        <v>290</v>
      </c>
      <c r="C27" s="361">
        <v>54</v>
      </c>
      <c r="D27" s="361"/>
      <c r="E27" s="362">
        <v>0.58925794261764164</v>
      </c>
    </row>
    <row r="28" spans="1:13" x14ac:dyDescent="0.25">
      <c r="A28" s="357" t="s">
        <v>291</v>
      </c>
      <c r="C28" s="361">
        <v>17</v>
      </c>
      <c r="D28" s="361"/>
      <c r="E28" s="362">
        <v>0.58866527075659236</v>
      </c>
    </row>
    <row r="29" spans="1:13" x14ac:dyDescent="0.25">
      <c r="A29" s="357" t="s">
        <v>292</v>
      </c>
      <c r="C29" s="361">
        <v>45</v>
      </c>
      <c r="D29" s="361"/>
      <c r="E29" s="362">
        <v>0.58148770111984394</v>
      </c>
    </row>
    <row r="30" spans="1:13" x14ac:dyDescent="0.25">
      <c r="A30" s="357" t="s">
        <v>293</v>
      </c>
      <c r="C30" s="361">
        <v>51</v>
      </c>
      <c r="D30" s="361"/>
      <c r="E30" s="362">
        <v>0.58065291265153429</v>
      </c>
    </row>
    <row r="31" spans="1:13" x14ac:dyDescent="0.25">
      <c r="A31" s="357" t="s">
        <v>294</v>
      </c>
      <c r="C31" s="361">
        <v>89</v>
      </c>
      <c r="D31" s="361"/>
      <c r="E31" s="362">
        <v>0.5674700920758039</v>
      </c>
    </row>
    <row r="32" spans="1:13" x14ac:dyDescent="0.25">
      <c r="A32" s="357" t="s">
        <v>295</v>
      </c>
      <c r="C32" s="361">
        <v>37</v>
      </c>
      <c r="D32" s="361"/>
      <c r="E32" s="362">
        <v>0.56400088769541412</v>
      </c>
    </row>
    <row r="33" spans="1:6" x14ac:dyDescent="0.25">
      <c r="A33" s="357" t="s">
        <v>296</v>
      </c>
      <c r="C33" s="361">
        <v>165</v>
      </c>
      <c r="D33" s="361"/>
      <c r="E33" s="362">
        <v>0.56377615752981802</v>
      </c>
    </row>
    <row r="34" spans="1:6" x14ac:dyDescent="0.25">
      <c r="A34" s="357" t="s">
        <v>265</v>
      </c>
      <c r="C34" s="361">
        <v>18</v>
      </c>
      <c r="D34" s="361"/>
      <c r="E34" s="362">
        <v>0.55518070144540088</v>
      </c>
    </row>
    <row r="35" spans="1:6" x14ac:dyDescent="0.25">
      <c r="A35" s="357" t="s">
        <v>297</v>
      </c>
      <c r="C35" s="361">
        <v>25</v>
      </c>
      <c r="D35" s="361"/>
      <c r="E35" s="362">
        <v>0.54562477051935687</v>
      </c>
    </row>
    <row r="36" spans="1:6" x14ac:dyDescent="0.25">
      <c r="A36" s="357" t="s">
        <v>298</v>
      </c>
      <c r="C36" s="361">
        <v>117</v>
      </c>
      <c r="D36" s="361"/>
      <c r="E36" s="362">
        <v>0.53941910503054269</v>
      </c>
    </row>
    <row r="37" spans="1:6" x14ac:dyDescent="0.25">
      <c r="A37" s="357" t="s">
        <v>299</v>
      </c>
      <c r="C37" s="361">
        <v>78</v>
      </c>
      <c r="D37" s="361"/>
      <c r="E37" s="362">
        <v>0.53918801318971321</v>
      </c>
      <c r="F37" s="371"/>
    </row>
    <row r="38" spans="1:6" x14ac:dyDescent="0.25">
      <c r="A38" s="357" t="s">
        <v>300</v>
      </c>
      <c r="C38" s="361">
        <v>22</v>
      </c>
      <c r="D38" s="361"/>
      <c r="E38" s="362">
        <v>0.53707973754667837</v>
      </c>
    </row>
    <row r="39" spans="1:6" x14ac:dyDescent="0.25">
      <c r="A39" s="357" t="s">
        <v>270</v>
      </c>
      <c r="C39" s="361">
        <v>14</v>
      </c>
      <c r="D39" s="361"/>
      <c r="E39" s="362">
        <v>0.5336514278883886</v>
      </c>
    </row>
    <row r="40" spans="1:6" x14ac:dyDescent="0.25">
      <c r="A40" s="357" t="s">
        <v>169</v>
      </c>
      <c r="C40" s="361">
        <v>38</v>
      </c>
      <c r="D40" s="361"/>
      <c r="E40" s="362">
        <v>0.53270240537637648</v>
      </c>
    </row>
    <row r="41" spans="1:6" x14ac:dyDescent="0.25">
      <c r="A41" s="357" t="s">
        <v>301</v>
      </c>
      <c r="C41" s="361">
        <v>4</v>
      </c>
      <c r="D41" s="361"/>
      <c r="E41" s="362">
        <v>0.5219680570514087</v>
      </c>
    </row>
    <row r="42" spans="1:6" x14ac:dyDescent="0.25">
      <c r="A42" s="357" t="s">
        <v>302</v>
      </c>
      <c r="C42" s="361">
        <v>426</v>
      </c>
      <c r="D42" s="361"/>
      <c r="E42" s="362">
        <v>0.52047896965214757</v>
      </c>
    </row>
    <row r="43" spans="1:6" x14ac:dyDescent="0.25">
      <c r="A43" s="357" t="s">
        <v>303</v>
      </c>
      <c r="C43" s="361">
        <v>100</v>
      </c>
      <c r="D43" s="361"/>
      <c r="E43" s="362">
        <v>0.51644636154549295</v>
      </c>
    </row>
    <row r="44" spans="1:6" x14ac:dyDescent="0.25">
      <c r="A44" s="357" t="s">
        <v>304</v>
      </c>
      <c r="C44" s="361">
        <v>66</v>
      </c>
      <c r="D44" s="361"/>
      <c r="E44" s="362">
        <v>0.51391763451527739</v>
      </c>
    </row>
    <row r="45" spans="1:6" x14ac:dyDescent="0.25">
      <c r="A45" s="357" t="s">
        <v>305</v>
      </c>
      <c r="C45" s="361">
        <v>236</v>
      </c>
      <c r="D45" s="361"/>
      <c r="E45" s="362">
        <v>0.5120978032795469</v>
      </c>
    </row>
    <row r="46" spans="1:6" x14ac:dyDescent="0.25">
      <c r="A46" s="357" t="s">
        <v>306</v>
      </c>
      <c r="C46" s="361">
        <v>97</v>
      </c>
      <c r="D46" s="361"/>
      <c r="E46" s="362">
        <v>0.51177591028166225</v>
      </c>
    </row>
    <row r="47" spans="1:6" x14ac:dyDescent="0.25">
      <c r="A47" s="357" t="s">
        <v>307</v>
      </c>
      <c r="C47" s="361">
        <v>25</v>
      </c>
      <c r="D47" s="361"/>
      <c r="E47" s="362">
        <v>0.51164538654298031</v>
      </c>
    </row>
    <row r="48" spans="1:6" x14ac:dyDescent="0.25">
      <c r="A48" s="357" t="s">
        <v>308</v>
      </c>
      <c r="C48" s="361">
        <v>64</v>
      </c>
      <c r="D48" s="361"/>
      <c r="E48" s="362">
        <v>0.50840985380168391</v>
      </c>
    </row>
    <row r="49" spans="1:5" x14ac:dyDescent="0.25">
      <c r="A49" s="357" t="s">
        <v>309</v>
      </c>
      <c r="C49" s="361">
        <v>129</v>
      </c>
      <c r="D49" s="361"/>
      <c r="E49" s="362">
        <v>0.50661274718097316</v>
      </c>
    </row>
    <row r="50" spans="1:5" x14ac:dyDescent="0.25">
      <c r="A50" s="357" t="s">
        <v>310</v>
      </c>
      <c r="C50" s="361">
        <v>8</v>
      </c>
      <c r="D50" s="361"/>
      <c r="E50" s="362">
        <v>0.50278469384026769</v>
      </c>
    </row>
    <row r="51" spans="1:5" x14ac:dyDescent="0.25">
      <c r="A51" s="357" t="s">
        <v>311</v>
      </c>
      <c r="C51" s="361">
        <v>96</v>
      </c>
      <c r="D51" s="361"/>
      <c r="E51" s="362">
        <v>0.49976408951023721</v>
      </c>
    </row>
    <row r="52" spans="1:5" x14ac:dyDescent="0.25">
      <c r="A52" s="357" t="s">
        <v>312</v>
      </c>
      <c r="C52" s="361">
        <v>41</v>
      </c>
      <c r="D52" s="361"/>
      <c r="E52" s="362">
        <v>0.49875655991506185</v>
      </c>
    </row>
    <row r="53" spans="1:5" x14ac:dyDescent="0.25">
      <c r="A53" s="357" t="s">
        <v>313</v>
      </c>
      <c r="C53" s="361">
        <v>330</v>
      </c>
      <c r="D53" s="361"/>
      <c r="E53" s="362">
        <v>0.49664102429060153</v>
      </c>
    </row>
    <row r="54" spans="1:5" x14ac:dyDescent="0.25">
      <c r="A54" s="357" t="s">
        <v>314</v>
      </c>
      <c r="C54" s="361">
        <v>156</v>
      </c>
      <c r="D54" s="361"/>
      <c r="E54" s="362">
        <v>0.48879426734219733</v>
      </c>
    </row>
    <row r="55" spans="1:5" x14ac:dyDescent="0.25">
      <c r="A55" s="355" t="s">
        <v>315</v>
      </c>
      <c r="B55" s="359"/>
      <c r="C55" s="367">
        <v>63</v>
      </c>
      <c r="D55" s="368"/>
      <c r="E55" s="369">
        <v>0.47539702086989255</v>
      </c>
    </row>
    <row r="56" spans="1:5" x14ac:dyDescent="0.25">
      <c r="A56" s="365" t="s">
        <v>285</v>
      </c>
      <c r="C56" s="366">
        <f>SUM(C4:C55)</f>
        <v>3660</v>
      </c>
      <c r="D56" s="361"/>
      <c r="E56" s="370">
        <f>AVERAGE(E4:E55)</f>
        <v>0.60725821673577618</v>
      </c>
    </row>
    <row r="57" spans="1:5" x14ac:dyDescent="0.25">
      <c r="A57" s="355"/>
      <c r="B57" s="355"/>
      <c r="C57" s="355"/>
      <c r="D57" s="355"/>
      <c r="E57" s="356"/>
    </row>
    <row r="60" spans="1:5" x14ac:dyDescent="0.25">
      <c r="A60" s="409" t="s">
        <v>286</v>
      </c>
      <c r="B60" s="409"/>
      <c r="C60" s="409"/>
      <c r="D60" s="409"/>
      <c r="E60" s="409"/>
    </row>
  </sheetData>
  <mergeCells count="1">
    <mergeCell ref="A60:E60"/>
  </mergeCells>
  <printOptions horizontalCentered="1"/>
  <pageMargins left="0.7" right="0.7" top="0.75" bottom="0.75" header="0.3" footer="0.3"/>
  <pageSetup scale="80" orientation="portrait" r:id="rId1"/>
  <headerFooter scaleWithDoc="0">
    <oddHeader xml:space="preserve">&amp;R&amp;"-,Bold"&amp;10Dockets UE-170485 and UG-170486
Exhibit DJG-4
Competitive Industry Debt Ratios
Page 16 of 17&amp;"-,Regular"&amp;11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F30"/>
  <sheetViews>
    <sheetView view="pageLayout" zoomScaleNormal="100" workbookViewId="0">
      <selection sqref="A1:XFD1"/>
    </sheetView>
  </sheetViews>
  <sheetFormatPr defaultRowHeight="15" x14ac:dyDescent="0.25"/>
  <cols>
    <col min="1" max="1" width="29.7109375" style="212" customWidth="1"/>
    <col min="2" max="2" width="2.7109375" style="212" customWidth="1"/>
    <col min="3" max="3" width="6.7109375" style="212" customWidth="1"/>
    <col min="4" max="4" width="2.7109375" style="212" customWidth="1"/>
    <col min="5" max="5" width="13.7109375" style="212" customWidth="1"/>
    <col min="6" max="6" width="2.7109375" style="212" customWidth="1"/>
    <col min="7" max="16384" width="9.140625" style="212"/>
  </cols>
  <sheetData>
    <row r="1" spans="1:6" s="373" customFormat="1" x14ac:dyDescent="0.25"/>
    <row r="2" spans="1:6" s="373" customFormat="1" x14ac:dyDescent="0.25"/>
    <row r="3" spans="1:6" x14ac:dyDescent="0.25">
      <c r="A3" s="22"/>
      <c r="B3" s="22"/>
      <c r="C3" s="22"/>
      <c r="D3" s="22"/>
      <c r="E3" s="22"/>
      <c r="F3" s="22"/>
    </row>
    <row r="5" spans="1:6" ht="19.899999999999999" customHeight="1" x14ac:dyDescent="0.25">
      <c r="A5" s="187" t="s">
        <v>0</v>
      </c>
      <c r="B5" s="94"/>
      <c r="C5" s="187" t="s">
        <v>1</v>
      </c>
      <c r="D5" s="94"/>
      <c r="E5" s="5" t="s">
        <v>110</v>
      </c>
      <c r="F5" s="6"/>
    </row>
    <row r="6" spans="1:6" ht="19.899999999999999" customHeight="1" x14ac:dyDescent="0.25">
      <c r="A6" s="94"/>
      <c r="B6" s="94"/>
      <c r="C6" s="94"/>
      <c r="D6" s="94"/>
      <c r="E6" s="6"/>
      <c r="F6" s="6"/>
    </row>
    <row r="7" spans="1:6" ht="19.899999999999999" customHeight="1" x14ac:dyDescent="0.25">
      <c r="A7" s="212" t="str">
        <f>'3 Proxy Sum'!A6</f>
        <v>ALLETE</v>
      </c>
      <c r="C7" s="90" t="str">
        <f>'3 Proxy Sum'!C6</f>
        <v>ALE</v>
      </c>
      <c r="D7" s="211"/>
      <c r="E7" s="169">
        <v>0.42</v>
      </c>
      <c r="F7" s="54"/>
    </row>
    <row r="8" spans="1:6" ht="19.899999999999999" customHeight="1" x14ac:dyDescent="0.25">
      <c r="A8" s="282" t="str">
        <f>'3 Proxy Sum'!A7</f>
        <v>Ameren Corp.</v>
      </c>
      <c r="C8" s="90" t="str">
        <f>'3 Proxy Sum'!C7</f>
        <v>AEE</v>
      </c>
      <c r="D8" s="211"/>
      <c r="E8" s="169">
        <v>0.47699999999999998</v>
      </c>
      <c r="F8" s="55"/>
    </row>
    <row r="9" spans="1:6" ht="19.899999999999999" customHeight="1" x14ac:dyDescent="0.25">
      <c r="A9" s="282" t="str">
        <f>'3 Proxy Sum'!A8</f>
        <v>Avangrid, Inc.</v>
      </c>
      <c r="C9" s="90" t="str">
        <f>'3 Proxy Sum'!C8</f>
        <v>AGR</v>
      </c>
      <c r="D9" s="211"/>
      <c r="E9" s="169">
        <v>0.23</v>
      </c>
      <c r="F9" s="54"/>
    </row>
    <row r="10" spans="1:6" ht="19.899999999999999" customHeight="1" x14ac:dyDescent="0.25">
      <c r="A10" s="282" t="str">
        <f>'3 Proxy Sum'!A9</f>
        <v>Avista Corp.</v>
      </c>
      <c r="C10" s="90" t="str">
        <f>'3 Proxy Sum'!C9</f>
        <v>AVA</v>
      </c>
      <c r="D10" s="211"/>
      <c r="E10" s="169">
        <v>0.51200000000000001</v>
      </c>
      <c r="F10" s="55"/>
    </row>
    <row r="11" spans="1:6" ht="19.899999999999999" customHeight="1" x14ac:dyDescent="0.25">
      <c r="A11" s="282" t="str">
        <f>'3 Proxy Sum'!A10</f>
        <v>Black Hills</v>
      </c>
      <c r="C11" s="90" t="str">
        <f>'3 Proxy Sum'!C10</f>
        <v>BKH</v>
      </c>
      <c r="D11" s="211"/>
      <c r="E11" s="169">
        <v>0.66500000000000004</v>
      </c>
      <c r="F11" s="54"/>
    </row>
    <row r="12" spans="1:6" ht="19.899999999999999" customHeight="1" x14ac:dyDescent="0.25">
      <c r="A12" s="282" t="str">
        <f>'3 Proxy Sum'!A11</f>
        <v>CMS Energy Corp.</v>
      </c>
      <c r="C12" s="90" t="str">
        <f>'3 Proxy Sum'!C11</f>
        <v>CMS</v>
      </c>
      <c r="D12" s="211"/>
      <c r="E12" s="169">
        <v>0.67100000000000004</v>
      </c>
      <c r="F12" s="55"/>
    </row>
    <row r="13" spans="1:6" ht="19.899999999999999" customHeight="1" x14ac:dyDescent="0.25">
      <c r="A13" s="282" t="str">
        <f>'3 Proxy Sum'!A12</f>
        <v>Dominion Energy</v>
      </c>
      <c r="C13" s="90" t="str">
        <f>'3 Proxy Sum'!C12</f>
        <v>D</v>
      </c>
      <c r="D13" s="211"/>
      <c r="E13" s="169">
        <v>0.67400000000000004</v>
      </c>
      <c r="F13" s="54"/>
    </row>
    <row r="14" spans="1:6" ht="19.899999999999999" customHeight="1" x14ac:dyDescent="0.25">
      <c r="A14" s="282" t="str">
        <f>'3 Proxy Sum'!A13</f>
        <v>DTE Energy Co.</v>
      </c>
      <c r="C14" s="90" t="str">
        <f>'3 Proxy Sum'!C13</f>
        <v>DTE</v>
      </c>
      <c r="D14" s="211"/>
      <c r="E14" s="169">
        <v>0.55600000000000005</v>
      </c>
      <c r="F14" s="55"/>
    </row>
    <row r="15" spans="1:6" ht="19.899999999999999" customHeight="1" x14ac:dyDescent="0.25">
      <c r="A15" s="282" t="str">
        <f>'3 Proxy Sum'!A14</f>
        <v>Edison International</v>
      </c>
      <c r="C15" s="90" t="str">
        <f>'3 Proxy Sum'!C14</f>
        <v>EIX</v>
      </c>
      <c r="D15" s="211"/>
      <c r="E15" s="169">
        <v>0.41799999999999998</v>
      </c>
      <c r="F15" s="55"/>
    </row>
    <row r="16" spans="1:6" ht="19.899999999999999" customHeight="1" x14ac:dyDescent="0.25">
      <c r="A16" s="282" t="str">
        <f>'3 Proxy Sum'!A15</f>
        <v>El Paso Electric</v>
      </c>
      <c r="C16" s="90" t="str">
        <f>'3 Proxy Sum'!C15</f>
        <v>EE</v>
      </c>
      <c r="D16" s="211"/>
      <c r="E16" s="169">
        <v>0.52700000000000002</v>
      </c>
      <c r="F16" s="55"/>
    </row>
    <row r="17" spans="1:6" ht="19.899999999999999" customHeight="1" x14ac:dyDescent="0.25">
      <c r="A17" s="282" t="str">
        <f>'3 Proxy Sum'!A16</f>
        <v>Exelon Corp.</v>
      </c>
      <c r="C17" s="90" t="str">
        <f>'3 Proxy Sum'!C16</f>
        <v>EXC</v>
      </c>
      <c r="D17" s="211"/>
      <c r="E17" s="169">
        <v>0.55500000000000005</v>
      </c>
      <c r="F17" s="55"/>
    </row>
    <row r="18" spans="1:6" ht="19.899999999999999" customHeight="1" x14ac:dyDescent="0.25">
      <c r="A18" s="282" t="str">
        <f>'3 Proxy Sum'!A17</f>
        <v>Hawaiian Elec.</v>
      </c>
      <c r="C18" s="90" t="str">
        <f>'3 Proxy Sum'!C17</f>
        <v>HE</v>
      </c>
      <c r="D18" s="211"/>
      <c r="E18" s="169">
        <v>0.41599999999999998</v>
      </c>
      <c r="F18" s="55"/>
    </row>
    <row r="19" spans="1:6" ht="19.899999999999999" customHeight="1" x14ac:dyDescent="0.25">
      <c r="A19" s="282" t="str">
        <f>'3 Proxy Sum'!A18</f>
        <v>IDACORP, Inc.</v>
      </c>
      <c r="C19" s="90" t="str">
        <f>'3 Proxy Sum'!C18</f>
        <v>IDA</v>
      </c>
      <c r="D19" s="211"/>
      <c r="E19" s="169">
        <v>0.44800000000000001</v>
      </c>
      <c r="F19" s="55"/>
    </row>
    <row r="20" spans="1:6" ht="19.899999999999999" customHeight="1" x14ac:dyDescent="0.25">
      <c r="A20" s="282" t="str">
        <f>'3 Proxy Sum'!A19</f>
        <v>NorthWestern Corp.</v>
      </c>
      <c r="C20" s="90" t="str">
        <f>'3 Proxy Sum'!C19</f>
        <v>NWE</v>
      </c>
      <c r="D20" s="211"/>
      <c r="E20" s="169">
        <v>0.52</v>
      </c>
      <c r="F20" s="55"/>
    </row>
    <row r="21" spans="1:6" ht="19.899999999999999" customHeight="1" x14ac:dyDescent="0.25">
      <c r="A21" s="282" t="str">
        <f>'3 Proxy Sum'!A20</f>
        <v>Otter Tail Corp.</v>
      </c>
      <c r="C21" s="90" t="str">
        <f>'3 Proxy Sum'!C20</f>
        <v>OTTR</v>
      </c>
      <c r="D21" s="211"/>
      <c r="E21" s="169">
        <v>0.43</v>
      </c>
      <c r="F21" s="55"/>
    </row>
    <row r="22" spans="1:6" ht="19.899999999999999" customHeight="1" x14ac:dyDescent="0.25">
      <c r="A22" s="282" t="str">
        <f>'3 Proxy Sum'!A21</f>
        <v>PG&amp;E Corp.</v>
      </c>
      <c r="C22" s="90" t="str">
        <f>'3 Proxy Sum'!C21</f>
        <v>PCG</v>
      </c>
      <c r="D22" s="211"/>
      <c r="E22" s="169">
        <v>0.47099999999999997</v>
      </c>
      <c r="F22" s="55"/>
    </row>
    <row r="23" spans="1:6" ht="19.899999999999999" customHeight="1" x14ac:dyDescent="0.25">
      <c r="A23" s="282" t="str">
        <f>'3 Proxy Sum'!A22</f>
        <v>Portland General</v>
      </c>
      <c r="C23" s="90" t="str">
        <f>'3 Proxy Sum'!C22</f>
        <v>POR</v>
      </c>
      <c r="D23" s="211"/>
      <c r="E23" s="169">
        <v>0.48399999999999999</v>
      </c>
      <c r="F23" s="55"/>
    </row>
    <row r="24" spans="1:6" ht="19.899999999999999" customHeight="1" x14ac:dyDescent="0.25">
      <c r="A24" s="22" t="str">
        <f>'3 Proxy Sum'!A23</f>
        <v>Sempra Energy</v>
      </c>
      <c r="C24" s="90" t="str">
        <f>'3 Proxy Sum'!C23</f>
        <v>SRE</v>
      </c>
      <c r="D24" s="211"/>
      <c r="E24" s="170">
        <v>0.52700000000000002</v>
      </c>
      <c r="F24" s="55"/>
    </row>
    <row r="25" spans="1:6" ht="19.899999999999999" customHeight="1" x14ac:dyDescent="0.25">
      <c r="C25" s="211"/>
      <c r="D25" s="211"/>
      <c r="E25" s="8"/>
      <c r="F25" s="8"/>
    </row>
    <row r="26" spans="1:6" ht="19.899999999999999" customHeight="1" x14ac:dyDescent="0.25">
      <c r="A26" s="16" t="s">
        <v>80</v>
      </c>
      <c r="B26" s="183"/>
      <c r="C26" s="211"/>
      <c r="D26" s="211"/>
      <c r="E26" s="169">
        <f>AVERAGE(E7:E24)</f>
        <v>0.50005555555555548</v>
      </c>
      <c r="F26" s="54"/>
    </row>
    <row r="27" spans="1:6" x14ac:dyDescent="0.25">
      <c r="A27" s="187"/>
      <c r="B27" s="22"/>
      <c r="C27" s="187"/>
      <c r="D27" s="187"/>
      <c r="E27" s="110"/>
      <c r="F27" s="110"/>
    </row>
    <row r="28" spans="1:6" x14ac:dyDescent="0.25">
      <c r="C28" s="211"/>
      <c r="D28" s="211"/>
      <c r="E28" s="8"/>
      <c r="F28" s="8"/>
    </row>
    <row r="30" spans="1:6" s="213" customFormat="1" ht="14.45" customHeight="1" x14ac:dyDescent="0.2">
      <c r="A30" s="399" t="s">
        <v>143</v>
      </c>
      <c r="B30" s="399"/>
      <c r="C30" s="399"/>
      <c r="D30" s="399"/>
      <c r="E30" s="399"/>
      <c r="F30" s="399"/>
    </row>
  </sheetData>
  <mergeCells count="1">
    <mergeCell ref="A30:F30"/>
  </mergeCells>
  <printOptions horizontalCentered="1"/>
  <pageMargins left="0.7" right="0.7" top="0.75" bottom="0.75" header="0.3" footer="0.3"/>
  <pageSetup orientation="portrait" r:id="rId1"/>
  <headerFooter scaleWithDoc="0">
    <oddHeader>&amp;R&amp;"-,Bold"&amp;10Dockets UE-170485 and UG-170486
Exhibit DJG-4
Proxy Debt Ratios
Page 17 of 17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2017-10-27T07:00:00+00:00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A30D133-AC5E-44E8-83D8-1B0D94A12217}"/>
</file>

<file path=customXml/itemProps2.xml><?xml version="1.0" encoding="utf-8"?>
<ds:datastoreItem xmlns:ds="http://schemas.openxmlformats.org/officeDocument/2006/customXml" ds:itemID="{07652DDB-939C-465F-A0C9-ADE676D6B4A1}"/>
</file>

<file path=customXml/itemProps3.xml><?xml version="1.0" encoding="utf-8"?>
<ds:datastoreItem xmlns:ds="http://schemas.openxmlformats.org/officeDocument/2006/customXml" ds:itemID="{00A569BF-F7CA-4E66-A25F-4F7ED014AAAE}"/>
</file>

<file path=customXml/itemProps4.xml><?xml version="1.0" encoding="utf-8"?>
<ds:datastoreItem xmlns:ds="http://schemas.openxmlformats.org/officeDocument/2006/customXml" ds:itemID="{BB34500E-9B1A-4C95-B4A6-99850BCDA7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2 Final WACC</vt:lpstr>
      <vt:lpstr>3 Proxy Sum</vt:lpstr>
      <vt:lpstr>4 Stock Price</vt:lpstr>
      <vt:lpstr>5 Div Yields</vt:lpstr>
      <vt:lpstr>6 Growth Determinants</vt:lpstr>
      <vt:lpstr>7 DCF Result</vt:lpstr>
      <vt:lpstr>8 Risk Free Rate</vt:lpstr>
      <vt:lpstr>9 Beta</vt:lpstr>
      <vt:lpstr>10 Implied ERP</vt:lpstr>
      <vt:lpstr>11 ERP Result</vt:lpstr>
      <vt:lpstr>12 CAPM Result</vt:lpstr>
      <vt:lpstr>13 COE Summary</vt:lpstr>
      <vt:lpstr>14 Market COE</vt:lpstr>
      <vt:lpstr>15 Historic ROE</vt:lpstr>
      <vt:lpstr>16 Optimal Cap Structure</vt:lpstr>
      <vt:lpstr>17 Competitive Debt Ratios</vt:lpstr>
      <vt:lpstr>18 Proxy Debt Ratios</vt:lpstr>
      <vt:lpstr>'11 ERP Result'!Print_Area</vt:lpstr>
      <vt:lpstr>'15 Historic ROE'!Print_Area</vt:lpstr>
      <vt:lpstr>'16 Optimal Cap Structure'!Print_Area</vt:lpstr>
      <vt:lpstr>'17 Competitive Debt Ratios'!Print_Area</vt:lpstr>
      <vt:lpstr>'2 Final WACC'!Print_Area</vt:lpstr>
    </vt:vector>
  </TitlesOfParts>
  <Company>Oklahoma Corporation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v31</dc:creator>
  <cp:lastModifiedBy>Mak, Chanda (ATG)</cp:lastModifiedBy>
  <cp:lastPrinted>2017-10-27T20:50:55Z</cp:lastPrinted>
  <dcterms:created xsi:type="dcterms:W3CDTF">2015-06-08T14:11:21Z</dcterms:created>
  <dcterms:modified xsi:type="dcterms:W3CDTF">2017-10-27T20:51:18Z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-1949514271</vt:i4>
  </property>
  <property fmtid="{D5CDD505-2E9C-101B-9397-08002B2CF9AE}" pid="3" name="_NewReviewCycle">
    <vt:lpwstr/>
  </property>
  <property fmtid="{D5CDD505-2E9C-101B-9397-08002B2CF9AE}" pid="4" name="_EmailSubject">
    <vt:lpwstr>Avista GRC: Exhibit 4 - David's testimony</vt:lpwstr>
  </property>
  <property fmtid="{D5CDD505-2E9C-101B-9397-08002B2CF9AE}" pid="5" name="_AuthorEmail">
    <vt:lpwstr>CoreyD@ATG.WA.GOV</vt:lpwstr>
  </property>
  <property fmtid="{D5CDD505-2E9C-101B-9397-08002B2CF9AE}" pid="6" name="_AuthorEmailDisplayName">
    <vt:lpwstr>Dahl, Corey (ATG)</vt:lpwstr>
  </property>
  <property fmtid="{D5CDD505-2E9C-101B-9397-08002B2CF9AE}" pid="7" name="_ReviewingToolsShownOnce">
    <vt:lpwstr/>
  </property>
  <property fmtid="{D5CDD505-2E9C-101B-9397-08002B2CF9AE}" pid="8" name="ContentTypeId">
    <vt:lpwstr>0x0101006E56B4D1795A2E4DB2F0B01679ED314A004293D7BF2DB2434CBA4573E3DBB11230</vt:lpwstr>
  </property>
  <property fmtid="{D5CDD505-2E9C-101B-9397-08002B2CF9AE}" pid="9" name="_docset_NoMedatataSyncRequired">
    <vt:lpwstr>False</vt:lpwstr>
  </property>
  <property fmtid="{D5CDD505-2E9C-101B-9397-08002B2CF9AE}" pid="10" name="IsEFSEC">
    <vt:bool>false</vt:bool>
  </property>
</Properties>
</file>