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5.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9\2019_ WA Elec and Gas General Rate Case\Adjustments\"/>
    </mc:Choice>
  </mc:AlternateContent>
  <bookViews>
    <workbookView xWindow="0" yWindow="0" windowWidth="28800" windowHeight="12435"/>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DETAIL-INPUT'!$A$1:$AS$83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DETAIL-INPUT'!$AD:$AS</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DETAIL-INPUT'!$AD:$AS</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G76" i="50" l="1"/>
  <c r="I76" i="50"/>
  <c r="I73" i="50"/>
  <c r="I75" i="50"/>
  <c r="AE23" i="1" l="1"/>
  <c r="AM42" i="1" l="1"/>
  <c r="AM25" i="1"/>
  <c r="L5" i="116" l="1"/>
  <c r="E5" i="116"/>
  <c r="D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H23" i="1" l="1"/>
  <c r="AF23" i="1" l="1"/>
  <c r="L11" i="5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72" i="113" s="1"/>
  <c r="AP65" i="1"/>
  <c r="AO65" i="113" s="1"/>
  <c r="AP45" i="1"/>
  <c r="AP34" i="1"/>
  <c r="AO34" i="113" s="1"/>
  <c r="AP28" i="1"/>
  <c r="AO28" i="113" s="1"/>
  <c r="AP17" i="1"/>
  <c r="AP19" i="1" s="1"/>
  <c r="AP46" i="1" l="1"/>
  <c r="AO46" i="113" s="1"/>
  <c r="AO45" i="113"/>
  <c r="AO17" i="113"/>
  <c r="AO19" i="113"/>
  <c r="AP73" i="1"/>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S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D10" i="116" l="1"/>
  <c r="E10" i="116"/>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S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S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S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S54" i="1"/>
  <c r="G54" i="50" s="1"/>
  <c r="AS42" i="1"/>
  <c r="G42" i="50" s="1"/>
  <c r="AC45" i="1"/>
  <c r="E36" i="113"/>
  <c r="U76" i="1"/>
  <c r="U76" i="113" s="1"/>
  <c r="AS36" i="1"/>
  <c r="G36" i="50" s="1"/>
  <c r="AS41" i="1"/>
  <c r="G41" i="50" s="1"/>
  <c r="AG76" i="113"/>
  <c r="E54" i="113"/>
  <c r="J48" i="1"/>
  <c r="AS33" i="1"/>
  <c r="G33" i="50" s="1"/>
  <c r="AS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S15" i="1" s="1"/>
  <c r="G15" i="50" s="1"/>
  <c r="G48" i="113"/>
  <c r="G51" i="113"/>
  <c r="AG80" i="1"/>
  <c r="AF80" i="113" s="1"/>
  <c r="AC80" i="113"/>
  <c r="R80" i="1"/>
  <c r="R80" i="113" s="1"/>
  <c r="AS37" i="1"/>
  <c r="G37" i="50" s="1"/>
  <c r="M80" i="1"/>
  <c r="M80" i="113" s="1"/>
  <c r="Y80" i="1"/>
  <c r="Y80" i="113" s="1"/>
  <c r="O80" i="1"/>
  <c r="H80" i="1"/>
  <c r="H80" i="113" s="1"/>
  <c r="AD80" i="113"/>
  <c r="AG80" i="113"/>
  <c r="AS38" i="1"/>
  <c r="G38" i="50" s="1"/>
  <c r="AE51" i="113"/>
  <c r="AH80" i="113"/>
  <c r="AC14" i="1"/>
  <c r="AS14" i="1" s="1"/>
  <c r="G14" i="50" s="1"/>
  <c r="E14" i="113"/>
  <c r="AS24" i="1"/>
  <c r="G24" i="50" s="1"/>
  <c r="AC26" i="1"/>
  <c r="E26" i="113"/>
  <c r="AS45" i="1"/>
  <c r="AC18" i="1"/>
  <c r="E18" i="113"/>
  <c r="AC23" i="1"/>
  <c r="AS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S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S18" i="1"/>
  <c r="G18" i="50" s="1"/>
  <c r="AS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S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M52" i="1" l="1"/>
  <c r="AL52" i="113" s="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S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S28" i="1" l="1"/>
  <c r="G28" i="50" l="1"/>
  <c r="F23" i="50"/>
  <c r="F28" i="50" s="1"/>
  <c r="I23" i="50"/>
  <c r="I28" i="50" s="1"/>
  <c r="E77" i="113" l="1"/>
  <c r="E62" i="1"/>
  <c r="E62" i="113" s="1"/>
  <c r="E75" i="113"/>
  <c r="E69" i="1"/>
  <c r="E69" i="113" s="1"/>
  <c r="E68" i="1"/>
  <c r="E68" i="50" s="1"/>
  <c r="E63" i="1"/>
  <c r="E63" i="113" s="1"/>
  <c r="E64" i="113"/>
  <c r="E71" i="1"/>
  <c r="E70" i="1"/>
  <c r="AC70" i="1" s="1"/>
  <c r="AS70" i="1" s="1"/>
  <c r="G70" i="50" s="1"/>
  <c r="E67" i="1"/>
  <c r="E67" i="50" s="1"/>
  <c r="E78" i="1"/>
  <c r="E61" i="1"/>
  <c r="E60" i="1"/>
  <c r="E16" i="1" l="1"/>
  <c r="E16" i="113" s="1"/>
  <c r="E63" i="50"/>
  <c r="E69" i="50"/>
  <c r="AC63" i="1"/>
  <c r="AS63" i="1" s="1"/>
  <c r="G63" i="50" s="1"/>
  <c r="E70" i="113"/>
  <c r="AC62" i="1"/>
  <c r="AS62" i="1" s="1"/>
  <c r="G62" i="50" s="1"/>
  <c r="AC69" i="1"/>
  <c r="AS69" i="1" s="1"/>
  <c r="G69" i="50" s="1"/>
  <c r="AC75" i="1"/>
  <c r="AS75" i="1" s="1"/>
  <c r="G75" i="50" s="1"/>
  <c r="E68" i="113"/>
  <c r="E67" i="113"/>
  <c r="AC67" i="1"/>
  <c r="AS67" i="1" s="1"/>
  <c r="G67" i="50" s="1"/>
  <c r="E64" i="50"/>
  <c r="AC64" i="1"/>
  <c r="AS64" i="1" s="1"/>
  <c r="G64" i="50" s="1"/>
  <c r="AC61" i="1"/>
  <c r="AS61" i="1" s="1"/>
  <c r="G61" i="50" s="1"/>
  <c r="E61" i="113"/>
  <c r="E61" i="50"/>
  <c r="E78" i="50"/>
  <c r="AC78" i="1"/>
  <c r="AS78" i="1" s="1"/>
  <c r="G78" i="50" s="1"/>
  <c r="E78" i="113"/>
  <c r="E65" i="1"/>
  <c r="AC60" i="1"/>
  <c r="AS60" i="1" s="1"/>
  <c r="G60" i="50" s="1"/>
  <c r="E60" i="50"/>
  <c r="E60" i="113"/>
  <c r="E71" i="113"/>
  <c r="E71" i="50"/>
  <c r="AC71" i="1"/>
  <c r="AS71" i="1" s="1"/>
  <c r="G71" i="50" s="1"/>
  <c r="AC68" i="1"/>
  <c r="AS68" i="1" s="1"/>
  <c r="G68" i="50" s="1"/>
  <c r="E70" i="50"/>
  <c r="E77" i="50"/>
  <c r="E75" i="50"/>
  <c r="E62" i="50"/>
  <c r="E72" i="1"/>
  <c r="E72" i="113" s="1"/>
  <c r="AC77" i="1"/>
  <c r="AS77" i="1" s="1"/>
  <c r="G77" i="50" s="1"/>
  <c r="I77" i="50" s="1"/>
  <c r="AC16" i="1" l="1"/>
  <c r="AC17" i="1" s="1"/>
  <c r="E16" i="50"/>
  <c r="E17" i="50" s="1"/>
  <c r="E19" i="50" s="1"/>
  <c r="E17" i="1"/>
  <c r="E19" i="1" s="1"/>
  <c r="E72" i="50"/>
  <c r="AC72" i="1"/>
  <c r="AS72" i="1" s="1"/>
  <c r="E65" i="113"/>
  <c r="E73" i="1"/>
  <c r="AC65" i="1"/>
  <c r="E65" i="50"/>
  <c r="F70" i="50" l="1"/>
  <c r="I70" i="50"/>
  <c r="AS16" i="1"/>
  <c r="G16" i="50" s="1"/>
  <c r="I71" i="50"/>
  <c r="F64" i="50"/>
  <c r="I61" i="50"/>
  <c r="I68" i="50"/>
  <c r="E17" i="113"/>
  <c r="E73" i="50"/>
  <c r="E76" i="50" s="1"/>
  <c r="E80" i="50" s="1"/>
  <c r="E73" i="113"/>
  <c r="E76" i="1"/>
  <c r="AC73" i="1"/>
  <c r="AC76" i="1" s="1"/>
  <c r="AC80" i="1" s="1"/>
  <c r="AS65" i="1"/>
  <c r="AC19" i="1"/>
  <c r="E19" i="113"/>
  <c r="F5" i="116" l="1"/>
  <c r="F7" i="116" s="1"/>
  <c r="D7" i="116"/>
  <c r="F10" i="116"/>
  <c r="F69" i="50"/>
  <c r="F62" i="50"/>
  <c r="F63" i="50"/>
  <c r="I63" i="50"/>
  <c r="F61" i="50"/>
  <c r="F68" i="50"/>
  <c r="I64" i="50"/>
  <c r="F71" i="50"/>
  <c r="I69" i="50"/>
  <c r="I62" i="50"/>
  <c r="I60" i="50"/>
  <c r="AS73" i="1"/>
  <c r="E76" i="113"/>
  <c r="E80" i="1"/>
  <c r="F75" i="50" l="1"/>
  <c r="F78" i="50"/>
  <c r="I78" i="50"/>
  <c r="G72" i="50"/>
  <c r="I67" i="50"/>
  <c r="I72" i="50" s="1"/>
  <c r="F67" i="50"/>
  <c r="F72" i="50" s="1"/>
  <c r="G65" i="50"/>
  <c r="I65" i="50"/>
  <c r="F60" i="50"/>
  <c r="F65" i="50" s="1"/>
  <c r="AS76" i="1"/>
  <c r="AS80" i="1" s="1"/>
  <c r="E12" i="51" s="1"/>
  <c r="E80" i="113"/>
  <c r="E10" i="3"/>
  <c r="H10" i="99"/>
  <c r="G73" i="50" l="1"/>
  <c r="G17" i="50"/>
  <c r="G19" i="50" s="1"/>
  <c r="H15" i="99"/>
  <c r="K10" i="99"/>
  <c r="N10" i="99" s="1"/>
  <c r="F73" i="50"/>
  <c r="F76" i="50" s="1"/>
  <c r="E11" i="48"/>
  <c r="I11" i="48" s="1"/>
  <c r="E35" i="3"/>
  <c r="I55" i="48" l="1"/>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S17" i="1"/>
  <c r="AS19" i="1" l="1"/>
  <c r="AK19" i="113"/>
  <c r="AK48" i="113" l="1"/>
  <c r="AK51" i="113" l="1"/>
  <c r="AS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S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S31" i="1"/>
  <c r="G31" i="50" s="1"/>
  <c r="H31" i="111"/>
  <c r="E34" i="113" l="1"/>
  <c r="E34" i="111"/>
  <c r="H34" i="111" s="1"/>
  <c r="F26" i="51"/>
  <c r="F28" i="51" s="1"/>
  <c r="F32" i="50"/>
  <c r="E46" i="113"/>
  <c r="E48" i="1"/>
  <c r="AS34" i="1"/>
  <c r="AC46" i="1"/>
  <c r="E46" i="111" l="1"/>
  <c r="E48" i="111" s="1"/>
  <c r="I32" i="50"/>
  <c r="AC48" i="1"/>
  <c r="AS46" i="1"/>
  <c r="E48" i="113"/>
  <c r="E56" i="1"/>
  <c r="E81" i="1" s="1"/>
  <c r="H46" i="111" l="1"/>
  <c r="D10" i="3"/>
  <c r="E56" i="113"/>
  <c r="E87" i="1"/>
  <c r="E88" i="1" s="1"/>
  <c r="E82" i="1" s="1"/>
  <c r="G10" i="99"/>
  <c r="AC56" i="1"/>
  <c r="AS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S56" i="1"/>
  <c r="AT81" i="1" s="1"/>
  <c r="O10" i="99"/>
  <c r="G15" i="99"/>
  <c r="J10" i="99"/>
  <c r="AS87" i="1" l="1"/>
  <c r="E18" i="51"/>
  <c r="AC88" i="1"/>
  <c r="AC82" i="1" s="1"/>
  <c r="F35" i="3"/>
  <c r="D52" i="3"/>
  <c r="K9" i="116" s="1"/>
  <c r="G37" i="99"/>
  <c r="G55" i="99" s="1"/>
  <c r="O15" i="99"/>
  <c r="J15" i="99"/>
  <c r="J37" i="99" s="1"/>
  <c r="J55" i="99" s="1"/>
  <c r="M10" i="99"/>
  <c r="Q10" i="99" s="1"/>
  <c r="K11" i="116" l="1"/>
  <c r="K12" i="116" s="1"/>
  <c r="AS88" i="1"/>
  <c r="AS82" i="1" s="1"/>
  <c r="E20" i="51"/>
  <c r="E24" i="51" s="1"/>
  <c r="F52" i="3"/>
  <c r="O37" i="99"/>
  <c r="P10" i="99"/>
  <c r="P55" i="99" s="1"/>
  <c r="M15" i="99"/>
  <c r="M37" i="99" s="1"/>
  <c r="M55" i="99" s="1"/>
  <c r="E42" i="51" l="1"/>
  <c r="N56" i="99"/>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E36" i="51" l="1"/>
  <c r="E39" i="51" l="1"/>
  <c r="G39" i="51" l="1"/>
  <c r="H39" i="5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<sst xmlns="http://schemas.openxmlformats.org/spreadsheetml/2006/main" count="1211" uniqueCount="770">
  <si>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</si>
  <si>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</si>
  <si>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</si>
  <si>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</si>
  <si>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</si>
  <si>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</si>
  <si>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</si>
  <si>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</si>
  <si>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</si>
  <si>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</si>
  <si>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</si>
  <si>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</si>
  <si>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</si>
  <si>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</si>
  <si>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</si>
  <si>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</si>
  <si>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</si>
  <si>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</si>
  <si>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</si>
  <si>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</si>
  <si>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</si>
  <si>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</si>
  <si>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</si>
  <si>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</si>
  <si>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</si>
  <si>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</si>
  <si>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</si>
  <si>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</si>
  <si>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</si>
  <si>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</si>
  <si>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</si>
  <si>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</si>
  <si>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</si>
  <si>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</si>
  <si>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</si>
  <si>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</si>
  <si>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</si>
  <si>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</si>
  <si>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</si>
  <si>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</si>
  <si>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</si>
  <si>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</si>
  <si>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</si>
  <si>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</si>
  <si>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</si>
  <si>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</si>
  <si>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</si>
  <si>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</si>
  <si>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</si>
  <si>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</si>
  <si>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</si>
  <si>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</si>
  <si>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</si>
  <si>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</si>
  <si>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</si>
  <si>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</si>
  <si>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</si>
  <si>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</si>
  <si>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</si>
  <si>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</si>
  <si>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</si>
  <si>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</si>
  <si>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</si>
  <si>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</si>
  <si>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</si>
  <si>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</si>
  <si>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</si>
  <si>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</si>
  <si>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</si>
  <si>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</si>
  <si>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</si>
  <si>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</si>
  <si>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</si>
  <si>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</si>
  <si>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</si>
  <si>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</si>
  <si>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</si>
  <si>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</si>
  <si>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</si>
  <si>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</si>
  <si>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</si>
  <si>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</si>
  <si>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</si>
  <si>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</si>
  <si>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</si>
  <si>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</si>
  <si>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</si>
  <si>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</si>
  <si>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</si>
  <si>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</si>
  <si>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</si>
  <si>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</si>
  <si>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</si>
  <si>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</si>
  <si>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</si>
  <si>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</si>
  <si>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</si>
  <si>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</si>
  <si>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</si>
  <si>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</si>
  <si>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</si>
  <si>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</si>
  <si>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</si>
  <si>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</si>
  <si>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</si>
  <si>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</si>
  <si>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</si>
  <si>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</si>
  <si>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</si>
  <si>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</si>
  <si>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</si>
  <si>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</si>
  <si>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</si>
  <si>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</si>
  <si>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</si>
  <si>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</si>
  <si>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</si>
  <si>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</si>
  <si>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</si>
  <si>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</si>
  <si>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</si>
  <si>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</si>
  <si>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</si>
  <si>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</si>
  <si>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</si>
  <si>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</si>
  <si>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</si>
  <si>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</si>
  <si>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</si>
  <si>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</si>
  <si>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</si>
  <si>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</si>
  <si>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</si>
  <si>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</si>
  <si>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</si>
  <si>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</si>
  <si>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</si>
  <si>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</si>
  <si>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</si>
  <si>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</si>
  <si>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</si>
  <si>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</si>
  <si>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</si>
  <si>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</si>
  <si>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</si>
  <si>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</si>
  <si>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</si>
  <si>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</si>
  <si>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</si>
  <si>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</si>
  <si>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</si>
  <si>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</si>
  <si>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</si>
  <si>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</si>
  <si>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</si>
  <si>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</si>
  <si>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</si>
  <si>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</si>
  <si>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</si>
  <si>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</si>
  <si>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</si>
  <si>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</si>
  <si>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</si>
  <si>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</si>
  <si>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</si>
  <si>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</si>
  <si>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</si>
  <si>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</si>
  <si>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</si>
  <si>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</si>
  <si>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</si>
  <si>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</si>
  <si>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</si>
  <si>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</si>
  <si>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</si>
  <si>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</si>
  <si>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</si>
  <si>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</si>
  <si>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</si>
  <si>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</si>
  <si>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</si>
  <si>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</si>
  <si>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</si>
  <si>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</si>
  <si>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</si>
  <si>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</si>
  <si>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</si>
  <si>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</si>
  <si>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</si>
  <si>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</si>
  <si>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</si>
  <si>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</si>
  <si>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</si>
  <si>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</si>
  <si>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</si>
  <si>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</si>
  <si>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</si>
  <si>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</si>
  <si>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</si>
  <si>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</si>
  <si>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</si>
  <si>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</si>
  <si>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</si>
  <si>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</si>
  <si>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</si>
  <si>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</si>
  <si>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</si>
  <si>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</si>
  <si>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</si>
  <si>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</si>
  <si>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</si>
  <si>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</si>
  <si>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</si>
  <si>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</si>
  <si>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</si>
  <si>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</si>
  <si>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</si>
  <si>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</si>
  <si>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</si>
  <si>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</si>
  <si>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</si>
  <si>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</si>
  <si>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</si>
  <si>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</si>
  <si>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</si>
  <si>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</si>
  <si>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</si>
  <si>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</si>
  <si>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</si>
  <si>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</si>
  <si>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</si>
  <si>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</si>
  <si>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</si>
  <si>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</si>
  <si>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</si>
  <si>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</si>
  <si>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</si>
  <si>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</si>
  <si>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</si>
  <si>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</si>
  <si>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</si>
  <si>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</si>
  <si>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</si>
  <si>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</si>
  <si>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</si>
  <si>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</si>
  <si>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</si>
  <si>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</si>
  <si>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</si>
  <si>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</si>
  <si>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</si>
  <si>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</si>
  <si>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</si>
  <si>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</si>
  <si>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</si>
  <si>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</si>
  <si>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</si>
  <si>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</si>
  <si>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</si>
  <si>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</si>
  <si>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</si>
  <si>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</si>
  <si>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</si>
  <si>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</si>
  <si>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</si>
  <si>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</si>
  <si>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</si>
  <si>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</si>
  <si>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</si>
  <si>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</si>
  <si>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</si>
  <si>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</si>
  <si>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</si>
  <si>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</si>
  <si>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</si>
  <si>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</si>
  <si>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</si>
  <si>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</si>
  <si>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</si>
  <si>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</si>
  <si>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</si>
  <si>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</si>
  <si>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</si>
  <si>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</si>
  <si>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</si>
  <si>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</si>
  <si>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</si>
  <si>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</si>
  <si>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</si>
  <si>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</si>
  <si>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</si>
  <si>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</si>
  <si>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</si>
  <si>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</si>
  <si>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</si>
  <si>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</si>
  <si>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</si>
  <si>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</si>
  <si>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</si>
  <si>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</si>
  <si>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</si>
  <si>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</si>
  <si>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</si>
  <si>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</si>
  <si>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</si>
  <si>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</si>
  <si>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</si>
  <si>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</si>
  <si>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</si>
  <si>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</si>
  <si>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</si>
  <si>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</si>
  <si>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</si>
  <si>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</si>
  <si>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</si>
  <si>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</si>
  <si>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</si>
  <si>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</si>
  <si>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</si>
  <si>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</si>
  <si>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</si>
  <si>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</si>
  <si>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</si>
  <si>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</si>
  <si>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</si>
  <si>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</si>
  <si>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</si>
  <si>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</si>
  <si>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</si>
  <si>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</si>
  <si>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</si>
  <si>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</si>
  <si>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</si>
  <si>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</si>
  <si>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</si>
  <si>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</si>
  <si>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</si>
  <si>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</si>
  <si>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</si>
  <si>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</si>
  <si>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</si>
  <si>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</si>
  <si>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</si>
  <si>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</si>
  <si>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</si>
  <si>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</si>
  <si>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</si>
  <si>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</si>
  <si>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</si>
  <si>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</si>
  <si>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</si>
  <si>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</si>
  <si>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</si>
  <si>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</si>
  <si>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</si>
  <si>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</si>
  <si>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</si>
  <si>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</si>
  <si>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</si>
  <si>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</si>
  <si>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</si>
  <si>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</si>
  <si>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</si>
  <si>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</si>
  <si>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</si>
  <si>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</si>
  <si>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</si>
  <si>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</si>
  <si>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</si>
  <si>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</si>
  <si>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</si>
  <si>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</si>
  <si>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</si>
  <si>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</si>
  <si>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</si>
  <si>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</si>
  <si>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</si>
  <si>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</si>
  <si>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</si>
  <si>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</si>
  <si>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</si>
  <si>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</si>
  <si>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</si>
  <si>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</si>
  <si>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</si>
  <si>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</si>
  <si>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</si>
  <si>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</si>
  <si>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</si>
  <si>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</si>
  <si>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</si>
  <si>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</si>
  <si>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</si>
  <si>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</si>
  <si>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</si>
  <si>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</si>
  <si>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</si>
  <si>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</si>
  <si>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</si>
  <si>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</si>
  <si>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</si>
  <si>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</si>
  <si>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</si>
  <si>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</si>
  <si>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</si>
  <si>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</si>
  <si>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</si>
  <si>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</si>
  <si>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</si>
  <si>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</si>
  <si>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</si>
  <si>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</si>
  <si>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</si>
  <si>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</si>
  <si>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</si>
  <si>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</si>
  <si>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</si>
  <si>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</si>
  <si>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</si>
  <si>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</si>
  <si>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</si>
  <si>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</si>
  <si>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</si>
  <si>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</si>
  <si>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</si>
  <si>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</si>
  <si>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</si>
  <si>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</si>
  <si>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</si>
  <si>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</si>
  <si>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</si>
  <si>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</si>
  <si>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</si>
  <si>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</si>
  <si>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</si>
  <si>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</si>
  <si>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</si>
  <si>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</si>
  <si>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</si>
  <si>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</si>
  <si>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</si>
  <si>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</si>
  <si>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</si>
  <si>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</si>
  <si>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</si>
  <si>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</si>
  <si>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</si>
  <si>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</si>
  <si>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</si>
  <si>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</si>
  <si>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</si>
  <si>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</si>
  <si>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</si>
  <si>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</si>
  <si>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</si>
  <si>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</si>
  <si>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</si>
  <si>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</si>
  <si>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</si>
  <si>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</si>
  <si>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</si>
  <si>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</si>
  <si>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</si>
  <si>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</si>
  <si>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</si>
  <si>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</si>
  <si>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</si>
  <si>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</si>
  <si>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</si>
  <si>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</si>
  <si>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</si>
  <si>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</si>
  <si>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</si>
  <si>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</si>
  <si>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</si>
  <si>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</si>
  <si>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</si>
  <si>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</si>
  <si>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</si>
  <si>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</si>
  <si>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</si>
  <si>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</si>
  <si>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</si>
  <si>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</si>
  <si>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</si>
  <si>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</si>
  <si>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</si>
  <si>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</si>
  <si>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</si>
  <si>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</si>
  <si>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</si>
  <si>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</si>
  <si>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</si>
  <si>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</si>
  <si>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</si>
  <si>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</si>
  <si>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</si>
  <si>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</si>
  <si>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</si>
  <si>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</si>
  <si>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</si>
  <si>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</si>
  <si>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</si>
  <si>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</si>
  <si>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</si>
  <si>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</si>
  <si>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</si>
  <si>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</si>
  <si>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</si>
  <si>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</si>
  <si>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</si>
  <si>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</si>
  <si>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</si>
  <si>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</si>
  <si>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</si>
  <si>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</si>
  <si>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</si>
  <si>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</si>
  <si>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</si>
  <si>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</si>
  <si>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</si>
  <si>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</si>
  <si>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</si>
  <si>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</si>
  <si>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</si>
  <si>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</si>
  <si>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</si>
  <si>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</si>
  <si>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</si>
  <si>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</si>
  <si>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</si>
  <si>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</si>
  <si>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</si>
  <si>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</si>
  <si>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</si>
  <si>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</si>
  <si>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</si>
  <si>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</si>
  <si>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</si>
  <si>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</si>
  <si>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</si>
  <si>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</si>
  <si>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</si>
  <si>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</si>
  <si>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</si>
  <si>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</si>
  <si>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</si>
  <si>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</si>
  <si>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</si>
  <si>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</si>
  <si>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</si>
  <si>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</si>
  <si>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</si>
  <si>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</si>
  <si>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</si>
  <si>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</si>
  <si>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</si>
  <si>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</si>
  <si>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</si>
  <si>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</si>
  <si>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</si>
  <si>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</si>
  <si>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</si>
  <si>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</si>
  <si>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</si>
  <si>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</si>
  <si>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</si>
  <si>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</si>
  <si>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</si>
  <si>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</si>
  <si>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</si>
  <si>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</si>
  <si>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</si>
  <si>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</si>
  <si>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</si>
  <si>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</si>
  <si>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</si>
  <si>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</si>
  <si>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</si>
  <si>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</si>
  <si>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</si>
  <si>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</si>
  <si>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</si>
  <si>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</si>
  <si>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</si>
  <si>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</si>
  <si>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</si>
  <si>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</si>
  <si>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</si>
  <si>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</si>
  <si>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</si>
  <si>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</si>
  <si>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</si>
  <si>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</si>
  <si>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</si>
  <si>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</si>
  <si>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</si>
  <si>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</si>
  <si>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</si>
  <si>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</si>
  <si>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</si>
  <si>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</si>
  <si>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</si>
  <si>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</si>
  <si>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</si>
  <si>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</si>
  <si>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</si>
  <si>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</si>
  <si>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</si>
  <si>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</si>
  <si>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</si>
  <si>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</si>
  <si>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</si>
  <si>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</si>
  <si>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</si>
  <si>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</si>
  <si>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</si>
  <si>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</si>
  <si>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</si>
  <si>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</si>
  <si>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</si>
  <si>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</si>
  <si>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</si>
  <si>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</si>
  <si>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</si>
  <si>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</si>
  <si>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</si>
  <si>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</si>
  <si>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</si>
  <si>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</si>
  <si>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</si>
  <si>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</si>
  <si>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</si>
  <si>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</si>
  <si>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</si>
  <si>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</si>
  <si>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</si>
  <si>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</si>
  <si>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</si>
  <si>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</si>
  <si>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</si>
  <si>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</si>
  <si>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</si>
  <si>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</si>
  <si>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</si>
  <si>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</si>
  <si>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</si>
  <si>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</si>
  <si>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</si>
  <si>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</si>
  <si>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</si>
  <si>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</si>
  <si>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</si>
  <si>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</si>
  <si>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</si>
  <si>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</si>
  <si>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</si>
  <si>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</si>
  <si>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</si>
  <si>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</si>
  <si>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</si>
  <si>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</si>
  <si>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</si>
  <si>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</si>
  <si>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</si>
  <si>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</si>
  <si>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</si>
  <si>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</si>
  <si>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</si>
  <si>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</si>
  <si>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</si>
  <si>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</si>
  <si>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</si>
  <si>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</si>
  <si>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</si>
  <si>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</si>
  <si>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</si>
  <si>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</si>
  <si>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</si>
  <si>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</si>
  <si>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</si>
  <si>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</si>
  <si>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</si>
  <si>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</si>
  <si>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</si>
  <si>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</si>
  <si>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</si>
  <si>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</si>
  <si>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</si>
  <si>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</si>
  <si>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</si>
  <si>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</si>
  <si>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Revenue Requirement Rebuttal</t>
  </si>
  <si>
    <t xml:space="preserve">  Federal Income Tax @ 21%</t>
  </si>
  <si>
    <t>TWELVE MONTHS ENDED DECEMBER 31, 2018</t>
  </si>
  <si>
    <t>CALCULATION OF REQUESTED GENERAL REVENUE REQUIREMENT</t>
  </si>
  <si>
    <t>E-AMI</t>
  </si>
  <si>
    <t xml:space="preserve">Revenue Conversion Factor </t>
  </si>
  <si>
    <t>Remove</t>
  </si>
  <si>
    <t>AMI</t>
  </si>
  <si>
    <t>Restate 2018</t>
  </si>
  <si>
    <t>E-EOP18</t>
  </si>
  <si>
    <t>Depreciation</t>
  </si>
  <si>
    <t>Fee Free</t>
  </si>
  <si>
    <t>Amortization</t>
  </si>
  <si>
    <t xml:space="preserve">Colstrip </t>
  </si>
  <si>
    <t>Open</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</si>
  <si>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</si>
  <si>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</si>
  <si>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</si>
  <si>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</si>
  <si>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</si>
  <si>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</si>
  <si>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</si>
  <si>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</si>
  <si>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</si>
  <si>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</si>
  <si>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</si>
  <si>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</si>
  <si>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</si>
  <si>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</si>
  <si>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</si>
  <si>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</si>
  <si>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</si>
  <si>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</si>
  <si>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</si>
  <si>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</si>
  <si>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</si>
  <si>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</si>
  <si>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</si>
  <si>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</si>
  <si>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</si>
  <si>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</si>
  <si>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</si>
  <si>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</si>
  <si>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</si>
  <si>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E-P</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</si>
  <si>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</si>
  <si>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</si>
  <si>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</si>
  <si>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</si>
  <si>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</si>
  <si>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</si>
  <si>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</si>
  <si>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</si>
  <si>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</si>
  <si>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</si>
  <si>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</si>
  <si>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</si>
  <si>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</si>
  <si>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</si>
  <si>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</si>
  <si>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</si>
  <si>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t>
  </si>
  <si>
    <t>Incremental Revenue</t>
  </si>
  <si>
    <t>Incremental % (Base)</t>
  </si>
  <si>
    <t>Incremental         % (Billed)</t>
  </si>
  <si>
    <t>Delivery &amp; Power Plant Revenues 4/1/2020</t>
  </si>
  <si>
    <t>Rate Year 2: 4/1/2021 -3/31/2022</t>
  </si>
  <si>
    <t>Current Delivery &amp; Power Plant Revenues per Exh. EMA-x, pg x</t>
  </si>
  <si>
    <t>04.2020</t>
  </si>
  <si>
    <t>April 1, 2020</t>
  </si>
  <si>
    <t>WITH 04.2020 PROPOSED RATES</t>
  </si>
  <si>
    <t>Revenue Growth Rate %</t>
  </si>
  <si>
    <t>4/1/2020 Proposed Revenue Increase from line 7</t>
  </si>
  <si>
    <t>Previous</t>
  </si>
  <si>
    <t>Revenue Growth Rate and Revenue Adjustment for Rate Year 2 (4/1/2021)</t>
  </si>
  <si>
    <t>per Exh. EMA-4, pg. 1</t>
  </si>
  <si>
    <t xml:space="preserve">2019 Major </t>
  </si>
  <si>
    <t>($411,394 + $45,775 = $457,170)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</si>
</sst>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sz val="8"/>
      <name val="Times New Roman"/>
      <family val="1"/>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8">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Border="1" applyAlignment="1">
      <alignment horizontal="center" vertical="center"/>
    </xf>
    <xf numFmtId="41" fontId="67" fillId="0" borderId="0" xfId="12" applyNumberFormat="1" applyFont="1" applyFill="1" applyAlignment="1"/>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8" fillId="0" borderId="0" xfId="12" applyNumberFormat="1" applyFont="1" applyFill="1" applyAlignment="1">
      <alignment horizontal="center"/>
    </xf>
    <xf numFmtId="41" fontId="68" fillId="0" borderId="0" xfId="12" applyNumberFormat="1" applyFont="1" applyFill="1" applyAlignment="1"/>
    <xf numFmtId="41" fontId="64" fillId="0" borderId="0" xfId="12" applyNumberFormat="1" applyFont="1" applyFill="1" applyBorder="1" applyAlignment="1"/>
    <xf numFmtId="41" fontId="69" fillId="0" borderId="0" xfId="12" applyNumberFormat="1" applyFont="1"/>
    <xf numFmtId="41" fontId="69" fillId="0" borderId="0" xfId="12" applyNumberFormat="1" applyFont="1" applyFill="1"/>
    <xf numFmtId="41" fontId="70" fillId="0" borderId="0" xfId="12" applyNumberFormat="1" applyFont="1" applyFill="1" applyBorder="1" applyAlignment="1">
      <alignment horizontal="center" wrapText="1"/>
    </xf>
    <xf numFmtId="41" fontId="70" fillId="0" borderId="0" xfId="12" applyNumberFormat="1" applyFont="1" applyFill="1" applyAlignment="1"/>
    <xf numFmtId="3" fontId="70" fillId="0" borderId="0" xfId="13" applyNumberFormat="1" applyFont="1" applyFill="1" applyBorder="1" applyAlignment="1">
      <alignment horizontal="center"/>
    </xf>
    <xf numFmtId="41" fontId="70" fillId="0" borderId="0" xfId="13" quotePrefix="1" applyNumberFormat="1" applyFont="1" applyFill="1" applyAlignment="1">
      <alignment horizontal="center"/>
    </xf>
    <xf numFmtId="41" fontId="70" fillId="0" borderId="1" xfId="12" applyNumberFormat="1" applyFont="1" applyFill="1" applyBorder="1" applyAlignment="1">
      <alignment horizontal="center"/>
    </xf>
    <xf numFmtId="41" fontId="70" fillId="0" borderId="5" xfId="12" applyNumberFormat="1" applyFont="1" applyFill="1" applyBorder="1" applyAlignment="1">
      <alignment horizontal="center"/>
    </xf>
    <xf numFmtId="41" fontId="70" fillId="0" borderId="8" xfId="12" applyNumberFormat="1" applyFont="1" applyFill="1" applyBorder="1" applyAlignment="1">
      <alignment horizontal="center"/>
    </xf>
    <xf numFmtId="2" fontId="70" fillId="0" borderId="0" xfId="4" applyNumberFormat="1" applyFont="1" applyFill="1" applyAlignment="1" applyProtection="1">
      <alignment horizontal="center"/>
    </xf>
    <xf numFmtId="2" fontId="70" fillId="0" borderId="0" xfId="4" applyNumberFormat="1" applyFont="1" applyAlignment="1" applyProtection="1">
      <alignment horizontal="center"/>
    </xf>
    <xf numFmtId="5" fontId="69" fillId="0" borderId="0" xfId="10" applyNumberFormat="1" applyFont="1" applyFill="1" applyBorder="1"/>
    <xf numFmtId="41" fontId="69" fillId="0" borderId="10" xfId="12" applyNumberFormat="1" applyFont="1" applyBorder="1"/>
    <xf numFmtId="5" fontId="69" fillId="0" borderId="13" xfId="12" applyNumberFormat="1" applyFont="1" applyBorder="1"/>
    <xf numFmtId="5" fontId="69" fillId="0" borderId="0" xfId="12" applyNumberFormat="1" applyFont="1"/>
    <xf numFmtId="41" fontId="69" fillId="0" borderId="3" xfId="12" applyNumberFormat="1" applyFont="1" applyFill="1" applyBorder="1"/>
    <xf numFmtId="41" fontId="69" fillId="0" borderId="0" xfId="12" applyNumberFormat="1" applyFont="1" applyFill="1" applyBorder="1"/>
    <xf numFmtId="5" fontId="69" fillId="0" borderId="13" xfId="12" applyNumberFormat="1" applyFont="1" applyFill="1" applyBorder="1"/>
    <xf numFmtId="41" fontId="69" fillId="0" borderId="0" xfId="14" applyNumberFormat="1" applyFont="1" applyFill="1"/>
    <xf numFmtId="41" fontId="69" fillId="0" borderId="0" xfId="12" applyNumberFormat="1" applyFont="1" applyFill="1" applyAlignment="1">
      <alignment vertical="top"/>
    </xf>
    <xf numFmtId="41" fontId="69" fillId="0" borderId="12" xfId="12" applyNumberFormat="1" applyFont="1" applyFill="1" applyBorder="1"/>
    <xf numFmtId="41" fontId="69" fillId="0" borderId="10" xfId="12" applyNumberFormat="1" applyFont="1" applyFill="1" applyBorder="1"/>
    <xf numFmtId="41" fontId="69"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0" applyFont="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Alignment="1">
      <alignment horizontal="right"/>
    </xf>
    <xf numFmtId="10" fontId="10" fillId="0" borderId="12" xfId="12" applyNumberFormat="1" applyFont="1" applyBorder="1" applyAlignment="1">
      <alignment horizontal="right"/>
    </xf>
    <xf numFmtId="0" fontId="10" fillId="0" borderId="0" xfId="12" applyFont="1" applyBorder="1"/>
    <xf numFmtId="0" fontId="3" fillId="0" borderId="0" xfId="0" applyFont="1" applyBorder="1"/>
    <xf numFmtId="176" fontId="10" fillId="0" borderId="10" xfId="2" applyNumberFormat="1"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9" fillId="0" borderId="0" xfId="0" applyFont="1" applyAlignment="1">
      <alignment horizontal="right"/>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66" fillId="0" borderId="0" xfId="0" applyFont="1" applyBorder="1"/>
    <xf numFmtId="0" fontId="10" fillId="0" borderId="0" xfId="0" applyFont="1" applyAlignment="1">
      <alignment horizontal="right"/>
    </xf>
    <xf numFmtId="176" fontId="10" fillId="0" borderId="18" xfId="2" applyNumberFormat="1" applyFont="1" applyBorder="1"/>
    <xf numFmtId="10" fontId="9" fillId="0" borderId="0" xfId="14" applyNumberFormat="1" applyFont="1" applyBorder="1" applyAlignment="1">
      <alignment horizontal="center"/>
    </xf>
    <xf numFmtId="10" fontId="10" fillId="0" borderId="18" xfId="14" applyNumberFormat="1" applyFont="1" applyBorder="1"/>
    <xf numFmtId="0" fontId="3" fillId="0" borderId="0" xfId="0" applyFont="1" applyBorder="1" applyAlignment="1">
      <alignment horizontal="right"/>
    </xf>
    <xf numFmtId="0" fontId="9" fillId="0" borderId="0" xfId="0" applyFont="1" applyFill="1" applyBorder="1" applyAlignment="1">
      <alignment horizontal="right"/>
    </xf>
    <xf numFmtId="0" fontId="9" fillId="0" borderId="0" xfId="0" applyFont="1" applyAlignment="1">
      <alignment wrapText="1"/>
    </xf>
    <xf numFmtId="5" fontId="9" fillId="0" borderId="12" xfId="0" applyNumberFormat="1" applyFont="1" applyBorder="1" applyAlignment="1"/>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0" fontId="17" fillId="0" borderId="0" xfId="0" applyFont="1" applyFill="1" applyAlignment="1">
      <alignment horizontal="right" vertical="top"/>
    </xf>
    <xf numFmtId="5" fontId="9" fillId="0" borderId="10" xfId="0" applyNumberFormat="1" applyFont="1" applyFill="1" applyBorder="1" applyAlignment="1"/>
    <xf numFmtId="41" fontId="6" fillId="0" borderId="10" xfId="12" applyNumberFormat="1" applyFont="1" applyFill="1" applyBorder="1" applyAlignment="1"/>
    <xf numFmtId="10" fontId="36" fillId="0" borderId="0" xfId="0" applyNumberFormat="1" applyFont="1" applyBorder="1"/>
    <xf numFmtId="0" fontId="71" fillId="0" borderId="0" xfId="0" applyFont="1" applyBorder="1"/>
    <xf numFmtId="169" fontId="36" fillId="0" borderId="0" xfId="0" applyNumberFormat="1" applyFont="1" applyFill="1" applyBorder="1" applyAlignment="1">
      <alignment horizontal="center"/>
    </xf>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Alignment="1">
      <alignment horizontal="right" wrapText="1"/>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topLeftCell="A10" zoomScaleNormal="100" workbookViewId="0">
      <selection activeCell="M75" sqref="M75"/>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29"/>
      <c r="F1" s="829"/>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25" t="s">
        <v>761</v>
      </c>
      <c r="F4" s="826"/>
      <c r="G4" s="826"/>
      <c r="H4" s="826"/>
      <c r="I4" s="827"/>
    </row>
    <row r="5" spans="1:22">
      <c r="A5" s="1"/>
      <c r="B5" s="5"/>
      <c r="C5" s="5"/>
      <c r="D5" s="4"/>
      <c r="E5" s="244" t="s">
        <v>168</v>
      </c>
      <c r="F5" s="245"/>
      <c r="G5" s="246"/>
      <c r="H5" s="244" t="s">
        <v>762</v>
      </c>
      <c r="I5" s="246"/>
      <c r="V5" s="554"/>
    </row>
    <row r="6" spans="1:22">
      <c r="A6" s="6"/>
      <c r="B6" s="7"/>
      <c r="C6" s="8"/>
      <c r="D6" s="9"/>
      <c r="E6" s="247" t="s">
        <v>169</v>
      </c>
      <c r="F6" s="247"/>
      <c r="G6" s="511" t="s">
        <v>760</v>
      </c>
      <c r="H6" s="248" t="s">
        <v>170</v>
      </c>
      <c r="I6" s="511" t="s">
        <v>760</v>
      </c>
    </row>
    <row r="7" spans="1:22">
      <c r="A7" s="10" t="s">
        <v>8</v>
      </c>
      <c r="B7" s="11"/>
      <c r="C7" s="12"/>
      <c r="D7" s="13"/>
      <c r="E7" s="249" t="s">
        <v>9</v>
      </c>
      <c r="F7" s="249" t="s">
        <v>136</v>
      </c>
      <c r="G7" s="249" t="s">
        <v>662</v>
      </c>
      <c r="H7" s="250" t="s">
        <v>171</v>
      </c>
      <c r="I7" s="249" t="s">
        <v>170</v>
      </c>
    </row>
    <row r="8" spans="1:22">
      <c r="A8" s="14" t="s">
        <v>21</v>
      </c>
      <c r="B8" s="15"/>
      <c r="C8" s="16"/>
      <c r="D8" s="17" t="s">
        <v>22</v>
      </c>
      <c r="E8" s="251" t="s">
        <v>23</v>
      </c>
      <c r="F8" s="251" t="s">
        <v>146</v>
      </c>
      <c r="G8" s="251" t="s">
        <v>663</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DETAIL-INPUT'!AS14</f>
        <v>500918</v>
      </c>
      <c r="H14" s="241">
        <f>'CF '!J9</f>
        <v>45775.488291908834</v>
      </c>
      <c r="I14" s="21">
        <f>G14+H14</f>
        <v>546693.48829190887</v>
      </c>
    </row>
    <row r="15" spans="1:22">
      <c r="A15" s="20">
        <v>2</v>
      </c>
      <c r="B15" s="22" t="s">
        <v>42</v>
      </c>
      <c r="C15" s="22"/>
      <c r="D15" s="22"/>
      <c r="E15" s="235">
        <f>'ADJ DETAIL-INPUT'!E15</f>
        <v>1101</v>
      </c>
      <c r="F15" s="235">
        <f>G15-E15</f>
        <v>0</v>
      </c>
      <c r="G15" s="438">
        <f>'ADJ DETAIL-INPUT'!AS15</f>
        <v>1101</v>
      </c>
      <c r="H15" s="235"/>
      <c r="I15" s="235">
        <f t="shared" ref="I15:I16" si="0">G15+H15</f>
        <v>1101</v>
      </c>
    </row>
    <row r="16" spans="1:22">
      <c r="A16" s="20">
        <v>3</v>
      </c>
      <c r="B16" s="22" t="s">
        <v>43</v>
      </c>
      <c r="C16" s="22"/>
      <c r="D16" s="22"/>
      <c r="E16" s="237">
        <f>'ADJ DETAIL-INPUT'!E16</f>
        <v>60012</v>
      </c>
      <c r="F16" s="237">
        <f>G16-E16</f>
        <v>-24436</v>
      </c>
      <c r="G16" s="447">
        <f>'ADJ DETAIL-INPUT'!AS16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45775.488291908834</v>
      </c>
      <c r="I17" s="235">
        <f t="shared" si="1"/>
        <v>583370.48829190887</v>
      </c>
    </row>
    <row r="18" spans="1:12">
      <c r="A18" s="20">
        <v>5</v>
      </c>
      <c r="B18" s="22" t="s">
        <v>45</v>
      </c>
      <c r="C18" s="22"/>
      <c r="D18" s="22"/>
      <c r="E18" s="237">
        <f>'ADJ DETAIL-INPUT'!E18</f>
        <v>60951</v>
      </c>
      <c r="F18" s="237">
        <f>G18-E18</f>
        <v>-47952</v>
      </c>
      <c r="G18" s="447">
        <f>'ADJ DETAIL-INPUT'!AS18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45775.488291908834</v>
      </c>
      <c r="I19" s="235">
        <f t="shared" si="2"/>
        <v>596369.48829190887</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-41099</v>
      </c>
      <c r="G23" s="591">
        <f>'ADJ DETAIL-INPUT'!AS23</f>
        <v>134305</v>
      </c>
      <c r="H23" s="235"/>
      <c r="I23" s="235">
        <f>G23+H23</f>
        <v>134305</v>
      </c>
    </row>
    <row r="24" spans="1:12">
      <c r="A24" s="20">
        <v>8</v>
      </c>
      <c r="B24" s="22"/>
      <c r="C24" s="22" t="s">
        <v>50</v>
      </c>
      <c r="D24" s="22"/>
      <c r="E24" s="235">
        <f>'ADJ DETAIL-INPUT'!E24</f>
        <v>89111</v>
      </c>
      <c r="F24" s="235">
        <f>G24-E24</f>
        <v>-15869</v>
      </c>
      <c r="G24" s="591">
        <f>'ADJ DETAIL-INPUT'!AS24</f>
        <v>73242</v>
      </c>
      <c r="H24" s="235"/>
      <c r="I24" s="235">
        <f t="shared" ref="I24:I27" si="3">G24+H24</f>
        <v>73242</v>
      </c>
    </row>
    <row r="25" spans="1:12">
      <c r="A25" s="20">
        <v>9</v>
      </c>
      <c r="B25" s="22"/>
      <c r="C25" s="22" t="s">
        <v>550</v>
      </c>
      <c r="D25" s="22"/>
      <c r="E25" s="235">
        <f>'ADJ DETAIL-INPUT'!E25</f>
        <v>28724</v>
      </c>
      <c r="F25" s="235">
        <f>G25-E25</f>
        <v>4951</v>
      </c>
      <c r="G25" s="591">
        <f>'ADJ DETAIL-INPUT'!AS25</f>
        <v>33675</v>
      </c>
      <c r="H25" s="235"/>
      <c r="I25" s="235">
        <f t="shared" si="3"/>
        <v>33675</v>
      </c>
      <c r="L25" s="235"/>
    </row>
    <row r="26" spans="1:12">
      <c r="A26" s="20">
        <v>10</v>
      </c>
      <c r="B26" s="22"/>
      <c r="C26" s="22" t="s">
        <v>712</v>
      </c>
      <c r="D26" s="22"/>
      <c r="E26" s="235">
        <f>'ADJ DETAIL-INPUT'!E26</f>
        <v>1647</v>
      </c>
      <c r="F26" s="235">
        <f>G26-E26</f>
        <v>990</v>
      </c>
      <c r="G26" s="591">
        <f>'ADJ DETAIL-INPUT'!AS26</f>
        <v>2637</v>
      </c>
      <c r="H26" s="235"/>
      <c r="I26" s="235">
        <f t="shared" si="3"/>
        <v>2637</v>
      </c>
    </row>
    <row r="27" spans="1:12">
      <c r="A27" s="20">
        <v>11</v>
      </c>
      <c r="B27" s="22"/>
      <c r="C27" s="22" t="s">
        <v>27</v>
      </c>
      <c r="D27" s="22"/>
      <c r="E27" s="237">
        <f>'ADJ DETAIL-INPUT'!E27</f>
        <v>16973</v>
      </c>
      <c r="F27" s="237">
        <f>G27-E27</f>
        <v>1985</v>
      </c>
      <c r="G27" s="592">
        <f>'ADJ DETAIL-INPUT'!AS27</f>
        <v>18958</v>
      </c>
      <c r="H27" s="237"/>
      <c r="I27" s="237">
        <f t="shared" si="3"/>
        <v>18958</v>
      </c>
    </row>
    <row r="28" spans="1:12">
      <c r="A28" s="20">
        <v>12</v>
      </c>
      <c r="B28" s="22"/>
      <c r="C28" s="22"/>
      <c r="D28" s="22" t="s">
        <v>51</v>
      </c>
      <c r="E28" s="235">
        <f>SUM(E23:E27)</f>
        <v>311859</v>
      </c>
      <c r="F28" s="235">
        <f t="shared" ref="F28:I28" si="4">SUM(F23:F27)</f>
        <v>-49042</v>
      </c>
      <c r="G28" s="438">
        <f t="shared" si="4"/>
        <v>262817</v>
      </c>
      <c r="H28" s="235">
        <f t="shared" si="4"/>
        <v>0</v>
      </c>
      <c r="I28" s="235">
        <f t="shared" si="4"/>
        <v>262817</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987</v>
      </c>
      <c r="G31" s="449">
        <f>'ADJ DETAIL-INPUT'!AS31</f>
        <v>24742</v>
      </c>
      <c r="H31" s="235"/>
      <c r="I31" s="235">
        <f>G31+H31</f>
        <v>24742</v>
      </c>
    </row>
    <row r="32" spans="1:12">
      <c r="A32" s="20">
        <v>14</v>
      </c>
      <c r="B32" s="22"/>
      <c r="C32" s="22" t="s">
        <v>550</v>
      </c>
      <c r="D32" s="22"/>
      <c r="E32" s="235">
        <f>'ADJ DETAIL-INPUT'!E32</f>
        <v>32128</v>
      </c>
      <c r="F32" s="235">
        <f>G32-E32</f>
        <v>-3212</v>
      </c>
      <c r="G32" s="449">
        <f>'ADJ DETAIL-INPUT'!AS32</f>
        <v>28916</v>
      </c>
      <c r="H32" s="235"/>
      <c r="I32" s="235">
        <f t="shared" ref="I32:I33" si="5">G32+H32</f>
        <v>28916</v>
      </c>
    </row>
    <row r="33" spans="1:9">
      <c r="A33" s="20">
        <v>15</v>
      </c>
      <c r="B33" s="22"/>
      <c r="C33" s="22" t="s">
        <v>27</v>
      </c>
      <c r="D33" s="22"/>
      <c r="E33" s="237">
        <f>'ADJ DETAIL-INPUT'!E33</f>
        <v>48243</v>
      </c>
      <c r="F33" s="237">
        <f>G33-E33</f>
        <v>-18276</v>
      </c>
      <c r="G33" s="447">
        <f>'ADJ DETAIL-INPUT'!AS33</f>
        <v>29967</v>
      </c>
      <c r="H33" s="237">
        <f>'CF '!J16</f>
        <v>1766</v>
      </c>
      <c r="I33" s="237">
        <f t="shared" si="5"/>
        <v>31733</v>
      </c>
    </row>
    <row r="34" spans="1:9">
      <c r="A34" s="20">
        <v>16</v>
      </c>
      <c r="B34" s="22"/>
      <c r="C34" s="22"/>
      <c r="D34" s="22" t="s">
        <v>53</v>
      </c>
      <c r="E34" s="235">
        <f>SUM(E31:E33)</f>
        <v>104126</v>
      </c>
      <c r="F34" s="235">
        <f>SUM(F31:F33)</f>
        <v>-20501</v>
      </c>
      <c r="G34" s="438">
        <f>SUM(G31:G33)</f>
        <v>83625</v>
      </c>
      <c r="H34" s="235">
        <f>SUM(H31:H33)</f>
        <v>1766</v>
      </c>
      <c r="I34" s="235">
        <f>SUM(I31:I33)</f>
        <v>85391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1154</v>
      </c>
      <c r="G36" s="449">
        <f>'ADJ DETAIL-INPUT'!AS36</f>
        <v>12485</v>
      </c>
      <c r="H36" s="235">
        <f>'CF '!J12</f>
        <v>173</v>
      </c>
      <c r="I36" s="235">
        <f>G36+H36</f>
        <v>12658</v>
      </c>
    </row>
    <row r="37" spans="1:9">
      <c r="A37" s="20">
        <v>18</v>
      </c>
      <c r="B37" s="22" t="s">
        <v>55</v>
      </c>
      <c r="C37" s="22"/>
      <c r="D37" s="22"/>
      <c r="E37" s="235">
        <f>'ADJ DETAIL-INPUT'!E37</f>
        <v>27244</v>
      </c>
      <c r="F37" s="235">
        <f>G37-E37</f>
        <v>-25653</v>
      </c>
      <c r="G37" s="449">
        <f>'ADJ DETAIL-INPUT'!AS37</f>
        <v>1591</v>
      </c>
      <c r="H37" s="235"/>
      <c r="I37" s="235">
        <f t="shared" ref="I37:I38" si="6">G37+H37</f>
        <v>1591</v>
      </c>
    </row>
    <row r="38" spans="1:9">
      <c r="A38" s="20">
        <v>19</v>
      </c>
      <c r="B38" s="22" t="s">
        <v>56</v>
      </c>
      <c r="C38" s="22"/>
      <c r="D38" s="22"/>
      <c r="E38" s="235">
        <f>'ADJ DETAIL-INPUT'!E38</f>
        <v>59</v>
      </c>
      <c r="F38" s="235">
        <f>G38-E38</f>
        <v>0</v>
      </c>
      <c r="G38" s="449">
        <f>'ADJ DETAIL-INPUT'!AS38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2369</v>
      </c>
      <c r="G41" s="449">
        <f>'ADJ DETAIL-INPUT'!AS41</f>
        <v>55012</v>
      </c>
      <c r="H41" s="235">
        <f>'CF '!J14</f>
        <v>92</v>
      </c>
      <c r="I41" s="235">
        <f t="shared" ref="I41:I44" si="7">G41+H41</f>
        <v>55104</v>
      </c>
    </row>
    <row r="42" spans="1:9">
      <c r="A42" s="20">
        <v>21</v>
      </c>
      <c r="B42" s="22"/>
      <c r="C42" s="22" t="s">
        <v>550</v>
      </c>
      <c r="D42" s="22"/>
      <c r="E42" s="235">
        <f>'ADJ DETAIL-INPUT'!E42</f>
        <v>29471</v>
      </c>
      <c r="F42" s="235">
        <f>G42-E42</f>
        <v>4292</v>
      </c>
      <c r="G42" s="449">
        <f>'ADJ DETAIL-INPUT'!AS42</f>
        <v>33763</v>
      </c>
      <c r="H42" s="235"/>
      <c r="I42" s="235">
        <f t="shared" si="7"/>
        <v>33763</v>
      </c>
    </row>
    <row r="43" spans="1:9">
      <c r="A43" s="425">
        <v>22</v>
      </c>
      <c r="B43" s="427"/>
      <c r="C43" s="427" t="s">
        <v>712</v>
      </c>
      <c r="D43" s="427"/>
      <c r="E43" s="438">
        <f>'ADJ DETAIL-INPUT'!E43</f>
        <v>-5927</v>
      </c>
      <c r="F43" s="438">
        <f>G43-E43</f>
        <v>5230</v>
      </c>
      <c r="G43" s="449">
        <f>'ADJ DETAIL-INPUT'!AS43</f>
        <v>-697</v>
      </c>
      <c r="H43" s="438"/>
      <c r="I43" s="438">
        <f t="shared" ref="I43" si="8">G43+H43</f>
        <v>-697</v>
      </c>
    </row>
    <row r="44" spans="1:9">
      <c r="A44" s="240">
        <v>23</v>
      </c>
      <c r="B44" s="22"/>
      <c r="C44" s="22" t="s">
        <v>27</v>
      </c>
      <c r="D44" s="22"/>
      <c r="E44" s="237">
        <f>'ADJ DETAIL-INPUT'!E44</f>
        <v>0</v>
      </c>
      <c r="F44" s="237">
        <f>G44-E44</f>
        <v>0</v>
      </c>
      <c r="G44" s="447">
        <f>'ADJ DETAIL-INPUT'!AS44</f>
        <v>0</v>
      </c>
      <c r="H44" s="237"/>
      <c r="I44" s="237">
        <f t="shared" si="7"/>
        <v>0</v>
      </c>
    </row>
    <row r="45" spans="1:9">
      <c r="A45" s="20">
        <v>24</v>
      </c>
      <c r="B45" s="22"/>
      <c r="C45" s="22"/>
      <c r="D45" s="22" t="s">
        <v>58</v>
      </c>
      <c r="E45" s="237">
        <f>SUM(E41:E44)</f>
        <v>76187</v>
      </c>
      <c r="F45" s="237">
        <f>SUM(F41:F44)</f>
        <v>11891</v>
      </c>
      <c r="G45" s="447">
        <f>SUM(G41:G44)</f>
        <v>88078</v>
      </c>
      <c r="H45" s="237">
        <f>SUM(H41:H44)</f>
        <v>92</v>
      </c>
      <c r="I45" s="237">
        <f>SUM(I41:I44)</f>
        <v>88170</v>
      </c>
    </row>
    <row r="46" spans="1:9">
      <c r="A46" s="20">
        <v>25</v>
      </c>
      <c r="B46" s="22" t="s">
        <v>59</v>
      </c>
      <c r="C46" s="22"/>
      <c r="D46" s="22"/>
      <c r="E46" s="237">
        <f>E28+E34+E36+E37+E38+E45</f>
        <v>530806</v>
      </c>
      <c r="F46" s="237">
        <f>F28+F34+F36+F37+F38+F45</f>
        <v>-82151</v>
      </c>
      <c r="G46" s="447">
        <f>G28+G34+G36+G37+G38+G45</f>
        <v>448655</v>
      </c>
      <c r="H46" s="237">
        <f>H28+H34+H36+H37+H38+H45</f>
        <v>2031</v>
      </c>
      <c r="I46" s="237">
        <f>I28+I34+I36+I37+I38+I45</f>
        <v>450686</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-29356</v>
      </c>
      <c r="G48" s="438">
        <f>G19-G46</f>
        <v>101939</v>
      </c>
      <c r="H48" s="235">
        <f>H19-H46</f>
        <v>43744.488291908834</v>
      </c>
      <c r="I48" s="235">
        <f>I19-I46</f>
        <v>145683.48829190887</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-7150.109999999996</v>
      </c>
      <c r="G51" s="449">
        <f>'ADJ DETAIL-INPUT'!AS51</f>
        <v>7941.890000000004</v>
      </c>
      <c r="H51" s="235">
        <f>'CF '!J22</f>
        <v>9186</v>
      </c>
      <c r="I51" s="235">
        <f>G51+H51</f>
        <v>17127.890000000003</v>
      </c>
      <c r="M51" s="146"/>
      <c r="N51" s="146"/>
      <c r="Y51" s="146"/>
    </row>
    <row r="52" spans="1:25">
      <c r="A52" s="425">
        <v>28</v>
      </c>
      <c r="B52" s="2" t="s">
        <v>265</v>
      </c>
      <c r="E52" s="235">
        <f>'ADJ DETAIL-INPUT'!E52</f>
        <v>0</v>
      </c>
      <c r="F52" s="235">
        <f>G52-E52</f>
        <v>-605.78626499999996</v>
      </c>
      <c r="G52" s="449">
        <f>'ADJ DETAIL-INPUT'!AS52</f>
        <v>-605.78626499999996</v>
      </c>
      <c r="H52" s="235"/>
      <c r="I52" s="235">
        <f>G52+H52</f>
        <v>-605.78626499999996</v>
      </c>
    </row>
    <row r="53" spans="1:25">
      <c r="A53" s="425">
        <v>29</v>
      </c>
      <c r="B53" s="22" t="s">
        <v>63</v>
      </c>
      <c r="C53" s="22"/>
      <c r="D53" s="22"/>
      <c r="E53" s="235">
        <f>'ADJ DETAIL-INPUT'!E53</f>
        <v>-1075</v>
      </c>
      <c r="F53" s="235">
        <f>G53-E53</f>
        <v>2089</v>
      </c>
      <c r="G53" s="449">
        <f>'ADJ DETAIL-INPUT'!AS53</f>
        <v>1014</v>
      </c>
      <c r="H53" s="235"/>
      <c r="I53" s="235">
        <f>G53+H53</f>
        <v>1014</v>
      </c>
      <c r="N53" s="146"/>
    </row>
    <row r="54" spans="1:25">
      <c r="A54" s="20">
        <v>30</v>
      </c>
      <c r="B54" s="22" t="s">
        <v>64</v>
      </c>
      <c r="C54" s="22"/>
      <c r="D54" s="22"/>
      <c r="E54" s="237">
        <f>'ADJ DETAIL-INPUT'!E54</f>
        <v>-317</v>
      </c>
      <c r="F54" s="237">
        <f>G54-E54</f>
        <v>0</v>
      </c>
      <c r="G54" s="447">
        <f>'ADJ DETAIL-INPUT'!AS54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-23689.103735000004</v>
      </c>
      <c r="G56" s="459">
        <f>G48-SUM(G51:G54)</f>
        <v>93905.896264999988</v>
      </c>
      <c r="H56" s="589">
        <f>H48-SUM(H51:H54)</f>
        <v>34558.488291908834</v>
      </c>
      <c r="I56" s="336">
        <f>I48-SUM(I51:I54)</f>
        <v>128464.38455690886</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14525</v>
      </c>
      <c r="G60" s="588">
        <f>'ADJ DETAIL-INPUT'!AS60</f>
        <v>203796</v>
      </c>
      <c r="H60" s="21"/>
      <c r="I60" s="21">
        <f>G60+H60</f>
        <v>203796</v>
      </c>
    </row>
    <row r="61" spans="1:25">
      <c r="A61" s="425">
        <v>33</v>
      </c>
      <c r="B61" s="22"/>
      <c r="C61" s="22" t="s">
        <v>69</v>
      </c>
      <c r="D61" s="22"/>
      <c r="E61" s="235">
        <f>'ADJ DETAIL-INPUT'!E61</f>
        <v>905266</v>
      </c>
      <c r="F61" s="235">
        <f t="shared" si="9"/>
        <v>15798</v>
      </c>
      <c r="G61" s="449">
        <f>'ADJ DETAIL-INPUT'!AS61</f>
        <v>921064</v>
      </c>
      <c r="H61" s="235"/>
      <c r="I61" s="235">
        <f t="shared" ref="I61:I64" si="10">G61+H61</f>
        <v>921064</v>
      </c>
      <c r="M61" s="147"/>
    </row>
    <row r="62" spans="1:25">
      <c r="A62" s="425">
        <v>34</v>
      </c>
      <c r="B62" s="22"/>
      <c r="C62" s="22" t="s">
        <v>70</v>
      </c>
      <c r="D62" s="22"/>
      <c r="E62" s="235">
        <f>'ADJ DETAIL-INPUT'!E62</f>
        <v>477024</v>
      </c>
      <c r="F62" s="235">
        <f t="shared" si="9"/>
        <v>36047</v>
      </c>
      <c r="G62" s="449">
        <f>'ADJ DETAIL-INPUT'!AS62</f>
        <v>513071</v>
      </c>
      <c r="H62" s="235"/>
      <c r="I62" s="235">
        <f t="shared" si="10"/>
        <v>513071</v>
      </c>
    </row>
    <row r="63" spans="1:25">
      <c r="A63" s="425">
        <v>35</v>
      </c>
      <c r="B63" s="22"/>
      <c r="C63" s="22" t="s">
        <v>52</v>
      </c>
      <c r="D63" s="22"/>
      <c r="E63" s="235">
        <f>'ADJ DETAIL-INPUT'!E63</f>
        <v>1109132</v>
      </c>
      <c r="F63" s="235">
        <f t="shared" si="9"/>
        <v>48974</v>
      </c>
      <c r="G63" s="449">
        <f>'ADJ DETAIL-INPUT'!AS63</f>
        <v>1158106</v>
      </c>
      <c r="H63" s="235"/>
      <c r="I63" s="235">
        <f t="shared" si="10"/>
        <v>1158106</v>
      </c>
    </row>
    <row r="64" spans="1:25">
      <c r="A64" s="425">
        <v>36</v>
      </c>
      <c r="B64" s="22"/>
      <c r="C64" s="22" t="s">
        <v>71</v>
      </c>
      <c r="D64" s="22"/>
      <c r="E64" s="237">
        <f>'ADJ DETAIL-INPUT'!E64</f>
        <v>260548</v>
      </c>
      <c r="F64" s="237">
        <f t="shared" si="9"/>
        <v>29341</v>
      </c>
      <c r="G64" s="447">
        <f>'ADJ DETAIL-INPUT'!AS64</f>
        <v>289889</v>
      </c>
      <c r="H64" s="237"/>
      <c r="I64" s="237">
        <f t="shared" si="10"/>
        <v>289889</v>
      </c>
    </row>
    <row r="65" spans="1:9">
      <c r="A65" s="20">
        <v>37</v>
      </c>
      <c r="B65" s="22"/>
      <c r="C65" s="22"/>
      <c r="D65" s="22" t="s">
        <v>72</v>
      </c>
      <c r="E65" s="235">
        <f>SUM(E60:E64)</f>
        <v>2941241</v>
      </c>
      <c r="F65" s="235">
        <f t="shared" ref="F65:H65" si="11">SUM(F60:F64)</f>
        <v>144685</v>
      </c>
      <c r="G65" s="438">
        <f t="shared" si="11"/>
        <v>3085926</v>
      </c>
      <c r="H65" s="235">
        <f t="shared" si="11"/>
        <v>0</v>
      </c>
      <c r="I65" s="235">
        <f>SUM(I60:I64)</f>
        <v>3085926</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-4661</v>
      </c>
      <c r="G67" s="449">
        <f>'ADJ DETAIL-INPUT'!AS67</f>
        <v>-48130</v>
      </c>
      <c r="H67" s="239"/>
      <c r="I67" s="239">
        <f>G67+H67</f>
        <v>-48130</v>
      </c>
    </row>
    <row r="68" spans="1:9">
      <c r="A68" s="23">
        <v>39</v>
      </c>
      <c r="B68" s="22"/>
      <c r="C68" s="22" t="s">
        <v>216</v>
      </c>
      <c r="D68" s="22"/>
      <c r="E68" s="235">
        <f>'ADJ DETAIL-INPUT'!E68</f>
        <v>-365167</v>
      </c>
      <c r="F68" s="235">
        <f t="shared" si="9"/>
        <v>-7183</v>
      </c>
      <c r="G68" s="449">
        <f>'ADJ DETAIL-INPUT'!AS68</f>
        <v>-372350</v>
      </c>
      <c r="H68" s="235"/>
      <c r="I68" s="239">
        <f t="shared" ref="I68:I71" si="12">G68+H68</f>
        <v>-372350</v>
      </c>
    </row>
    <row r="69" spans="1:9">
      <c r="A69" s="23">
        <v>40</v>
      </c>
      <c r="B69" s="22"/>
      <c r="C69" s="22" t="s">
        <v>217</v>
      </c>
      <c r="D69" s="22"/>
      <c r="E69" s="235">
        <f>'ADJ DETAIL-INPUT'!E69</f>
        <v>-140271</v>
      </c>
      <c r="F69" s="235">
        <f t="shared" si="9"/>
        <v>-2696</v>
      </c>
      <c r="G69" s="449">
        <f>'ADJ DETAIL-INPUT'!AS69</f>
        <v>-142967</v>
      </c>
      <c r="H69" s="235"/>
      <c r="I69" s="239">
        <f t="shared" si="12"/>
        <v>-142967</v>
      </c>
    </row>
    <row r="70" spans="1:9">
      <c r="A70" s="23">
        <v>41</v>
      </c>
      <c r="B70" s="22"/>
      <c r="C70" s="22" t="s">
        <v>201</v>
      </c>
      <c r="D70" s="22"/>
      <c r="E70" s="235">
        <f>'ADJ DETAIL-INPUT'!E70</f>
        <v>-336685</v>
      </c>
      <c r="F70" s="235">
        <f>G70-E70</f>
        <v>-11520</v>
      </c>
      <c r="G70" s="449">
        <f>'ADJ DETAIL-INPUT'!AS70</f>
        <v>-348205</v>
      </c>
      <c r="H70" s="235"/>
      <c r="I70" s="239">
        <f t="shared" si="12"/>
        <v>-348205</v>
      </c>
    </row>
    <row r="71" spans="1:9">
      <c r="A71" s="23">
        <v>42</v>
      </c>
      <c r="B71" s="22"/>
      <c r="C71" s="22" t="s">
        <v>218</v>
      </c>
      <c r="D71" s="22"/>
      <c r="E71" s="235">
        <f>'ADJ DETAIL-INPUT'!E71</f>
        <v>-93140</v>
      </c>
      <c r="F71" s="237">
        <f>G71-E71</f>
        <v>-4575</v>
      </c>
      <c r="G71" s="449">
        <f>'ADJ DETAIL-INPUT'!AS71</f>
        <v>-97715</v>
      </c>
      <c r="H71" s="237"/>
      <c r="I71" s="239">
        <f t="shared" si="12"/>
        <v>-97715</v>
      </c>
    </row>
    <row r="72" spans="1:9">
      <c r="A72" s="23">
        <v>43</v>
      </c>
      <c r="B72" s="22" t="s">
        <v>269</v>
      </c>
      <c r="C72" s="22"/>
      <c r="D72" s="22"/>
      <c r="E72" s="264">
        <f>SUM(E67:E71)</f>
        <v>-978732</v>
      </c>
      <c r="F72" s="264">
        <f t="shared" ref="F72" si="13">SUM(F67:F71)</f>
        <v>-30635</v>
      </c>
      <c r="G72" s="264">
        <f>SUM(G67:G71)</f>
        <v>-1009367</v>
      </c>
      <c r="H72" s="264">
        <f>SUM(H67:H71)</f>
        <v>0</v>
      </c>
      <c r="I72" s="264">
        <f>SUM(I67:I71)</f>
        <v>-1009367</v>
      </c>
    </row>
    <row r="73" spans="1:9">
      <c r="A73" s="23">
        <v>44</v>
      </c>
      <c r="B73" s="22" t="s">
        <v>555</v>
      </c>
      <c r="C73" s="22"/>
      <c r="D73" s="21"/>
      <c r="E73" s="239">
        <f>E65+E72</f>
        <v>1962509</v>
      </c>
      <c r="F73" s="239">
        <f t="shared" ref="F73:H73" si="14">F65+F72</f>
        <v>114050</v>
      </c>
      <c r="G73" s="449">
        <f t="shared" si="14"/>
        <v>2076559</v>
      </c>
      <c r="H73" s="239">
        <f t="shared" si="14"/>
        <v>0</v>
      </c>
      <c r="I73" s="239">
        <f>I65+I72</f>
        <v>2076559</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-1215</v>
      </c>
      <c r="G75" s="447">
        <f>'ADJ DETAIL-INPUT'!AS75</f>
        <v>-412153</v>
      </c>
      <c r="H75" s="295"/>
      <c r="I75" s="237">
        <f>G75+H75</f>
        <v>-412153</v>
      </c>
    </row>
    <row r="76" spans="1:9">
      <c r="A76" s="24">
        <v>46</v>
      </c>
      <c r="B76" s="22"/>
      <c r="C76" s="22" t="s">
        <v>554</v>
      </c>
      <c r="D76" s="22"/>
      <c r="E76" s="239">
        <f>SUM(E73:E75)</f>
        <v>1551571</v>
      </c>
      <c r="F76" s="239">
        <f t="shared" ref="F76:H76" si="16">SUM(F73:F75)</f>
        <v>112835</v>
      </c>
      <c r="G76" s="449">
        <f>SUM(G73:G75)</f>
        <v>1664406</v>
      </c>
      <c r="H76" s="239">
        <f t="shared" si="16"/>
        <v>0</v>
      </c>
      <c r="I76" s="449">
        <f>G76+H76</f>
        <v>1664406</v>
      </c>
    </row>
    <row r="77" spans="1:9">
      <c r="A77" s="23">
        <v>47</v>
      </c>
      <c r="B77" s="22" t="s">
        <v>271</v>
      </c>
      <c r="C77" s="22"/>
      <c r="E77" s="235">
        <f>'ADJ DETAIL-INPUT'!E77</f>
        <v>-2132</v>
      </c>
      <c r="F77" s="235">
        <f t="shared" ref="F77:F78" si="17">G77-E77</f>
        <v>-590</v>
      </c>
      <c r="G77" s="449">
        <f>'ADJ DETAIL-INPUT'!AS77</f>
        <v>-2722</v>
      </c>
      <c r="I77" s="239">
        <f>G77+H77</f>
        <v>-2722</v>
      </c>
    </row>
    <row r="78" spans="1:9">
      <c r="A78" s="23">
        <v>48</v>
      </c>
      <c r="B78" s="22" t="s">
        <v>258</v>
      </c>
      <c r="C78" s="22"/>
      <c r="E78" s="237">
        <f>'ADJ DETAIL-INPUT'!E78</f>
        <v>46614</v>
      </c>
      <c r="F78" s="237">
        <f t="shared" si="17"/>
        <v>0</v>
      </c>
      <c r="G78" s="447">
        <f>'ADJ DETAIL-INPUT'!AS78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112245</v>
      </c>
      <c r="G80" s="338">
        <f t="shared" si="19"/>
        <v>1708298</v>
      </c>
      <c r="H80" s="338">
        <f t="shared" si="19"/>
        <v>0</v>
      </c>
      <c r="I80" s="338">
        <f t="shared" si="19"/>
        <v>1708298</v>
      </c>
    </row>
    <row r="81" spans="1:9" ht="13.5" thickTop="1">
      <c r="A81" s="20">
        <v>51</v>
      </c>
      <c r="B81" s="2" t="s">
        <v>628</v>
      </c>
      <c r="E81" s="262">
        <f>ROUND(E56/E80,4)</f>
        <v>7.3700000000000002E-2</v>
      </c>
      <c r="G81" s="262">
        <f>ROUND(G56/G80,4)</f>
        <v>5.5E-2</v>
      </c>
      <c r="I81" s="262">
        <f>ROUND(I56/I80,4)</f>
        <v>7.5200000000000003E-2</v>
      </c>
    </row>
    <row r="82" spans="1:9" ht="6.75" customHeight="1">
      <c r="A82" s="828"/>
      <c r="B82" s="828"/>
      <c r="C82" s="828"/>
      <c r="D82" s="828"/>
      <c r="E82" s="828"/>
      <c r="F82" s="828"/>
      <c r="G82" s="828"/>
      <c r="H82" s="828"/>
      <c r="I82" s="828"/>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60"/>
  <sheetViews>
    <sheetView view="pageBreakPreview" zoomScale="115" zoomScaleNormal="100" zoomScaleSheetLayoutView="115" workbookViewId="0">
      <selection activeCell="M75" sqref="M75"/>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42" t="s">
        <v>116</v>
      </c>
      <c r="B1" s="842"/>
      <c r="C1" s="842"/>
      <c r="D1" s="842"/>
      <c r="E1" s="842"/>
      <c r="F1" s="842"/>
      <c r="G1" s="842"/>
      <c r="H1" s="608"/>
      <c r="I1" s="608"/>
      <c r="J1" s="833" t="s">
        <v>116</v>
      </c>
      <c r="K1" s="834"/>
      <c r="L1" s="834"/>
      <c r="M1" s="834"/>
      <c r="N1" s="835"/>
      <c r="O1" s="610"/>
    </row>
    <row r="2" spans="1:50" ht="14.25" customHeight="1">
      <c r="A2" s="842" t="s">
        <v>695</v>
      </c>
      <c r="B2" s="842"/>
      <c r="C2" s="842"/>
      <c r="D2" s="842"/>
      <c r="E2" s="842"/>
      <c r="F2" s="842"/>
      <c r="G2" s="842"/>
      <c r="H2" s="610"/>
      <c r="I2" s="610"/>
      <c r="J2" s="836" t="s">
        <v>625</v>
      </c>
      <c r="K2" s="837"/>
      <c r="L2" s="837"/>
      <c r="M2" s="837"/>
      <c r="N2" s="838"/>
      <c r="O2" s="611"/>
    </row>
    <row r="3" spans="1:50" ht="14.25" customHeight="1">
      <c r="A3" s="842" t="s">
        <v>242</v>
      </c>
      <c r="B3" s="842"/>
      <c r="C3" s="842"/>
      <c r="D3" s="842"/>
      <c r="E3" s="842"/>
      <c r="F3" s="842"/>
      <c r="G3" s="842"/>
      <c r="H3" s="610"/>
      <c r="I3" s="610"/>
      <c r="J3" s="836" t="s">
        <v>242</v>
      </c>
      <c r="K3" s="837"/>
      <c r="L3" s="837"/>
      <c r="M3" s="837"/>
      <c r="N3" s="838"/>
      <c r="O3" s="611"/>
      <c r="AO3" s="612"/>
    </row>
    <row r="4" spans="1:50" ht="14.25" customHeight="1">
      <c r="A4" s="842" t="str">
        <f>'ADJ DETAIL-INPUT'!A4</f>
        <v>TWELVE MONTHS ENDED DECEMBER 31, 2018</v>
      </c>
      <c r="B4" s="842"/>
      <c r="C4" s="842"/>
      <c r="D4" s="842"/>
      <c r="E4" s="842"/>
      <c r="F4" s="842"/>
      <c r="G4" s="842"/>
      <c r="H4" s="610"/>
      <c r="I4" s="610"/>
      <c r="J4" s="839"/>
      <c r="K4" s="840"/>
      <c r="L4" s="840"/>
      <c r="M4" s="840"/>
      <c r="N4" s="841"/>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687</v>
      </c>
      <c r="F6" s="610"/>
      <c r="G6" s="615"/>
      <c r="H6" s="616"/>
      <c r="I6" s="616"/>
      <c r="J6" s="489" t="s">
        <v>731</v>
      </c>
      <c r="K6" s="490"/>
      <c r="L6" s="490"/>
      <c r="M6" s="490"/>
      <c r="N6" s="491"/>
      <c r="O6" s="604"/>
      <c r="T6" s="612" t="s">
        <v>623</v>
      </c>
      <c r="Y6" s="617"/>
      <c r="Z6" s="617"/>
      <c r="AA6" s="617"/>
      <c r="AR6" s="612"/>
    </row>
    <row r="7" spans="1:50" ht="14.25" customHeight="1">
      <c r="A7" s="611"/>
      <c r="B7" s="611"/>
      <c r="C7" s="832"/>
      <c r="D7" s="832"/>
      <c r="E7" s="614" t="s">
        <v>682</v>
      </c>
      <c r="F7" s="611"/>
      <c r="G7" s="613"/>
      <c r="H7" s="604"/>
      <c r="I7" s="782"/>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82"/>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82"/>
      <c r="J10" s="492"/>
      <c r="K10" s="493"/>
      <c r="L10" s="493"/>
      <c r="M10" s="494"/>
      <c r="N10" s="498"/>
      <c r="O10" s="621"/>
    </row>
    <row r="11" spans="1:50" ht="14.25" customHeight="1">
      <c r="A11" s="609"/>
      <c r="B11" s="609"/>
      <c r="C11" s="609"/>
      <c r="D11" s="609"/>
      <c r="E11" s="609"/>
      <c r="F11" s="609"/>
      <c r="G11" s="617"/>
      <c r="H11" s="623"/>
      <c r="I11" s="623"/>
      <c r="J11" s="492"/>
      <c r="K11" s="495" t="s">
        <v>18</v>
      </c>
      <c r="L11" s="499">
        <f>100%-L13</f>
        <v>0.5</v>
      </c>
      <c r="M11" s="531">
        <v>5.1470000000000002E-2</v>
      </c>
      <c r="N11" s="501">
        <f>ROUND(L11*M11,4)</f>
        <v>2.5700000000000001E-2</v>
      </c>
      <c r="O11" s="624" t="s">
        <v>229</v>
      </c>
      <c r="Q11" s="625" t="s">
        <v>236</v>
      </c>
      <c r="R11" s="626"/>
      <c r="S11" s="627" t="s">
        <v>143</v>
      </c>
      <c r="T11" s="628"/>
      <c r="U11" s="611" t="s">
        <v>142</v>
      </c>
    </row>
    <row r="12" spans="1:50" ht="14.25" customHeight="1">
      <c r="A12" s="629">
        <v>1</v>
      </c>
      <c r="B12" s="609"/>
      <c r="C12" s="609" t="s">
        <v>181</v>
      </c>
      <c r="D12" s="609"/>
      <c r="E12" s="630">
        <f>'ADJ DETAIL-INPUT'!AS80</f>
        <v>1708298</v>
      </c>
      <c r="F12" s="630" t="e">
        <f>'ADJ DETAIL-INPUT'!#REF!</f>
        <v>#REF!</v>
      </c>
      <c r="G12" s="631"/>
      <c r="H12" s="632"/>
      <c r="I12" s="632"/>
      <c r="J12" s="492"/>
      <c r="K12" s="495"/>
      <c r="L12" s="499"/>
      <c r="M12" s="500"/>
      <c r="N12" s="501"/>
      <c r="O12" s="634">
        <f>SUM(N11:N12)</f>
        <v>2.5700000000000001E-2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0.5</v>
      </c>
      <c r="M13" s="500">
        <v>9.9000000000000005E-2</v>
      </c>
      <c r="N13" s="501">
        <f>ROUND(L13*M13,4)</f>
        <v>4.9500000000000002E-2</v>
      </c>
      <c r="Q13" s="619" t="s">
        <v>125</v>
      </c>
      <c r="R13" s="613"/>
      <c r="S13" s="619" t="s">
        <v>127</v>
      </c>
      <c r="T13" s="619" t="s">
        <v>128</v>
      </c>
      <c r="U13" s="619" t="s">
        <v>128</v>
      </c>
    </row>
    <row r="14" spans="1:50" ht="14.25" customHeight="1">
      <c r="A14" s="629">
        <v>2</v>
      </c>
      <c r="B14" s="609"/>
      <c r="C14" s="609" t="s">
        <v>130</v>
      </c>
      <c r="D14" s="609"/>
      <c r="E14" s="637">
        <f>$N$15</f>
        <v>7.5200000000000003E-2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7.5200000000000003E-2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128464.0096</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DETAIL-INPUT'!AS56</f>
        <v>93905.896265000018</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34558.113334999987</v>
      </c>
      <c r="F20" s="633" t="e">
        <f t="shared" ref="F20" si="1">F16-F18</f>
        <v>#REF!</v>
      </c>
      <c r="G20" s="636"/>
      <c r="H20" s="636"/>
      <c r="I20" s="636"/>
      <c r="K20" s="617"/>
      <c r="L20" s="617"/>
      <c r="M20" s="657"/>
      <c r="N20" s="617"/>
      <c r="O20" s="617"/>
      <c r="P20" s="617"/>
      <c r="Q20" s="617"/>
      <c r="R20" s="643"/>
      <c r="S20" s="639"/>
      <c r="T20" s="639"/>
      <c r="U20" s="639"/>
      <c r="V20" s="617"/>
      <c r="W20" s="822"/>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23"/>
      <c r="L22" s="823"/>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812"/>
      <c r="L23" s="813"/>
      <c r="M23" s="813"/>
      <c r="N23" s="818"/>
      <c r="O23" s="617"/>
      <c r="P23" s="617"/>
      <c r="Q23" s="617"/>
      <c r="R23" s="643"/>
      <c r="S23" s="639"/>
      <c r="T23" s="639"/>
      <c r="U23" s="639"/>
      <c r="V23" s="617"/>
      <c r="W23" s="617"/>
      <c r="X23" s="617"/>
      <c r="Y23" s="617"/>
      <c r="Z23" s="617"/>
      <c r="AA23" s="617"/>
      <c r="AB23" s="617"/>
    </row>
    <row r="24" spans="1:29" ht="14.25" customHeight="1" thickBot="1">
      <c r="A24" s="629">
        <v>7</v>
      </c>
      <c r="B24" s="609"/>
      <c r="C24" s="609" t="s">
        <v>660</v>
      </c>
      <c r="D24" s="609"/>
      <c r="E24" s="663">
        <f>E20/E22</f>
        <v>45775.488291908834</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661</v>
      </c>
      <c r="D26" s="609"/>
      <c r="E26" s="636">
        <f>'ADJ DETAIL-INPUT'!AS14+'ADJ DETAIL-INPUT'!AS15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18"/>
      <c r="L27" s="818"/>
      <c r="M27" s="824"/>
      <c r="N27" s="818"/>
      <c r="O27" s="818"/>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9.1200000000000003E-2</v>
      </c>
      <c r="F28" s="674" t="e">
        <f t="shared" ref="F28" si="3">ROUND(F24/F26,4)</f>
        <v>#REF!</v>
      </c>
      <c r="G28" s="675"/>
      <c r="H28" s="675"/>
      <c r="I28" s="675"/>
      <c r="J28" s="621"/>
      <c r="K28" s="621"/>
      <c r="L28" s="818"/>
      <c r="M28" s="642"/>
      <c r="N28" s="818"/>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18"/>
      <c r="N29" s="681"/>
      <c r="O29" s="818"/>
      <c r="P29" s="623"/>
      <c r="Q29" s="623"/>
      <c r="R29" s="623"/>
      <c r="S29" s="623"/>
      <c r="T29" s="623"/>
      <c r="U29" s="623"/>
      <c r="V29" s="623"/>
      <c r="W29" s="623"/>
      <c r="X29" s="623"/>
      <c r="Y29" s="617"/>
      <c r="Z29" s="617"/>
      <c r="AA29" s="617"/>
      <c r="AB29" s="617"/>
    </row>
    <row r="30" spans="1:29" ht="14.25" customHeight="1">
      <c r="A30" s="629">
        <v>10</v>
      </c>
      <c r="B30" s="628"/>
      <c r="C30" s="609" t="s">
        <v>730</v>
      </c>
      <c r="D30" s="609"/>
      <c r="E30" s="642">
        <v>519238</v>
      </c>
      <c r="F30" s="636">
        <v>505346</v>
      </c>
      <c r="G30" s="642"/>
      <c r="H30" s="642"/>
      <c r="I30" s="642"/>
      <c r="J30" s="621"/>
      <c r="K30" s="818"/>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8.8200000000000001E-2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783"/>
      <c r="B34" s="784"/>
      <c r="C34" s="831" t="s">
        <v>766</v>
      </c>
      <c r="D34" s="831"/>
      <c r="E34" s="831"/>
      <c r="F34" s="831"/>
      <c r="G34" s="831"/>
      <c r="H34" s="831"/>
      <c r="I34" s="784"/>
      <c r="J34" s="784"/>
      <c r="K34" s="27"/>
      <c r="L34" s="785"/>
      <c r="M34" s="138"/>
      <c r="N34" s="432"/>
      <c r="O34" s="786"/>
      <c r="P34" s="787"/>
      <c r="Q34" s="786"/>
      <c r="R34" s="138"/>
      <c r="S34" s="138"/>
      <c r="T34" s="138"/>
      <c r="U34" s="138"/>
      <c r="V34" s="138"/>
      <c r="W34" s="138"/>
      <c r="X34" s="138"/>
      <c r="Y34" s="138"/>
      <c r="Z34" s="138"/>
      <c r="AA34" s="138"/>
    </row>
    <row r="35" spans="1:28" s="25" customFormat="1" ht="14.25" customHeight="1">
      <c r="A35" s="783">
        <v>12</v>
      </c>
      <c r="B35" s="784"/>
      <c r="C35" s="788" t="s">
        <v>763</v>
      </c>
      <c r="D35" s="725"/>
      <c r="E35" s="789">
        <v>4.1399999999999999E-2</v>
      </c>
      <c r="F35" s="784"/>
      <c r="G35" s="790" t="s">
        <v>767</v>
      </c>
      <c r="H35" s="784"/>
      <c r="I35" s="784"/>
      <c r="J35" s="784"/>
      <c r="K35" s="27"/>
      <c r="L35" s="785"/>
      <c r="M35" s="138"/>
      <c r="N35" s="432"/>
      <c r="O35" s="786"/>
      <c r="P35" s="787"/>
      <c r="Q35" s="786"/>
      <c r="R35" s="138"/>
      <c r="S35" s="138"/>
      <c r="T35" s="138"/>
      <c r="U35" s="138"/>
      <c r="V35" s="138"/>
      <c r="W35" s="138"/>
      <c r="X35" s="138"/>
      <c r="Y35" s="138"/>
      <c r="Z35" s="138"/>
      <c r="AA35" s="138"/>
    </row>
    <row r="36" spans="1:28" s="27" customFormat="1" ht="14.25" customHeight="1">
      <c r="A36" s="783">
        <v>13</v>
      </c>
      <c r="B36" s="791"/>
      <c r="C36" s="788" t="s">
        <v>757</v>
      </c>
      <c r="E36" s="792">
        <f>E41+E42</f>
        <v>457169.74589634693</v>
      </c>
      <c r="F36" s="784"/>
      <c r="G36" s="784"/>
      <c r="H36" s="784"/>
      <c r="I36" s="784"/>
      <c r="J36" s="784"/>
      <c r="L36" s="785"/>
      <c r="M36" s="138"/>
      <c r="N36" s="432"/>
      <c r="O36" s="786"/>
      <c r="P36" s="787"/>
      <c r="Q36" s="786"/>
      <c r="R36" s="793"/>
      <c r="S36" s="138"/>
      <c r="T36" s="138"/>
      <c r="U36" s="138"/>
      <c r="V36" s="138"/>
      <c r="W36" s="138"/>
      <c r="X36" s="138"/>
      <c r="Y36" s="138"/>
      <c r="Z36" s="138"/>
      <c r="AA36" s="138"/>
    </row>
    <row r="37" spans="1:28" s="27" customFormat="1" ht="14.25" customHeight="1">
      <c r="A37" s="783"/>
      <c r="B37" s="791"/>
      <c r="C37" s="819" t="s">
        <v>769</v>
      </c>
      <c r="D37" s="784" t="s">
        <v>753</v>
      </c>
      <c r="E37" s="726"/>
      <c r="F37" s="784"/>
      <c r="G37" s="784"/>
      <c r="H37" s="784"/>
      <c r="I37" s="784"/>
      <c r="J37" s="784"/>
      <c r="L37" s="785"/>
      <c r="M37" s="138"/>
      <c r="N37" s="432"/>
      <c r="O37" s="794"/>
      <c r="P37" s="795"/>
      <c r="Q37" s="786"/>
      <c r="R37" s="796"/>
      <c r="S37" s="138"/>
      <c r="T37" s="138"/>
      <c r="U37" s="138"/>
      <c r="V37" s="138"/>
      <c r="W37" s="138"/>
      <c r="X37" s="138"/>
      <c r="Y37" s="138"/>
      <c r="Z37" s="138"/>
      <c r="AA37" s="138"/>
    </row>
    <row r="38" spans="1:28" s="27" customFormat="1" ht="26.25" customHeight="1" thickBot="1">
      <c r="A38" s="783"/>
      <c r="B38" s="791"/>
      <c r="C38" s="797"/>
      <c r="D38" s="784"/>
      <c r="E38" s="798" t="s">
        <v>754</v>
      </c>
      <c r="F38" s="784"/>
      <c r="G38" s="799" t="s">
        <v>755</v>
      </c>
      <c r="H38" s="799" t="s">
        <v>756</v>
      </c>
      <c r="I38" s="809"/>
      <c r="J38" s="784"/>
      <c r="L38" s="785"/>
      <c r="M38" s="138"/>
      <c r="N38" s="432"/>
      <c r="O38" s="794"/>
      <c r="P38" s="795"/>
      <c r="Q38" s="786"/>
      <c r="R38" s="796"/>
      <c r="S38" s="138"/>
      <c r="T38" s="138"/>
      <c r="U38" s="138"/>
      <c r="V38" s="138"/>
      <c r="W38" s="138"/>
      <c r="X38" s="138"/>
      <c r="Y38" s="138"/>
      <c r="Z38" s="138"/>
      <c r="AA38" s="138"/>
    </row>
    <row r="39" spans="1:28" s="27" customFormat="1" ht="13.5" thickBot="1">
      <c r="A39" s="783">
        <v>14</v>
      </c>
      <c r="B39" s="800"/>
      <c r="C39" s="801" t="s">
        <v>758</v>
      </c>
      <c r="D39" s="784"/>
      <c r="E39" s="802">
        <f>E36*E35</f>
        <v>18926.827480108761</v>
      </c>
      <c r="F39" s="784"/>
      <c r="G39" s="803">
        <f>E39/(E26+E24)</f>
        <v>3.4550963700136807E-2</v>
      </c>
      <c r="H39" s="804">
        <f>E39/(E30+E24)</f>
        <v>3.3498009998533688E-2</v>
      </c>
      <c r="I39" s="810"/>
      <c r="J39" s="784"/>
      <c r="L39" s="785"/>
      <c r="M39" s="138"/>
      <c r="N39" s="199"/>
      <c r="O39" s="786"/>
      <c r="P39" s="795"/>
      <c r="Q39" s="786"/>
      <c r="R39" s="138"/>
      <c r="S39" s="138"/>
      <c r="T39" s="138"/>
      <c r="U39" s="138"/>
      <c r="V39" s="138"/>
      <c r="W39" s="138"/>
      <c r="X39" s="138"/>
      <c r="Y39" s="138"/>
      <c r="Z39" s="138"/>
      <c r="AA39" s="138"/>
    </row>
    <row r="40" spans="1:28" s="27" customFormat="1" ht="9" customHeight="1">
      <c r="A40" s="783"/>
      <c r="B40" s="791"/>
      <c r="C40" s="797"/>
      <c r="D40" s="784"/>
      <c r="E40" s="731"/>
      <c r="F40" s="784"/>
      <c r="G40" s="790"/>
      <c r="J40" s="784"/>
      <c r="L40" s="785"/>
      <c r="M40" s="138"/>
      <c r="N40" s="432"/>
      <c r="O40" s="786"/>
      <c r="P40" s="787"/>
      <c r="Q40" s="786"/>
      <c r="R40" s="785"/>
      <c r="S40" s="138"/>
      <c r="T40" s="138"/>
      <c r="U40" s="138"/>
      <c r="V40" s="138"/>
      <c r="W40" s="138"/>
      <c r="X40" s="138"/>
      <c r="Y40" s="138"/>
      <c r="Z40" s="138"/>
      <c r="AA40" s="138"/>
    </row>
    <row r="41" spans="1:28" s="27" customFormat="1" ht="14.25" customHeight="1">
      <c r="A41" s="805" t="s">
        <v>753</v>
      </c>
      <c r="B41" s="53" t="s">
        <v>759</v>
      </c>
      <c r="E41" s="820">
        <v>411394.25760443811</v>
      </c>
      <c r="F41" s="784"/>
      <c r="H41" s="784"/>
      <c r="I41" s="784"/>
      <c r="J41" s="784"/>
      <c r="L41" s="806"/>
      <c r="M41" s="138"/>
      <c r="N41" s="138"/>
      <c r="O41" s="138"/>
      <c r="P41" s="169"/>
      <c r="Q41" s="215"/>
      <c r="R41" s="138"/>
      <c r="S41" s="138"/>
      <c r="T41" s="138"/>
      <c r="U41" s="138"/>
      <c r="V41" s="138"/>
      <c r="W41" s="138"/>
      <c r="X41" s="138"/>
      <c r="Y41" s="138"/>
      <c r="Z41" s="138"/>
      <c r="AA41" s="138"/>
    </row>
    <row r="42" spans="1:28" s="27" customFormat="1" ht="29.25" customHeight="1">
      <c r="A42" s="791"/>
      <c r="B42" s="830" t="s">
        <v>764</v>
      </c>
      <c r="C42" s="830"/>
      <c r="D42" s="807"/>
      <c r="E42" s="808">
        <f>E24</f>
        <v>45775.488291908834</v>
      </c>
      <c r="F42" s="784"/>
      <c r="H42" s="784"/>
      <c r="I42" s="784"/>
      <c r="J42" s="784"/>
      <c r="L42" s="806"/>
      <c r="M42" s="138"/>
      <c r="N42" s="138"/>
      <c r="O42" s="138"/>
      <c r="P42" s="169"/>
      <c r="Q42" s="215"/>
      <c r="R42" s="138"/>
      <c r="S42" s="138"/>
      <c r="T42" s="138"/>
      <c r="U42" s="138"/>
      <c r="V42" s="138"/>
      <c r="W42" s="138"/>
      <c r="X42" s="138"/>
      <c r="Y42" s="138"/>
      <c r="Z42" s="138"/>
      <c r="AA42" s="138"/>
    </row>
    <row r="43" spans="1:28" s="25" customFormat="1" ht="4.5" customHeight="1">
      <c r="A43" s="725"/>
      <c r="B43" s="725"/>
      <c r="C43" s="725"/>
      <c r="D43" s="725"/>
      <c r="E43" s="725"/>
      <c r="F43" s="725"/>
      <c r="G43" s="725"/>
      <c r="H43" s="725"/>
      <c r="I43" s="725"/>
      <c r="J43" s="725"/>
      <c r="L43" s="138"/>
      <c r="M43" s="138"/>
      <c r="N43" s="138"/>
      <c r="O43" s="138"/>
      <c r="P43" s="169"/>
      <c r="Q43" s="215"/>
      <c r="R43" s="138"/>
      <c r="S43" s="138"/>
      <c r="T43" s="138"/>
      <c r="U43" s="138"/>
      <c r="V43" s="138"/>
      <c r="W43" s="138"/>
      <c r="X43" s="138"/>
      <c r="Y43" s="138"/>
      <c r="Z43" s="138"/>
      <c r="AA43" s="138"/>
    </row>
    <row r="44" spans="1:28" ht="14.25" customHeight="1">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44" t="s">
        <v>180</v>
      </c>
      <c r="B2" s="844"/>
      <c r="C2" s="844"/>
      <c r="D2" s="844"/>
      <c r="E2" s="844"/>
      <c r="G2" s="99"/>
    </row>
    <row r="3" spans="1:52">
      <c r="A3" s="843" t="s">
        <v>242</v>
      </c>
      <c r="B3" s="843"/>
      <c r="C3" s="843"/>
      <c r="D3" s="843"/>
      <c r="E3" s="843"/>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43" t="str">
        <f>'RR SUMMARY'!A4:H4</f>
        <v>TWELVE MONTHS ENDED DECEMBER 31, 2018</v>
      </c>
      <c r="B4" s="843"/>
      <c r="C4" s="843"/>
      <c r="D4" s="843"/>
      <c r="E4" s="843"/>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626</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45775.488291908834</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173</v>
      </c>
      <c r="K12" s="105"/>
      <c r="L12" s="27"/>
    </row>
    <row r="13" spans="1:52">
      <c r="A13" s="556"/>
      <c r="C13" s="387"/>
      <c r="D13" s="387"/>
      <c r="E13" s="558"/>
      <c r="J13" s="99"/>
      <c r="K13" s="105"/>
      <c r="L13" s="27"/>
    </row>
    <row r="14" spans="1:52">
      <c r="A14" s="556">
        <v>3</v>
      </c>
      <c r="C14" s="387" t="s">
        <v>176</v>
      </c>
      <c r="D14" s="387"/>
      <c r="E14" s="558">
        <v>2E-3</v>
      </c>
      <c r="J14" s="99">
        <f>ROUND($J$9*E14,0)</f>
        <v>92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1766</v>
      </c>
      <c r="K16" s="105"/>
      <c r="L16" s="27"/>
    </row>
    <row r="17" spans="1:61">
      <c r="A17" s="556"/>
      <c r="C17" s="387"/>
      <c r="D17" s="387"/>
      <c r="E17" s="559"/>
      <c r="J17" s="99"/>
      <c r="K17" s="105"/>
      <c r="L17" s="27"/>
    </row>
    <row r="18" spans="1:61">
      <c r="A18" s="556">
        <v>6</v>
      </c>
      <c r="C18" s="387" t="s">
        <v>178</v>
      </c>
      <c r="D18" s="387"/>
      <c r="E18" s="116">
        <f>SUM(E12:E16)</f>
        <v>4.4369000000000006E-2</v>
      </c>
      <c r="J18" s="104">
        <f>SUM(J12:J16)</f>
        <v>2031</v>
      </c>
      <c r="K18" s="105"/>
      <c r="L18" s="27"/>
    </row>
    <row r="19" spans="1:61">
      <c r="C19" s="387"/>
      <c r="D19" s="387"/>
      <c r="E19" s="115"/>
      <c r="J19" s="99"/>
      <c r="K19" s="105"/>
      <c r="L19" s="536"/>
    </row>
    <row r="20" spans="1:61">
      <c r="A20" s="556">
        <v>7</v>
      </c>
      <c r="C20" s="387" t="s">
        <v>179</v>
      </c>
      <c r="D20" s="387"/>
      <c r="E20" s="115">
        <f>E9-E18</f>
        <v>0.95563100000000001</v>
      </c>
      <c r="J20" s="105">
        <f>J9-J18</f>
        <v>43744.488291908834</v>
      </c>
      <c r="K20" s="105"/>
      <c r="L20" s="27"/>
      <c r="AP20" s="202"/>
    </row>
    <row r="21" spans="1:61">
      <c r="C21" s="387"/>
      <c r="D21" s="387"/>
      <c r="E21" s="115"/>
      <c r="J21" s="105"/>
      <c r="K21" s="105"/>
      <c r="L21" s="27"/>
      <c r="BC21" s="25">
        <v>109</v>
      </c>
      <c r="BI21" s="25">
        <v>-2</v>
      </c>
    </row>
    <row r="22" spans="1:61">
      <c r="A22" s="523">
        <v>8</v>
      </c>
      <c r="B22" s="146"/>
      <c r="C22" s="559" t="s">
        <v>693</v>
      </c>
      <c r="D22" s="560"/>
      <c r="E22" s="561">
        <f>ROUND(E20*0.21,6)</f>
        <v>0.200683</v>
      </c>
      <c r="G22" s="99"/>
      <c r="J22" s="106">
        <f>ROUND(J20*0.21,0)</f>
        <v>9186</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34558.488291908834</v>
      </c>
      <c r="K24" s="105"/>
      <c r="L24" s="27"/>
    </row>
    <row r="25" spans="1:61" ht="13.5" thickTop="1">
      <c r="K25" s="27"/>
      <c r="L25" s="27"/>
      <c r="BG25" s="25">
        <v>622</v>
      </c>
    </row>
    <row r="26" spans="1:61">
      <c r="J26" s="139">
        <f>J24/E24</f>
        <v>45775.984957783628</v>
      </c>
      <c r="K26" s="542"/>
      <c r="L26" s="27"/>
    </row>
    <row r="28" spans="1:61">
      <c r="J28" s="139">
        <f>J26-'RR SUMMARY'!E24</f>
        <v>0.4966658747944166</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97"/>
  <sheetViews>
    <sheetView view="pageBreakPreview" zoomScale="110" zoomScaleNormal="100" zoomScaleSheetLayoutView="110" workbookViewId="0">
      <pane xSplit="4" ySplit="12" topLeftCell="AD54" activePane="bottomRight" state="frozen"/>
      <selection activeCell="M75" sqref="M75"/>
      <selection pane="topRight" activeCell="M75" sqref="M75"/>
      <selection pane="bottomLeft" activeCell="M75" sqref="M75"/>
      <selection pane="bottomRight" activeCell="M75" sqref="M75"/>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8"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4" width="7.85546875" style="566" hidden="1" customWidth="1"/>
    <col min="45" max="45" width="10.7109375" style="440" bestFit="1" customWidth="1"/>
    <col min="46" max="16384" width="10.7109375" style="412"/>
  </cols>
  <sheetData>
    <row r="1" spans="1:45" ht="12.75">
      <c r="D1" s="829"/>
      <c r="E1" s="829"/>
      <c r="F1" s="439"/>
      <c r="G1" s="439"/>
      <c r="H1" s="439"/>
      <c r="I1" s="439"/>
      <c r="J1" s="439"/>
      <c r="K1" s="439"/>
      <c r="L1" s="439"/>
      <c r="M1" s="439"/>
      <c r="N1" s="439"/>
      <c r="O1" s="439"/>
      <c r="P1" s="439"/>
      <c r="Q1" s="439"/>
      <c r="R1" s="439"/>
      <c r="AF1" s="516"/>
      <c r="AH1" s="439"/>
      <c r="AN1" s="477"/>
    </row>
    <row r="2" spans="1:45" ht="18" customHeight="1">
      <c r="A2" s="606" t="s">
        <v>186</v>
      </c>
      <c r="D2" s="413"/>
      <c r="E2" s="595" t="s">
        <v>686</v>
      </c>
      <c r="F2" s="689" t="s">
        <v>648</v>
      </c>
      <c r="G2" s="437"/>
      <c r="H2" s="437"/>
      <c r="I2" s="437"/>
      <c r="J2" s="437"/>
      <c r="K2" s="441"/>
      <c r="L2" s="437"/>
      <c r="M2" s="437"/>
      <c r="N2" s="437"/>
      <c r="O2" s="437"/>
      <c r="P2" s="437"/>
      <c r="Q2" s="437"/>
      <c r="R2" s="437"/>
      <c r="S2" s="439"/>
      <c r="V2" s="699"/>
      <c r="W2" s="711"/>
      <c r="X2" s="439"/>
      <c r="Y2" s="439"/>
      <c r="Z2" s="699"/>
      <c r="AA2" s="714"/>
      <c r="AB2" s="714"/>
      <c r="AD2" s="437" t="s">
        <v>649</v>
      </c>
      <c r="AE2" s="750"/>
      <c r="AF2" s="439"/>
      <c r="AG2" s="439"/>
      <c r="AH2" s="439"/>
      <c r="AI2" s="757"/>
      <c r="AJ2" s="759"/>
      <c r="AK2" s="439"/>
      <c r="AL2" s="439"/>
      <c r="AM2" s="816"/>
      <c r="AN2" s="755"/>
      <c r="AO2" s="757"/>
      <c r="AP2" s="699"/>
      <c r="AQ2" s="699"/>
      <c r="AR2" s="584"/>
      <c r="AS2" s="437"/>
    </row>
    <row r="3" spans="1:45" ht="14.25" customHeight="1">
      <c r="A3" s="606" t="s">
        <v>688</v>
      </c>
      <c r="D3" s="413"/>
      <c r="E3" s="596"/>
      <c r="G3" s="440"/>
      <c r="H3" s="437"/>
      <c r="I3" s="437"/>
      <c r="J3" s="437"/>
      <c r="K3" s="437"/>
      <c r="L3" s="437"/>
      <c r="M3" s="437"/>
      <c r="N3" s="437"/>
      <c r="O3" s="711"/>
      <c r="P3" s="437"/>
      <c r="Q3" s="720"/>
      <c r="R3" s="720"/>
      <c r="S3" s="439"/>
      <c r="V3" s="517"/>
      <c r="W3" s="711"/>
      <c r="X3" s="439"/>
      <c r="Y3" s="439"/>
      <c r="Z3" s="517"/>
      <c r="AA3" s="751"/>
      <c r="AB3" s="715"/>
      <c r="AE3" s="750"/>
      <c r="AF3" s="517"/>
      <c r="AG3" s="517"/>
      <c r="AH3" s="517"/>
      <c r="AI3" s="720"/>
      <c r="AJ3" s="760"/>
      <c r="AK3" s="517"/>
      <c r="AL3" s="517"/>
      <c r="AM3" s="816"/>
      <c r="AN3" s="441"/>
      <c r="AO3" s="720"/>
      <c r="AP3" s="517"/>
      <c r="AQ3" s="517"/>
      <c r="AR3" s="568"/>
      <c r="AS3" s="517"/>
    </row>
    <row r="4" spans="1:45" ht="14.25" customHeight="1">
      <c r="A4" s="606" t="s">
        <v>694</v>
      </c>
      <c r="D4" s="413"/>
      <c r="E4" s="597"/>
      <c r="G4" s="439"/>
      <c r="H4" s="439"/>
      <c r="I4" s="439"/>
      <c r="J4" s="439"/>
      <c r="K4" s="477"/>
      <c r="L4" s="477"/>
      <c r="M4" s="439"/>
      <c r="N4" s="439"/>
      <c r="O4" s="711"/>
      <c r="P4" s="439"/>
      <c r="Q4" s="705"/>
      <c r="R4" s="705"/>
      <c r="S4" s="441"/>
      <c r="T4" s="441"/>
      <c r="U4" s="441"/>
      <c r="V4" s="748"/>
      <c r="W4" s="711"/>
      <c r="X4" s="441"/>
      <c r="Y4" s="441"/>
      <c r="Z4" s="700"/>
      <c r="AA4" s="751"/>
      <c r="AB4" s="715"/>
      <c r="AD4" s="522"/>
      <c r="AE4" s="750"/>
      <c r="AF4" s="749"/>
      <c r="AG4" s="750"/>
      <c r="AH4" s="750"/>
      <c r="AI4" s="720"/>
      <c r="AJ4" s="761"/>
      <c r="AK4" s="477"/>
      <c r="AL4" s="750"/>
      <c r="AM4" s="816"/>
      <c r="AN4" s="756"/>
      <c r="AO4" s="720"/>
      <c r="AP4" s="705"/>
      <c r="AQ4" s="705"/>
      <c r="AR4" s="568"/>
      <c r="AS4" s="437"/>
    </row>
    <row r="5" spans="1:45" ht="12.75" customHeight="1">
      <c r="A5" s="606" t="s">
        <v>187</v>
      </c>
      <c r="D5" s="413"/>
      <c r="E5" s="443" t="s">
        <v>729</v>
      </c>
      <c r="F5" s="690"/>
      <c r="G5" s="517"/>
      <c r="H5" s="477"/>
      <c r="I5" s="477"/>
      <c r="J5" s="477"/>
      <c r="K5" s="477"/>
      <c r="L5" s="477"/>
      <c r="M5" s="477"/>
      <c r="N5" s="477"/>
      <c r="O5" s="711"/>
      <c r="P5" s="477"/>
      <c r="Q5" s="705"/>
      <c r="R5" s="705"/>
      <c r="S5" s="477"/>
      <c r="T5" s="477"/>
      <c r="U5" s="517"/>
      <c r="V5" s="710"/>
      <c r="W5" s="720"/>
      <c r="X5" s="477"/>
      <c r="Y5" s="477"/>
      <c r="Z5" s="477"/>
      <c r="AA5" s="751"/>
      <c r="AB5" s="715"/>
      <c r="AC5" s="477"/>
      <c r="AD5" s="710"/>
      <c r="AE5" s="720"/>
      <c r="AF5" s="710"/>
      <c r="AG5" s="710"/>
      <c r="AH5" s="710"/>
      <c r="AI5" s="720"/>
      <c r="AJ5" s="762"/>
      <c r="AK5" s="477"/>
      <c r="AL5" s="750"/>
      <c r="AM5" s="720"/>
      <c r="AN5" s="756"/>
      <c r="AO5" s="720"/>
      <c r="AP5" s="720"/>
      <c r="AQ5" s="477"/>
      <c r="AR5" s="568"/>
      <c r="AS5" s="437"/>
    </row>
    <row r="6" spans="1:45" s="415" customFormat="1" ht="5.25" customHeight="1">
      <c r="A6" s="512"/>
      <c r="D6" s="414"/>
      <c r="F6" s="442"/>
      <c r="G6" s="439"/>
      <c r="H6" s="477"/>
      <c r="I6" s="477"/>
      <c r="J6" s="710"/>
      <c r="K6" s="477"/>
      <c r="L6" s="477"/>
      <c r="M6" s="710"/>
      <c r="N6" s="710"/>
      <c r="O6" s="710"/>
      <c r="P6" s="710"/>
      <c r="Q6" s="706"/>
      <c r="R6" s="706"/>
      <c r="S6" s="712"/>
      <c r="T6" s="712"/>
      <c r="U6" s="710"/>
      <c r="V6" s="747"/>
      <c r="W6" s="821"/>
      <c r="X6" s="712"/>
      <c r="Y6" s="710"/>
      <c r="Z6" s="701"/>
      <c r="AA6" s="752"/>
      <c r="AB6" s="716"/>
      <c r="AC6" s="391"/>
      <c r="AD6" s="747"/>
      <c r="AE6" s="747"/>
      <c r="AF6" s="747"/>
      <c r="AG6" s="747"/>
      <c r="AH6" s="747"/>
      <c r="AI6" s="706"/>
      <c r="AJ6" s="763"/>
      <c r="AK6" s="477"/>
      <c r="AL6" s="754"/>
      <c r="AM6" s="817"/>
      <c r="AN6" s="477"/>
      <c r="AO6" s="706"/>
      <c r="AP6" s="706"/>
      <c r="AQ6" s="706"/>
      <c r="AR6" s="569"/>
      <c r="AS6" s="527"/>
    </row>
    <row r="7" spans="1:45" s="415" customFormat="1" ht="12" customHeight="1">
      <c r="A7" s="416"/>
      <c r="B7" s="417"/>
      <c r="C7" s="418"/>
      <c r="D7" s="418"/>
      <c r="E7" s="598"/>
      <c r="F7" s="691" t="s">
        <v>1</v>
      </c>
      <c r="G7" s="695" t="s">
        <v>1</v>
      </c>
      <c r="H7" s="695" t="s">
        <v>259</v>
      </c>
      <c r="I7" s="695" t="s">
        <v>698</v>
      </c>
      <c r="J7" s="695" t="s">
        <v>3</v>
      </c>
      <c r="K7" s="695" t="s">
        <v>5</v>
      </c>
      <c r="L7" s="695" t="s">
        <v>15</v>
      </c>
      <c r="M7" s="695" t="s">
        <v>16</v>
      </c>
      <c r="N7" s="695" t="s">
        <v>4</v>
      </c>
      <c r="O7" s="695" t="s">
        <v>596</v>
      </c>
      <c r="P7" s="695" t="s">
        <v>6</v>
      </c>
      <c r="Q7" s="695" t="s">
        <v>5</v>
      </c>
      <c r="R7" s="695" t="s">
        <v>225</v>
      </c>
      <c r="S7" s="713" t="s">
        <v>629</v>
      </c>
      <c r="T7" s="713" t="s">
        <v>3</v>
      </c>
      <c r="U7" s="713" t="s">
        <v>656</v>
      </c>
      <c r="V7" s="702" t="s">
        <v>685</v>
      </c>
      <c r="W7" s="236" t="s">
        <v>5</v>
      </c>
      <c r="X7" s="236" t="s">
        <v>3</v>
      </c>
      <c r="Y7" s="236" t="s">
        <v>119</v>
      </c>
      <c r="Z7" s="702" t="s">
        <v>657</v>
      </c>
      <c r="AA7" s="702" t="s">
        <v>666</v>
      </c>
      <c r="AB7" s="717" t="s">
        <v>700</v>
      </c>
      <c r="AC7" s="236" t="s">
        <v>20</v>
      </c>
      <c r="AD7" s="707" t="s">
        <v>7</v>
      </c>
      <c r="AE7" s="236" t="s">
        <v>232</v>
      </c>
      <c r="AF7" s="236" t="s">
        <v>232</v>
      </c>
      <c r="AG7" s="236" t="s">
        <v>232</v>
      </c>
      <c r="AH7" s="236" t="s">
        <v>232</v>
      </c>
      <c r="AI7" s="707" t="s">
        <v>7</v>
      </c>
      <c r="AJ7" s="764" t="s">
        <v>232</v>
      </c>
      <c r="AK7" s="236" t="s">
        <v>232</v>
      </c>
      <c r="AL7" s="236" t="s">
        <v>7</v>
      </c>
      <c r="AM7" s="695" t="s">
        <v>232</v>
      </c>
      <c r="AN7" s="236" t="s">
        <v>232</v>
      </c>
      <c r="AO7" s="707" t="s">
        <v>7</v>
      </c>
      <c r="AP7" s="707" t="s">
        <v>7</v>
      </c>
      <c r="AQ7" s="707" t="s">
        <v>680</v>
      </c>
      <c r="AR7" s="585" t="s">
        <v>7</v>
      </c>
      <c r="AS7" s="528"/>
    </row>
    <row r="8" spans="1:45" s="415" customFormat="1">
      <c r="A8" s="419" t="s">
        <v>8</v>
      </c>
      <c r="B8" s="420"/>
      <c r="C8" s="421"/>
      <c r="D8" s="421"/>
      <c r="E8" s="443" t="s">
        <v>263</v>
      </c>
      <c r="F8" s="692" t="s">
        <v>10</v>
      </c>
      <c r="G8" s="696" t="s">
        <v>261</v>
      </c>
      <c r="H8" s="696" t="s">
        <v>122</v>
      </c>
      <c r="I8" s="696" t="s">
        <v>699</v>
      </c>
      <c r="J8" s="696" t="s">
        <v>13</v>
      </c>
      <c r="K8" s="696" t="s">
        <v>14</v>
      </c>
      <c r="L8" s="696" t="s">
        <v>29</v>
      </c>
      <c r="M8" s="696" t="s">
        <v>29</v>
      </c>
      <c r="N8" s="696" t="s">
        <v>17</v>
      </c>
      <c r="O8" s="696" t="s">
        <v>678</v>
      </c>
      <c r="P8" s="696" t="s">
        <v>19</v>
      </c>
      <c r="Q8" s="696" t="s">
        <v>226</v>
      </c>
      <c r="R8" s="696" t="s">
        <v>732</v>
      </c>
      <c r="S8" s="443" t="s">
        <v>183</v>
      </c>
      <c r="T8" s="721" t="s">
        <v>631</v>
      </c>
      <c r="U8" s="721" t="s">
        <v>683</v>
      </c>
      <c r="V8" s="443" t="s">
        <v>679</v>
      </c>
      <c r="W8" s="443" t="s">
        <v>18</v>
      </c>
      <c r="X8" s="443" t="s">
        <v>117</v>
      </c>
      <c r="Y8" s="443" t="s">
        <v>2</v>
      </c>
      <c r="Z8" s="443" t="s">
        <v>658</v>
      </c>
      <c r="AA8" s="753" t="s">
        <v>12</v>
      </c>
      <c r="AB8" s="718" t="s">
        <v>690</v>
      </c>
      <c r="AC8" s="443" t="s">
        <v>33</v>
      </c>
      <c r="AD8" s="708" t="s">
        <v>633</v>
      </c>
      <c r="AE8" s="443" t="s">
        <v>677</v>
      </c>
      <c r="AF8" s="443" t="s">
        <v>223</v>
      </c>
      <c r="AG8" s="443" t="s">
        <v>223</v>
      </c>
      <c r="AH8" s="443" t="s">
        <v>240</v>
      </c>
      <c r="AI8" s="708" t="s">
        <v>711</v>
      </c>
      <c r="AJ8" s="765" t="s">
        <v>667</v>
      </c>
      <c r="AK8" s="443" t="s">
        <v>14</v>
      </c>
      <c r="AL8" s="443" t="s">
        <v>702</v>
      </c>
      <c r="AM8" s="696" t="s">
        <v>768</v>
      </c>
      <c r="AN8" s="443" t="s">
        <v>593</v>
      </c>
      <c r="AO8" s="708" t="s">
        <v>703</v>
      </c>
      <c r="AP8" s="708" t="s">
        <v>705</v>
      </c>
      <c r="AQ8" s="708" t="s">
        <v>658</v>
      </c>
      <c r="AR8" s="586" t="s">
        <v>706</v>
      </c>
      <c r="AS8" s="526" t="s">
        <v>232</v>
      </c>
    </row>
    <row r="9" spans="1:45"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655</v>
      </c>
      <c r="Q9" s="697" t="s">
        <v>27</v>
      </c>
      <c r="R9" s="697" t="s">
        <v>260</v>
      </c>
      <c r="S9" s="444" t="s">
        <v>76</v>
      </c>
      <c r="T9" s="722" t="s">
        <v>632</v>
      </c>
      <c r="U9" s="722" t="s">
        <v>684</v>
      </c>
      <c r="V9" s="444"/>
      <c r="W9" s="444" t="s">
        <v>31</v>
      </c>
      <c r="X9" s="444" t="s">
        <v>118</v>
      </c>
      <c r="Y9" s="444" t="s">
        <v>25</v>
      </c>
      <c r="Z9" s="444" t="s">
        <v>665</v>
      </c>
      <c r="AA9" s="444" t="s">
        <v>26</v>
      </c>
      <c r="AB9" s="719" t="s">
        <v>691</v>
      </c>
      <c r="AC9" s="444" t="s">
        <v>76</v>
      </c>
      <c r="AD9" s="709" t="s">
        <v>183</v>
      </c>
      <c r="AE9" s="444" t="s">
        <v>676</v>
      </c>
      <c r="AF9" s="444" t="s">
        <v>239</v>
      </c>
      <c r="AG9" s="444" t="s">
        <v>224</v>
      </c>
      <c r="AH9" s="444" t="s">
        <v>241</v>
      </c>
      <c r="AI9" s="709" t="s">
        <v>29</v>
      </c>
      <c r="AJ9" s="766" t="s">
        <v>29</v>
      </c>
      <c r="AK9" s="444" t="s">
        <v>28</v>
      </c>
      <c r="AL9" s="444" t="s">
        <v>29</v>
      </c>
      <c r="AM9" s="697" t="s">
        <v>650</v>
      </c>
      <c r="AN9" s="444" t="s">
        <v>651</v>
      </c>
      <c r="AO9" s="709" t="s">
        <v>704</v>
      </c>
      <c r="AP9" s="709" t="s">
        <v>704</v>
      </c>
      <c r="AQ9" s="709" t="s">
        <v>665</v>
      </c>
      <c r="AR9" s="587"/>
      <c r="AS9" s="469" t="s">
        <v>136</v>
      </c>
    </row>
    <row r="10" spans="1:45"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7">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570">
        <f t="shared" ref="AR10" si="13">AQ10+0.01</f>
        <v>3.1499999999999968</v>
      </c>
      <c r="AS10" s="470" t="s">
        <v>681</v>
      </c>
    </row>
    <row r="11" spans="1:45" s="461" customFormat="1">
      <c r="B11" s="464" t="s">
        <v>566</v>
      </c>
      <c r="E11" s="462" t="s">
        <v>567</v>
      </c>
      <c r="F11" s="462" t="s">
        <v>568</v>
      </c>
      <c r="G11" s="462" t="s">
        <v>569</v>
      </c>
      <c r="H11" s="463" t="s">
        <v>570</v>
      </c>
      <c r="I11" s="463" t="s">
        <v>696</v>
      </c>
      <c r="J11" s="463" t="s">
        <v>571</v>
      </c>
      <c r="K11" s="463" t="s">
        <v>601</v>
      </c>
      <c r="L11" s="463" t="s">
        <v>572</v>
      </c>
      <c r="M11" s="463" t="s">
        <v>573</v>
      </c>
      <c r="N11" s="463" t="s">
        <v>574</v>
      </c>
      <c r="O11" s="463" t="s">
        <v>575</v>
      </c>
      <c r="P11" s="463" t="s">
        <v>599</v>
      </c>
      <c r="Q11" s="463" t="s">
        <v>578</v>
      </c>
      <c r="R11" s="463" t="s">
        <v>579</v>
      </c>
      <c r="S11" s="463" t="s">
        <v>630</v>
      </c>
      <c r="T11" s="463" t="s">
        <v>635</v>
      </c>
      <c r="U11" s="463" t="s">
        <v>580</v>
      </c>
      <c r="V11" s="703" t="s">
        <v>581</v>
      </c>
      <c r="W11" s="463" t="s">
        <v>582</v>
      </c>
      <c r="X11" s="463" t="s">
        <v>576</v>
      </c>
      <c r="Y11" s="463" t="s">
        <v>577</v>
      </c>
      <c r="Z11" s="703" t="s">
        <v>643</v>
      </c>
      <c r="AA11" s="463" t="s">
        <v>668</v>
      </c>
      <c r="AB11" s="703" t="s">
        <v>701</v>
      </c>
      <c r="AC11" s="463"/>
      <c r="AD11" s="463" t="s">
        <v>634</v>
      </c>
      <c r="AE11" s="463" t="s">
        <v>652</v>
      </c>
      <c r="AF11" s="463" t="s">
        <v>583</v>
      </c>
      <c r="AG11" s="463" t="s">
        <v>584</v>
      </c>
      <c r="AH11" s="463" t="s">
        <v>585</v>
      </c>
      <c r="AI11" s="703" t="s">
        <v>735</v>
      </c>
      <c r="AJ11" s="767" t="s">
        <v>708</v>
      </c>
      <c r="AK11" s="463" t="s">
        <v>600</v>
      </c>
      <c r="AL11" s="463" t="s">
        <v>709</v>
      </c>
      <c r="AM11" s="703" t="s">
        <v>707</v>
      </c>
      <c r="AN11" s="703" t="s">
        <v>653</v>
      </c>
      <c r="AO11" s="703" t="s">
        <v>734</v>
      </c>
      <c r="AP11" s="703" t="s">
        <v>710</v>
      </c>
      <c r="AQ11" s="703" t="s">
        <v>643</v>
      </c>
      <c r="AR11" s="571" t="s">
        <v>736</v>
      </c>
      <c r="AS11" s="470"/>
    </row>
    <row r="12" spans="1:45"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8"/>
      <c r="AK12" s="463"/>
      <c r="AL12" s="462"/>
      <c r="AM12" s="703"/>
      <c r="AN12" s="703"/>
      <c r="AO12" s="703"/>
      <c r="AP12" s="703"/>
      <c r="AQ12" s="703"/>
      <c r="AR12" s="571"/>
      <c r="AS12" s="470"/>
    </row>
    <row r="13" spans="1:45">
      <c r="B13" s="412" t="s">
        <v>188</v>
      </c>
      <c r="V13" s="445"/>
      <c r="W13" s="445"/>
      <c r="Z13" s="445"/>
      <c r="AA13" s="445"/>
      <c r="AB13" s="445"/>
      <c r="AE13" s="439"/>
      <c r="AI13" s="445"/>
      <c r="AM13" s="445"/>
      <c r="AN13" s="445"/>
      <c r="AO13" s="445"/>
      <c r="AP13" s="445"/>
      <c r="AQ13" s="445"/>
      <c r="AR13" s="572"/>
      <c r="AS13" s="471"/>
    </row>
    <row r="14" spans="1:45"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9">
        <v>0</v>
      </c>
      <c r="AK14" s="460">
        <v>0</v>
      </c>
      <c r="AL14" s="460">
        <v>0</v>
      </c>
      <c r="AM14" s="460">
        <v>0</v>
      </c>
      <c r="AN14" s="460">
        <v>0</v>
      </c>
      <c r="AO14" s="460">
        <v>0</v>
      </c>
      <c r="AP14" s="460">
        <v>0</v>
      </c>
      <c r="AQ14" s="460">
        <v>0</v>
      </c>
      <c r="AR14" s="573">
        <v>0</v>
      </c>
      <c r="AS14" s="472">
        <f t="shared" ref="AS14:AS19" si="14">SUM(AC14:AR14)</f>
        <v>500918</v>
      </c>
    </row>
    <row r="15" spans="1:45"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8">
        <v>0</v>
      </c>
      <c r="AK15" s="438">
        <v>0</v>
      </c>
      <c r="AL15" s="438">
        <v>0</v>
      </c>
      <c r="AM15" s="445">
        <v>0</v>
      </c>
      <c r="AN15" s="445">
        <v>0</v>
      </c>
      <c r="AO15" s="445">
        <v>0</v>
      </c>
      <c r="AP15" s="445">
        <v>0</v>
      </c>
      <c r="AQ15" s="445">
        <v>0</v>
      </c>
      <c r="AR15" s="572">
        <v>0</v>
      </c>
      <c r="AS15" s="471">
        <f t="shared" si="14"/>
        <v>1101</v>
      </c>
    </row>
    <row r="16" spans="1:45"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70">
        <v>0</v>
      </c>
      <c r="AK16" s="447">
        <v>0</v>
      </c>
      <c r="AL16" s="447">
        <v>0</v>
      </c>
      <c r="AM16" s="446">
        <v>0</v>
      </c>
      <c r="AN16" s="446">
        <v>0</v>
      </c>
      <c r="AO16" s="446">
        <v>0</v>
      </c>
      <c r="AP16" s="446">
        <v>0</v>
      </c>
      <c r="AQ16" s="446">
        <v>0</v>
      </c>
      <c r="AR16" s="575">
        <v>0</v>
      </c>
      <c r="AS16" s="473">
        <f t="shared" si="14"/>
        <v>35576</v>
      </c>
    </row>
    <row r="17" spans="1:45"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8">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572">
        <f>SUM(AR14:AR16)</f>
        <v>0</v>
      </c>
      <c r="AS17" s="471">
        <f t="shared" si="14"/>
        <v>537595</v>
      </c>
    </row>
    <row r="18" spans="1:45"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70">
        <v>0</v>
      </c>
      <c r="AK18" s="447">
        <v>0</v>
      </c>
      <c r="AL18" s="447">
        <v>0</v>
      </c>
      <c r="AM18" s="446">
        <v>0</v>
      </c>
      <c r="AN18" s="446">
        <v>0</v>
      </c>
      <c r="AO18" s="446">
        <v>0</v>
      </c>
      <c r="AP18" s="446">
        <v>0</v>
      </c>
      <c r="AQ18" s="446">
        <v>0</v>
      </c>
      <c r="AR18" s="575">
        <v>0</v>
      </c>
      <c r="AS18" s="473">
        <f t="shared" si="14"/>
        <v>12999</v>
      </c>
    </row>
    <row r="19" spans="1:45"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8">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572">
        <f>SUM(AR17:AR18)</f>
        <v>0</v>
      </c>
      <c r="AS19" s="471">
        <f t="shared" si="14"/>
        <v>550594</v>
      </c>
    </row>
    <row r="20" spans="1:45"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8"/>
      <c r="AK20" s="439"/>
      <c r="AL20" s="438"/>
      <c r="AM20" s="445"/>
      <c r="AN20" s="445"/>
      <c r="AO20" s="445"/>
      <c r="AP20" s="445"/>
      <c r="AQ20" s="445"/>
      <c r="AR20" s="572"/>
      <c r="AS20" s="471"/>
    </row>
    <row r="21" spans="1:45"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8"/>
      <c r="AK21" s="439"/>
      <c r="AL21" s="438"/>
      <c r="AM21" s="445"/>
      <c r="AN21" s="445"/>
      <c r="AO21" s="445"/>
      <c r="AP21" s="445"/>
      <c r="AQ21" s="445"/>
      <c r="AR21" s="572"/>
      <c r="AS21" s="471"/>
    </row>
    <row r="22" spans="1:45"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8"/>
      <c r="AK22" s="439"/>
      <c r="AL22" s="438"/>
      <c r="AM22" s="445"/>
      <c r="AN22" s="445"/>
      <c r="AO22" s="445"/>
      <c r="AP22" s="445"/>
      <c r="AQ22" s="445"/>
      <c r="AR22" s="572"/>
      <c r="AS22" s="471">
        <f t="shared" ref="AS22:AS28" si="35">SUM(AC22:AR22)</f>
        <v>0</v>
      </c>
    </row>
    <row r="23" spans="1:45"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f>740+163</f>
        <v>903</v>
      </c>
      <c r="AG23" s="439">
        <v>0</v>
      </c>
      <c r="AH23" s="439">
        <f>739+211</f>
        <v>950</v>
      </c>
      <c r="AI23" s="445">
        <v>0</v>
      </c>
      <c r="AJ23" s="759">
        <v>0</v>
      </c>
      <c r="AK23" s="439">
        <v>0</v>
      </c>
      <c r="AL23" s="439">
        <v>0</v>
      </c>
      <c r="AM23" s="445">
        <v>0</v>
      </c>
      <c r="AN23" s="445">
        <v>-33</v>
      </c>
      <c r="AO23" s="445">
        <v>0</v>
      </c>
      <c r="AP23" s="445">
        <v>0</v>
      </c>
      <c r="AQ23" s="445">
        <v>-449</v>
      </c>
      <c r="AR23" s="572">
        <v>0</v>
      </c>
      <c r="AS23" s="471">
        <f t="shared" si="35"/>
        <v>134305</v>
      </c>
    </row>
    <row r="24" spans="1:45"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8">
        <v>0</v>
      </c>
      <c r="AK24" s="439">
        <v>0</v>
      </c>
      <c r="AL24" s="438">
        <v>0</v>
      </c>
      <c r="AM24" s="445">
        <v>0</v>
      </c>
      <c r="AN24" s="445">
        <v>0</v>
      </c>
      <c r="AO24" s="445">
        <v>0</v>
      </c>
      <c r="AP24" s="445">
        <v>0</v>
      </c>
      <c r="AQ24" s="445">
        <v>0</v>
      </c>
      <c r="AR24" s="572">
        <v>0</v>
      </c>
      <c r="AS24" s="471">
        <f t="shared" si="35"/>
        <v>73242</v>
      </c>
    </row>
    <row r="25" spans="1:45"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8">
        <v>0</v>
      </c>
      <c r="AK25" s="439">
        <v>0</v>
      </c>
      <c r="AL25" s="438">
        <f>1329+2611</f>
        <v>3940</v>
      </c>
      <c r="AM25" s="445">
        <f>203+369</f>
        <v>572</v>
      </c>
      <c r="AN25" s="445">
        <v>0</v>
      </c>
      <c r="AO25" s="445">
        <v>0</v>
      </c>
      <c r="AP25" s="445">
        <v>-149</v>
      </c>
      <c r="AQ25" s="445">
        <v>0</v>
      </c>
      <c r="AR25" s="572">
        <v>0</v>
      </c>
      <c r="AS25" s="471">
        <f t="shared" si="35"/>
        <v>33675</v>
      </c>
    </row>
    <row r="26" spans="1:45"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9">
        <v>0</v>
      </c>
      <c r="AK26" s="439">
        <v>0</v>
      </c>
      <c r="AL26" s="439">
        <v>0</v>
      </c>
      <c r="AM26" s="445"/>
      <c r="AN26" s="445">
        <v>0</v>
      </c>
      <c r="AO26" s="445">
        <v>0</v>
      </c>
      <c r="AP26" s="445">
        <v>1723</v>
      </c>
      <c r="AQ26" s="445">
        <v>0</v>
      </c>
      <c r="AR26" s="572">
        <v>0</v>
      </c>
      <c r="AS26" s="471">
        <f t="shared" si="35"/>
        <v>2637</v>
      </c>
    </row>
    <row r="27" spans="1:45"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70">
        <v>0</v>
      </c>
      <c r="AK27" s="446">
        <v>2163</v>
      </c>
      <c r="AL27" s="447">
        <v>0</v>
      </c>
      <c r="AM27" s="446">
        <v>0</v>
      </c>
      <c r="AN27" s="446">
        <v>0</v>
      </c>
      <c r="AO27" s="446">
        <v>0</v>
      </c>
      <c r="AP27" s="446">
        <v>0</v>
      </c>
      <c r="AQ27" s="446">
        <v>0</v>
      </c>
      <c r="AR27" s="575">
        <v>0</v>
      </c>
      <c r="AS27" s="473">
        <f t="shared" si="35"/>
        <v>18958</v>
      </c>
    </row>
    <row r="28" spans="1:45"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903</v>
      </c>
      <c r="AG28" s="438">
        <f t="shared" si="36"/>
        <v>0</v>
      </c>
      <c r="AH28" s="439">
        <f t="shared" ref="AH28" si="43">SUM(AH23:AH27)</f>
        <v>950</v>
      </c>
      <c r="AI28" s="445">
        <f>SUM(AI23:AI27)</f>
        <v>0</v>
      </c>
      <c r="AJ28" s="758">
        <f t="shared" ref="AJ28" si="44">SUM(AJ23:AJ27)</f>
        <v>0</v>
      </c>
      <c r="AK28" s="439">
        <f>SUM(AK23:AK27)</f>
        <v>2163</v>
      </c>
      <c r="AL28" s="438">
        <f>SUM(AL23:AL27)</f>
        <v>3940</v>
      </c>
      <c r="AM28" s="445">
        <f t="shared" ref="AM28:AN28" si="45">SUM(AM23:AM27)</f>
        <v>572</v>
      </c>
      <c r="AN28" s="445">
        <f t="shared" si="45"/>
        <v>-33</v>
      </c>
      <c r="AO28" s="445">
        <f>SUM(AO23:AO27)</f>
        <v>0</v>
      </c>
      <c r="AP28" s="445">
        <f t="shared" ref="AP28" si="46">SUM(AP23:AP27)</f>
        <v>1574</v>
      </c>
      <c r="AQ28" s="445">
        <f>SUM(AQ23:AQ27)</f>
        <v>-449</v>
      </c>
      <c r="AR28" s="572">
        <f>SUM(AR23:AR27)</f>
        <v>0</v>
      </c>
      <c r="AS28" s="471">
        <f t="shared" si="35"/>
        <v>262817</v>
      </c>
    </row>
    <row r="29" spans="1:45"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8"/>
      <c r="AK29" s="439"/>
      <c r="AL29" s="438"/>
      <c r="AM29" s="445"/>
      <c r="AN29" s="445"/>
      <c r="AO29" s="445"/>
      <c r="AP29" s="445"/>
      <c r="AQ29" s="445"/>
      <c r="AR29" s="572"/>
      <c r="AS29" s="471"/>
    </row>
    <row r="30" spans="1:45"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8"/>
      <c r="AK30" s="439"/>
      <c r="AL30" s="438"/>
      <c r="AM30" s="445"/>
      <c r="AN30" s="445"/>
      <c r="AO30" s="445"/>
      <c r="AP30" s="445"/>
      <c r="AQ30" s="445"/>
      <c r="AR30" s="572"/>
      <c r="AS30" s="471">
        <f>SUM(AC30:AR30)</f>
        <v>0</v>
      </c>
    </row>
    <row r="31" spans="1:45"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567</v>
      </c>
      <c r="AG31" s="438"/>
      <c r="AH31" s="439">
        <v>527</v>
      </c>
      <c r="AI31" s="445">
        <v>0</v>
      </c>
      <c r="AJ31" s="758">
        <v>0</v>
      </c>
      <c r="AK31" s="439">
        <v>0</v>
      </c>
      <c r="AL31" s="438">
        <v>0</v>
      </c>
      <c r="AM31" s="445">
        <v>0</v>
      </c>
      <c r="AN31" s="445">
        <v>-105</v>
      </c>
      <c r="AO31" s="445">
        <v>0</v>
      </c>
      <c r="AP31" s="445">
        <v>0</v>
      </c>
      <c r="AQ31" s="445">
        <v>0</v>
      </c>
      <c r="AR31" s="572">
        <v>0</v>
      </c>
      <c r="AS31" s="471">
        <f>SUM(AC31:AR31)</f>
        <v>24742</v>
      </c>
    </row>
    <row r="32" spans="1:45"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8">
        <v>0</v>
      </c>
      <c r="AK32" s="439">
        <v>0</v>
      </c>
      <c r="AL32" s="438">
        <v>-5231</v>
      </c>
      <c r="AM32" s="445">
        <v>707</v>
      </c>
      <c r="AN32" s="445">
        <v>0</v>
      </c>
      <c r="AO32" s="445">
        <v>0</v>
      </c>
      <c r="AP32" s="445">
        <v>0</v>
      </c>
      <c r="AQ32" s="445">
        <v>0</v>
      </c>
      <c r="AR32" s="572">
        <v>0</v>
      </c>
      <c r="AS32" s="471">
        <f>SUM(AC32:AR32)</f>
        <v>28916</v>
      </c>
    </row>
    <row r="33" spans="1:45"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70">
        <v>0</v>
      </c>
      <c r="AK33" s="446">
        <v>1395</v>
      </c>
      <c r="AL33" s="447">
        <v>0</v>
      </c>
      <c r="AM33" s="446">
        <v>0</v>
      </c>
      <c r="AN33" s="446">
        <v>0</v>
      </c>
      <c r="AO33" s="446">
        <v>0</v>
      </c>
      <c r="AP33" s="446">
        <v>0</v>
      </c>
      <c r="AQ33" s="446">
        <v>0</v>
      </c>
      <c r="AR33" s="575">
        <v>0</v>
      </c>
      <c r="AS33" s="473">
        <f>SUM(AC33:AR33)</f>
        <v>29967</v>
      </c>
    </row>
    <row r="34" spans="1:45"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567</v>
      </c>
      <c r="AG34" s="438">
        <f t="shared" si="47"/>
        <v>0</v>
      </c>
      <c r="AH34" s="439">
        <f t="shared" si="47"/>
        <v>527</v>
      </c>
      <c r="AI34" s="445">
        <f>SUM(AI31:AI33)</f>
        <v>0</v>
      </c>
      <c r="AJ34" s="758">
        <f t="shared" si="47"/>
        <v>0</v>
      </c>
      <c r="AK34" s="439">
        <f t="shared" si="47"/>
        <v>1395</v>
      </c>
      <c r="AL34" s="438">
        <f t="shared" si="47"/>
        <v>-5231</v>
      </c>
      <c r="AM34" s="445">
        <f t="shared" si="47"/>
        <v>707</v>
      </c>
      <c r="AN34" s="445">
        <f t="shared" si="47"/>
        <v>-105</v>
      </c>
      <c r="AO34" s="445">
        <f>SUM(AO31:AO33)</f>
        <v>0</v>
      </c>
      <c r="AP34" s="445">
        <f>SUM(AP31:AP33)</f>
        <v>0</v>
      </c>
      <c r="AQ34" s="445">
        <f t="shared" si="47"/>
        <v>0</v>
      </c>
      <c r="AR34" s="572">
        <f t="shared" si="47"/>
        <v>0</v>
      </c>
      <c r="AS34" s="471">
        <f>SUM(AC34:AR34)</f>
        <v>83625</v>
      </c>
    </row>
    <row r="35" spans="1:45"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8"/>
      <c r="AK35" s="439"/>
      <c r="AL35" s="438"/>
      <c r="AM35" s="445"/>
      <c r="AN35" s="445"/>
      <c r="AO35" s="445"/>
      <c r="AP35" s="445"/>
      <c r="AQ35" s="445"/>
      <c r="AR35" s="572"/>
      <c r="AS35" s="471"/>
    </row>
    <row r="36" spans="1:45"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81">
        <f>ROUND(X$14*'CF '!$E$12,0)+6</f>
        <v>16</v>
      </c>
      <c r="Y36" s="438">
        <v>0</v>
      </c>
      <c r="Z36" s="445">
        <v>0</v>
      </c>
      <c r="AA36" s="439">
        <v>0</v>
      </c>
      <c r="AB36" s="445">
        <v>0</v>
      </c>
      <c r="AC36" s="437">
        <f>SUM(E36:AB36)</f>
        <v>11984</v>
      </c>
      <c r="AD36" s="438">
        <f>ROUND(AD$14*'CF '!$E$12,0)</f>
        <v>15</v>
      </c>
      <c r="AE36" s="439">
        <v>0</v>
      </c>
      <c r="AF36" s="438">
        <v>173</v>
      </c>
      <c r="AG36" s="438">
        <v>0</v>
      </c>
      <c r="AH36" s="439">
        <v>264</v>
      </c>
      <c r="AI36" s="445">
        <v>0</v>
      </c>
      <c r="AJ36" s="758">
        <v>0</v>
      </c>
      <c r="AK36" s="439">
        <v>0</v>
      </c>
      <c r="AL36" s="438">
        <v>0</v>
      </c>
      <c r="AM36" s="445">
        <v>0</v>
      </c>
      <c r="AN36" s="445">
        <v>0</v>
      </c>
      <c r="AO36" s="445">
        <v>49</v>
      </c>
      <c r="AP36" s="445">
        <v>0</v>
      </c>
      <c r="AQ36" s="445">
        <v>0</v>
      </c>
      <c r="AR36" s="572">
        <v>0</v>
      </c>
      <c r="AS36" s="471">
        <f>SUM(AC36:AR36)</f>
        <v>12485</v>
      </c>
    </row>
    <row r="37" spans="1:45"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26</v>
      </c>
      <c r="AI37" s="445">
        <v>0</v>
      </c>
      <c r="AJ37" s="758">
        <v>0</v>
      </c>
      <c r="AK37" s="439">
        <v>0</v>
      </c>
      <c r="AL37" s="438">
        <v>0</v>
      </c>
      <c r="AM37" s="445">
        <v>0</v>
      </c>
      <c r="AN37" s="445">
        <v>0</v>
      </c>
      <c r="AO37" s="445">
        <v>0</v>
      </c>
      <c r="AP37" s="445">
        <v>0</v>
      </c>
      <c r="AQ37" s="445">
        <v>0</v>
      </c>
      <c r="AR37" s="572">
        <v>0</v>
      </c>
      <c r="AS37" s="471">
        <f>SUM(AC37:AR37)</f>
        <v>1591</v>
      </c>
    </row>
    <row r="38" spans="1:45"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8">
        <v>0</v>
      </c>
      <c r="AK38" s="439">
        <v>0</v>
      </c>
      <c r="AL38" s="438">
        <v>0</v>
      </c>
      <c r="AM38" s="445">
        <v>0</v>
      </c>
      <c r="AN38" s="445">
        <v>0</v>
      </c>
      <c r="AO38" s="445">
        <v>0</v>
      </c>
      <c r="AP38" s="445">
        <v>0</v>
      </c>
      <c r="AQ38" s="445">
        <v>0</v>
      </c>
      <c r="AR38" s="572">
        <v>0</v>
      </c>
      <c r="AS38" s="471">
        <f>SUM(AC38:AR38)</f>
        <v>59</v>
      </c>
    </row>
    <row r="39" spans="1:45"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8"/>
      <c r="AK39" s="439"/>
      <c r="AL39" s="438"/>
      <c r="AM39" s="445"/>
      <c r="AN39" s="445"/>
      <c r="AO39" s="445"/>
      <c r="AP39" s="445"/>
      <c r="AQ39" s="445"/>
      <c r="AR39" s="572"/>
      <c r="AS39" s="471"/>
    </row>
    <row r="40" spans="1:45"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8"/>
      <c r="AK40" s="439"/>
      <c r="AL40" s="438"/>
      <c r="AM40" s="445"/>
      <c r="AN40" s="445"/>
      <c r="AO40" s="445"/>
      <c r="AP40" s="445"/>
      <c r="AQ40" s="445"/>
      <c r="AR40" s="572"/>
      <c r="AS40" s="471"/>
    </row>
    <row r="41" spans="1:45" s="427" customFormat="1">
      <c r="A41" s="425">
        <v>20</v>
      </c>
      <c r="C41" s="427" t="s">
        <v>197</v>
      </c>
      <c r="E41" s="434">
        <f>'ROO INPUT'!F41</f>
        <v>52643</v>
      </c>
      <c r="F41" s="438">
        <v>0</v>
      </c>
      <c r="G41" s="438">
        <v>0</v>
      </c>
      <c r="H41" s="438">
        <v>0</v>
      </c>
      <c r="I41" s="438">
        <v>0</v>
      </c>
      <c r="J41" s="438">
        <v>0</v>
      </c>
      <c r="K41" s="438">
        <v>0</v>
      </c>
      <c r="L41" s="438">
        <v>0</v>
      </c>
      <c r="M41" s="438">
        <v>-18</v>
      </c>
      <c r="N41" s="438">
        <v>25</v>
      </c>
      <c r="O41" s="438">
        <v>0</v>
      </c>
      <c r="P41" s="438">
        <v>-57</v>
      </c>
      <c r="Q41" s="438">
        <v>0</v>
      </c>
      <c r="R41" s="438">
        <v>0</v>
      </c>
      <c r="S41" s="438">
        <f>ROUND(S$14*'CF '!$E$14,0)</f>
        <v>5</v>
      </c>
      <c r="T41" s="438">
        <f>ROUND(T$14*'CF '!$E$14,0)</f>
        <v>-60</v>
      </c>
      <c r="U41" s="438">
        <v>-1186</v>
      </c>
      <c r="V41" s="445">
        <v>-248</v>
      </c>
      <c r="W41" s="439">
        <v>0</v>
      </c>
      <c r="X41" s="438">
        <f>ROUND(X$14*'CF '!$E$14,0)</f>
        <v>5</v>
      </c>
      <c r="Y41" s="438">
        <v>0</v>
      </c>
      <c r="Z41" s="445">
        <v>0</v>
      </c>
      <c r="AA41" s="439">
        <v>0</v>
      </c>
      <c r="AB41" s="445">
        <v>0</v>
      </c>
      <c r="AC41" s="437">
        <f>SUM(E41:AB41)</f>
        <v>51109</v>
      </c>
      <c r="AD41" s="438">
        <f>ROUND(AD$14*'CF '!$E$14,0)</f>
        <v>8</v>
      </c>
      <c r="AE41" s="439">
        <v>0</v>
      </c>
      <c r="AF41" s="438">
        <v>778</v>
      </c>
      <c r="AG41" s="438">
        <v>330</v>
      </c>
      <c r="AH41" s="439">
        <v>870</v>
      </c>
      <c r="AI41" s="445">
        <v>34</v>
      </c>
      <c r="AJ41" s="759">
        <v>1896</v>
      </c>
      <c r="AK41" s="439">
        <v>0</v>
      </c>
      <c r="AL41" s="439">
        <v>0</v>
      </c>
      <c r="AM41" s="445">
        <v>0</v>
      </c>
      <c r="AN41" s="445">
        <v>-13</v>
      </c>
      <c r="AO41" s="445">
        <v>0</v>
      </c>
      <c r="AP41" s="445">
        <v>0</v>
      </c>
      <c r="AQ41" s="445">
        <v>0</v>
      </c>
      <c r="AR41" s="572">
        <v>0</v>
      </c>
      <c r="AS41" s="471">
        <f t="shared" ref="AS41:AS46" si="48">SUM(AC41:AR41)</f>
        <v>55012</v>
      </c>
    </row>
    <row r="42" spans="1:45"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8">
        <v>0</v>
      </c>
      <c r="AK42" s="439">
        <v>0</v>
      </c>
      <c r="AL42" s="438">
        <f>-290-559</f>
        <v>-849</v>
      </c>
      <c r="AM42" s="445">
        <f>2107+1326</f>
        <v>3433</v>
      </c>
      <c r="AN42" s="445">
        <v>0</v>
      </c>
      <c r="AO42" s="445">
        <v>0</v>
      </c>
      <c r="AP42" s="445">
        <v>0</v>
      </c>
      <c r="AQ42" s="445">
        <v>0</v>
      </c>
      <c r="AR42" s="572">
        <v>0</v>
      </c>
      <c r="AS42" s="471">
        <f t="shared" si="48"/>
        <v>33763</v>
      </c>
    </row>
    <row r="43" spans="1:45" s="427" customFormat="1">
      <c r="A43" s="425">
        <v>22</v>
      </c>
      <c r="C43" s="427" t="s">
        <v>712</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9">
        <v>0</v>
      </c>
      <c r="AK43" s="439">
        <v>0</v>
      </c>
      <c r="AL43" s="439">
        <v>0</v>
      </c>
      <c r="AM43" s="439">
        <v>0</v>
      </c>
      <c r="AN43" s="439">
        <v>0</v>
      </c>
      <c r="AO43" s="439">
        <v>1302</v>
      </c>
      <c r="AP43" s="439">
        <v>0</v>
      </c>
      <c r="AQ43" s="439">
        <v>0</v>
      </c>
      <c r="AR43" s="566">
        <v>0</v>
      </c>
      <c r="AS43" s="471">
        <f t="shared" si="48"/>
        <v>-697</v>
      </c>
    </row>
    <row r="44" spans="1:45"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70">
        <v>0</v>
      </c>
      <c r="AK44" s="447">
        <v>0</v>
      </c>
      <c r="AL44" s="447">
        <v>0</v>
      </c>
      <c r="AM44" s="446">
        <v>0</v>
      </c>
      <c r="AN44" s="446">
        <v>0</v>
      </c>
      <c r="AO44" s="446">
        <v>0</v>
      </c>
      <c r="AP44" s="446">
        <v>0</v>
      </c>
      <c r="AQ44" s="446">
        <v>0</v>
      </c>
      <c r="AR44" s="575">
        <v>0</v>
      </c>
      <c r="AS44" s="473">
        <f t="shared" si="48"/>
        <v>0</v>
      </c>
    </row>
    <row r="45" spans="1:45"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25</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-248</v>
      </c>
      <c r="W45" s="446">
        <f>SUM(W41:W44)</f>
        <v>0</v>
      </c>
      <c r="X45" s="447">
        <f>SUM(X41:X44)</f>
        <v>5</v>
      </c>
      <c r="Y45" s="447">
        <f>SUM(Y41:Y44)</f>
        <v>0</v>
      </c>
      <c r="Z45" s="446">
        <f t="shared" ref="Z45" si="54">SUM(Z41:Z44)</f>
        <v>0</v>
      </c>
      <c r="AA45" s="446">
        <f t="shared" ref="AA45" si="55">SUM(AA41:AA44)</f>
        <v>0</v>
      </c>
      <c r="AB45" s="446">
        <f>SUM(AB41:AB44)</f>
        <v>1708</v>
      </c>
      <c r="AC45" s="238">
        <f t="shared" si="49"/>
        <v>80289</v>
      </c>
      <c r="AD45" s="446">
        <f t="shared" si="49"/>
        <v>8</v>
      </c>
      <c r="AE45" s="447">
        <f>SUM(AE41:AE44)</f>
        <v>0</v>
      </c>
      <c r="AF45" s="447">
        <f>SUM(AF41:AF44)</f>
        <v>778</v>
      </c>
      <c r="AG45" s="447">
        <f t="shared" si="49"/>
        <v>330</v>
      </c>
      <c r="AH45" s="447">
        <f t="shared" si="49"/>
        <v>870</v>
      </c>
      <c r="AI45" s="446">
        <f>SUM(AI41:AI44)</f>
        <v>34</v>
      </c>
      <c r="AJ45" s="770">
        <f t="shared" ref="AJ45" si="56">SUM(AJ41:AJ44)</f>
        <v>1896</v>
      </c>
      <c r="AK45" s="447">
        <f>SUM(AK41:AK44)</f>
        <v>0</v>
      </c>
      <c r="AL45" s="447">
        <f>SUM(AL41:AL44)</f>
        <v>-849</v>
      </c>
      <c r="AM45" s="446">
        <f t="shared" ref="AM45:AN45" si="57">SUM(AM41:AM44)</f>
        <v>3433</v>
      </c>
      <c r="AN45" s="446">
        <f t="shared" si="57"/>
        <v>-13</v>
      </c>
      <c r="AO45" s="446">
        <f>SUM(AO41:AO44)</f>
        <v>1302</v>
      </c>
      <c r="AP45" s="446">
        <f t="shared" ref="AP45" si="58">SUM(AP41:AP44)</f>
        <v>0</v>
      </c>
      <c r="AQ45" s="446">
        <f>SUM(AQ41:AQ44)</f>
        <v>0</v>
      </c>
      <c r="AR45" s="575">
        <f>SUM(AR41:AR44)</f>
        <v>0</v>
      </c>
      <c r="AS45" s="473">
        <f t="shared" si="48"/>
        <v>88078</v>
      </c>
    </row>
    <row r="46" spans="1:45"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25</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-248</v>
      </c>
      <c r="W46" s="446">
        <f>W45+W38+W37+W36+W34+W28</f>
        <v>0</v>
      </c>
      <c r="X46" s="447">
        <f t="shared" si="59"/>
        <v>-9996</v>
      </c>
      <c r="Y46" s="447">
        <f t="shared" si="59"/>
        <v>-7</v>
      </c>
      <c r="Z46" s="446">
        <f t="shared" si="59"/>
        <v>1287</v>
      </c>
      <c r="AA46" s="446">
        <f t="shared" si="59"/>
        <v>-49677</v>
      </c>
      <c r="AB46" s="446">
        <f t="shared" si="59"/>
        <v>3670</v>
      </c>
      <c r="AC46" s="238">
        <f t="shared" si="59"/>
        <v>434906</v>
      </c>
      <c r="AD46" s="446">
        <f t="shared" si="59"/>
        <v>175</v>
      </c>
      <c r="AE46" s="447">
        <f t="shared" si="59"/>
        <v>-2214</v>
      </c>
      <c r="AF46" s="447">
        <f t="shared" si="59"/>
        <v>2436</v>
      </c>
      <c r="AG46" s="447">
        <f t="shared" si="59"/>
        <v>330</v>
      </c>
      <c r="AH46" s="447">
        <f t="shared" si="59"/>
        <v>2637</v>
      </c>
      <c r="AI46" s="446">
        <f>AI45+AI38+AI37+AI36+AI34+AI28</f>
        <v>34</v>
      </c>
      <c r="AJ46" s="770">
        <f t="shared" si="59"/>
        <v>1896</v>
      </c>
      <c r="AK46" s="447">
        <f t="shared" si="59"/>
        <v>3558</v>
      </c>
      <c r="AL46" s="447">
        <f t="shared" si="59"/>
        <v>-2140</v>
      </c>
      <c r="AM46" s="446">
        <f t="shared" si="59"/>
        <v>4712</v>
      </c>
      <c r="AN46" s="446">
        <f t="shared" si="59"/>
        <v>-151</v>
      </c>
      <c r="AO46" s="446">
        <f>AO45+AO38+AO37+AO36+AO34+AO28</f>
        <v>1351</v>
      </c>
      <c r="AP46" s="446">
        <f>AP45+AP38+AP37+AP36+AP34+AP28</f>
        <v>1574</v>
      </c>
      <c r="AQ46" s="446">
        <f t="shared" si="59"/>
        <v>-449</v>
      </c>
      <c r="AR46" s="575">
        <f t="shared" si="59"/>
        <v>0</v>
      </c>
      <c r="AS46" s="473">
        <f t="shared" si="48"/>
        <v>448655</v>
      </c>
    </row>
    <row r="47" spans="1:45"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8"/>
      <c r="AK47" s="438"/>
      <c r="AL47" s="438"/>
      <c r="AM47" s="445"/>
      <c r="AN47" s="445"/>
      <c r="AO47" s="445"/>
      <c r="AP47" s="445"/>
      <c r="AQ47" s="445"/>
      <c r="AR47" s="572"/>
      <c r="AS47" s="471"/>
    </row>
    <row r="48" spans="1:45"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-25</v>
      </c>
      <c r="O48" s="438">
        <f t="shared" si="60"/>
        <v>0</v>
      </c>
      <c r="P48" s="438">
        <f t="shared" si="60"/>
        <v>57</v>
      </c>
      <c r="Q48" s="438">
        <f t="shared" si="60"/>
        <v>-26</v>
      </c>
      <c r="R48" s="438">
        <f t="shared" si="60"/>
        <v>62</v>
      </c>
      <c r="S48" s="438">
        <f t="shared" si="60"/>
        <v>514</v>
      </c>
      <c r="T48" s="439">
        <f t="shared" si="60"/>
        <v>1396</v>
      </c>
      <c r="U48" s="439">
        <f t="shared" si="60"/>
        <v>1566</v>
      </c>
      <c r="V48" s="445">
        <f>V19-V46</f>
        <v>248</v>
      </c>
      <c r="W48" s="439">
        <f>W19-W46</f>
        <v>0</v>
      </c>
      <c r="X48" s="438">
        <f t="shared" si="60"/>
        <v>12635</v>
      </c>
      <c r="Y48" s="438">
        <f t="shared" si="60"/>
        <v>7</v>
      </c>
      <c r="Z48" s="445">
        <f t="shared" si="60"/>
        <v>-1287</v>
      </c>
      <c r="AA48" s="439">
        <f t="shared" si="60"/>
        <v>-25731</v>
      </c>
      <c r="AB48" s="445">
        <f t="shared" si="60"/>
        <v>-3670</v>
      </c>
      <c r="AC48" s="437">
        <f t="shared" si="60"/>
        <v>116770</v>
      </c>
      <c r="AD48" s="439">
        <f t="shared" si="60"/>
        <v>-1257</v>
      </c>
      <c r="AE48" s="438">
        <f t="shared" si="60"/>
        <v>2214</v>
      </c>
      <c r="AF48" s="438">
        <f t="shared" si="60"/>
        <v>-2436</v>
      </c>
      <c r="AG48" s="438">
        <f t="shared" si="60"/>
        <v>-330</v>
      </c>
      <c r="AH48" s="438">
        <f t="shared" si="60"/>
        <v>-2637</v>
      </c>
      <c r="AI48" s="445">
        <f>AI19-AI46</f>
        <v>-34</v>
      </c>
      <c r="AJ48" s="758">
        <f t="shared" si="60"/>
        <v>-1896</v>
      </c>
      <c r="AK48" s="438">
        <f t="shared" si="60"/>
        <v>-3558</v>
      </c>
      <c r="AL48" s="438">
        <f t="shared" si="60"/>
        <v>2140</v>
      </c>
      <c r="AM48" s="445">
        <f t="shared" si="60"/>
        <v>-4712</v>
      </c>
      <c r="AN48" s="445">
        <f t="shared" si="60"/>
        <v>151</v>
      </c>
      <c r="AO48" s="445">
        <f>AO19-AO46</f>
        <v>-1351</v>
      </c>
      <c r="AP48" s="445">
        <f>AP19-AP46</f>
        <v>-1574</v>
      </c>
      <c r="AQ48" s="445">
        <f t="shared" si="60"/>
        <v>449</v>
      </c>
      <c r="AR48" s="572">
        <f t="shared" si="60"/>
        <v>0</v>
      </c>
      <c r="AS48" s="471">
        <f>SUM(AC48:AR48)</f>
        <v>101939</v>
      </c>
    </row>
    <row r="49" spans="1:45"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8"/>
      <c r="AK49" s="438"/>
      <c r="AL49" s="438"/>
      <c r="AM49" s="445"/>
      <c r="AN49" s="445"/>
      <c r="AO49" s="445"/>
      <c r="AP49" s="445"/>
      <c r="AQ49" s="445"/>
      <c r="AR49" s="572"/>
      <c r="AS49" s="471"/>
    </row>
    <row r="50" spans="1:45"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8"/>
      <c r="AK50" s="438"/>
      <c r="AL50" s="438"/>
      <c r="AM50" s="445"/>
      <c r="AN50" s="445"/>
      <c r="AO50" s="445"/>
      <c r="AP50" s="445"/>
      <c r="AQ50" s="445"/>
      <c r="AR50" s="572"/>
      <c r="AS50" s="471"/>
    </row>
    <row r="51" spans="1:45"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-5.25</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52.08</v>
      </c>
      <c r="W51" s="439">
        <f>'DEBT CALC'!E62</f>
        <v>1140</v>
      </c>
      <c r="X51" s="439">
        <v>528</v>
      </c>
      <c r="Y51" s="439">
        <f t="shared" si="61"/>
        <v>1.47</v>
      </c>
      <c r="Z51" s="439">
        <f t="shared" si="61"/>
        <v>-270.27</v>
      </c>
      <c r="AA51" s="439">
        <f t="shared" si="61"/>
        <v>-5403.51</v>
      </c>
      <c r="AB51" s="439">
        <f t="shared" si="61"/>
        <v>-770.69999999999993</v>
      </c>
      <c r="AC51" s="437">
        <f>SUM(E51:AB51)</f>
        <v>11056.400000000003</v>
      </c>
      <c r="AD51" s="439">
        <f t="shared" si="61"/>
        <v>-263.96999999999997</v>
      </c>
      <c r="AE51" s="439">
        <f>AE48*0.21</f>
        <v>464.94</v>
      </c>
      <c r="AF51" s="439">
        <f t="shared" si="61"/>
        <v>-511.56</v>
      </c>
      <c r="AG51" s="439">
        <f t="shared" si="61"/>
        <v>-69.3</v>
      </c>
      <c r="AH51" s="439">
        <f t="shared" si="61"/>
        <v>-553.77</v>
      </c>
      <c r="AI51" s="439">
        <f>AI48*0.21</f>
        <v>-7.14</v>
      </c>
      <c r="AJ51" s="759">
        <f>AJ48*0.21</f>
        <v>-398.15999999999997</v>
      </c>
      <c r="AK51" s="439">
        <f t="shared" si="61"/>
        <v>-747.18</v>
      </c>
      <c r="AL51" s="439">
        <f t="shared" si="61"/>
        <v>449.4</v>
      </c>
      <c r="AM51" s="439">
        <f t="shared" si="61"/>
        <v>-989.52</v>
      </c>
      <c r="AN51" s="439">
        <f t="shared" si="61"/>
        <v>31.709999999999997</v>
      </c>
      <c r="AO51" s="439">
        <f>AO48*0.21</f>
        <v>-283.70999999999998</v>
      </c>
      <c r="AP51" s="439">
        <f>AP48*0.21</f>
        <v>-330.53999999999996</v>
      </c>
      <c r="AQ51" s="439">
        <f t="shared" si="61"/>
        <v>94.289999999999992</v>
      </c>
      <c r="AR51" s="566">
        <f t="shared" si="61"/>
        <v>0</v>
      </c>
      <c r="AS51" s="471">
        <f>SUM(AC51:AR51)</f>
        <v>7941.890000000004</v>
      </c>
    </row>
    <row r="52" spans="1:45" s="430" customFormat="1">
      <c r="A52" s="451">
        <v>28</v>
      </c>
      <c r="B52" s="430" t="s">
        <v>265</v>
      </c>
      <c r="E52" s="434">
        <f>'ROO INPUT'!F52</f>
        <v>0</v>
      </c>
      <c r="F52" s="439">
        <f>(F80*'RR SUMMARY'!$O$12)*-0.21</f>
        <v>10.502561999999999</v>
      </c>
      <c r="G52" s="439">
        <f>(G80*'RR SUMMARY'!$O$12)*-0.21</f>
        <v>3.7779E-2</v>
      </c>
      <c r="H52" s="439">
        <f>(H80*'RR SUMMARY'!$O$12)*-0.21</f>
        <v>0</v>
      </c>
      <c r="I52" s="439">
        <f>(I80*'RR SUMMARY'!$O$12)*-0.21</f>
        <v>103.438902</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-334.03112400000003</v>
      </c>
      <c r="AC52" s="437">
        <f>SUM(E52:AB52)</f>
        <v>-220.05188100000004</v>
      </c>
      <c r="AD52" s="439">
        <f>(AD80*'RR SUMMARY'!$O$12)*-0.21</f>
        <v>0</v>
      </c>
      <c r="AE52" s="439">
        <f>(AE80*'RR SUMMARY'!$O$12)*-0.21</f>
        <v>3.1464509999999999</v>
      </c>
      <c r="AF52" s="439">
        <f>(AF80*'RR SUMMARY'!$O$12)*-0.21</f>
        <v>0</v>
      </c>
      <c r="AG52" s="439">
        <f>(AG80*'RR SUMMARY'!$O$12)*-0.21</f>
        <v>0</v>
      </c>
      <c r="AH52" s="439">
        <f>(AH80*'RR SUMMARY'!$O$12)*-0.21</f>
        <v>0</v>
      </c>
      <c r="AI52" s="439">
        <f>(AI80*'RR SUMMARY'!$O$12)*-0.21</f>
        <v>0</v>
      </c>
      <c r="AJ52" s="759">
        <f>(AJ80*'RR SUMMARY'!$O$12)*-0.21</f>
        <v>0</v>
      </c>
      <c r="AK52" s="439">
        <f>(AK80*'RR SUMMARY'!$O$12)*-0.21</f>
        <v>0</v>
      </c>
      <c r="AL52" s="439">
        <f>(AL80*'RR SUMMARY'!$O$12)*-0.21</f>
        <v>0</v>
      </c>
      <c r="AM52" s="439">
        <f>(AM80*'RR SUMMARY'!$O$12)*-0.21</f>
        <v>-438.46847099999997</v>
      </c>
      <c r="AN52" s="439">
        <f>(AN80*'RR SUMMARY'!$O$12)*-0.21</f>
        <v>0</v>
      </c>
      <c r="AO52" s="439">
        <f>(AO80*'RR SUMMARY'!$O$12)*-0.21</f>
        <v>0</v>
      </c>
      <c r="AP52" s="439">
        <f>(AP80*'RR SUMMARY'!$O$12)*-0.21</f>
        <v>49.587635999999996</v>
      </c>
      <c r="AQ52" s="439">
        <f>(AQ80*'RR SUMMARY'!$O$12)*-0.21</f>
        <v>0</v>
      </c>
      <c r="AR52" s="566">
        <f>(AR80*'RR SUMMARY'!$O$12)*-0.21</f>
        <v>0</v>
      </c>
      <c r="AS52" s="471">
        <f>SUM(AC52:AR52)</f>
        <v>-605.78626499999996</v>
      </c>
    </row>
    <row r="53" spans="1:45"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9">
        <v>0</v>
      </c>
      <c r="AK53" s="439">
        <v>0</v>
      </c>
      <c r="AL53" s="439">
        <v>0</v>
      </c>
      <c r="AM53" s="445">
        <v>0</v>
      </c>
      <c r="AN53" s="445">
        <v>0</v>
      </c>
      <c r="AO53" s="445">
        <v>0</v>
      </c>
      <c r="AP53" s="445">
        <v>0</v>
      </c>
      <c r="AQ53" s="445">
        <v>0</v>
      </c>
      <c r="AR53" s="572">
        <v>0</v>
      </c>
      <c r="AS53" s="471">
        <f>SUM(AC53:AR53)</f>
        <v>1014</v>
      </c>
    </row>
    <row r="54" spans="1:45"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70">
        <v>0</v>
      </c>
      <c r="AK54" s="447">
        <v>0</v>
      </c>
      <c r="AL54" s="447">
        <v>0</v>
      </c>
      <c r="AM54" s="446">
        <v>0</v>
      </c>
      <c r="AN54" s="446">
        <v>0</v>
      </c>
      <c r="AO54" s="446">
        <v>0</v>
      </c>
      <c r="AP54" s="446">
        <v>0</v>
      </c>
      <c r="AQ54" s="446">
        <v>0</v>
      </c>
      <c r="AR54" s="575">
        <v>0</v>
      </c>
      <c r="AS54" s="473">
        <f>SUM(AC54:AR54)</f>
        <v>-317</v>
      </c>
    </row>
    <row r="55" spans="1:45" ht="6.75" customHeight="1">
      <c r="V55" s="445"/>
      <c r="Z55" s="445"/>
      <c r="AB55" s="445"/>
      <c r="AI55" s="445"/>
      <c r="AM55" s="445"/>
      <c r="AN55" s="445"/>
      <c r="AO55" s="445"/>
      <c r="AP55" s="445"/>
      <c r="AQ55" s="445"/>
      <c r="AR55" s="572"/>
      <c r="AS55" s="471"/>
    </row>
    <row r="56" spans="1:45" s="426" customFormat="1" ht="12.75" thickBot="1">
      <c r="A56" s="428">
        <v>31</v>
      </c>
      <c r="B56" s="426" t="s">
        <v>212</v>
      </c>
      <c r="E56" s="458">
        <f t="shared" ref="E56:AH56" si="62">E48-SUM(E51:E54)</f>
        <v>117595</v>
      </c>
      <c r="F56" s="459">
        <f t="shared" si="62"/>
        <v>-10.502561999999999</v>
      </c>
      <c r="G56" s="459">
        <f t="shared" si="62"/>
        <v>-27.687778999999999</v>
      </c>
      <c r="H56" s="459">
        <f t="shared" si="62"/>
        <v>0</v>
      </c>
      <c r="I56" s="459">
        <f t="shared" ref="I56" si="63">I48-SUM(I51:I54)</f>
        <v>-103.438902</v>
      </c>
      <c r="J56" s="459">
        <f t="shared" si="62"/>
        <v>-70.31</v>
      </c>
      <c r="K56" s="459">
        <f t="shared" ref="K56" si="64">K48-SUM(K51:K54)</f>
        <v>426.6</v>
      </c>
      <c r="L56" s="459">
        <f t="shared" si="62"/>
        <v>-556.95000000000005</v>
      </c>
      <c r="M56" s="459">
        <f t="shared" si="62"/>
        <v>14.22</v>
      </c>
      <c r="N56" s="459">
        <f t="shared" si="62"/>
        <v>-19.75</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195.92000000000002</v>
      </c>
      <c r="W56" s="599">
        <f>W48-SUM(W51:W54)</f>
        <v>-1140</v>
      </c>
      <c r="X56" s="459">
        <f t="shared" si="66"/>
        <v>9982</v>
      </c>
      <c r="Y56" s="459">
        <f t="shared" si="66"/>
        <v>5.53</v>
      </c>
      <c r="Z56" s="599">
        <f t="shared" si="66"/>
        <v>-1016.73</v>
      </c>
      <c r="AA56" s="458">
        <f t="shared" si="66"/>
        <v>-20327.489999999998</v>
      </c>
      <c r="AB56" s="458">
        <f>AB48-SUM(AB51:AB54)</f>
        <v>-2565.2688760000001</v>
      </c>
      <c r="AC56" s="369">
        <f t="shared" si="62"/>
        <v>105236.651881</v>
      </c>
      <c r="AD56" s="599">
        <f t="shared" ref="AD56" si="68">AD48-SUM(AD51:AD54)</f>
        <v>-993.03</v>
      </c>
      <c r="AE56" s="459">
        <f t="shared" ref="AE56" si="69">AE48-SUM(AE51:AE54)</f>
        <v>1745.9135489999999</v>
      </c>
      <c r="AF56" s="459">
        <f>AF48-SUM(AF51:AF54)</f>
        <v>-1924.44</v>
      </c>
      <c r="AG56" s="459">
        <f t="shared" si="62"/>
        <v>-260.7</v>
      </c>
      <c r="AH56" s="459">
        <f t="shared" si="62"/>
        <v>-2083.23</v>
      </c>
      <c r="AI56" s="599">
        <f t="shared" ref="AI56" si="70">AI48-SUM(AI51:AI54)</f>
        <v>-26.86</v>
      </c>
      <c r="AJ56" s="771">
        <f t="shared" ref="AJ56" si="71">AJ48-SUM(AJ51:AJ54)</f>
        <v>-1497.8400000000001</v>
      </c>
      <c r="AK56" s="459">
        <f t="shared" ref="AK56:AO56" si="72">AK48-SUM(AK51:AK54)</f>
        <v>-2810.82</v>
      </c>
      <c r="AL56" s="459">
        <f t="shared" si="72"/>
        <v>1690.6</v>
      </c>
      <c r="AM56" s="458">
        <f t="shared" si="72"/>
        <v>-3284.0115290000003</v>
      </c>
      <c r="AN56" s="599">
        <f t="shared" si="72"/>
        <v>119.29</v>
      </c>
      <c r="AO56" s="599">
        <f t="shared" si="72"/>
        <v>-1067.29</v>
      </c>
      <c r="AP56" s="599">
        <f t="shared" ref="AP56" si="73">AP48-SUM(AP51:AP54)</f>
        <v>-1293.047636</v>
      </c>
      <c r="AQ56" s="599">
        <f>AQ48-SUM(AQ51:AQ54)</f>
        <v>354.71000000000004</v>
      </c>
      <c r="AR56" s="577">
        <f>AR48-SUM(AR51:AR54)</f>
        <v>0</v>
      </c>
      <c r="AS56" s="475">
        <f>SUM(AC56:AR56)</f>
        <v>93905.896265000018</v>
      </c>
    </row>
    <row r="57" spans="1:45" ht="6" customHeight="1" thickTop="1">
      <c r="A57" s="428"/>
      <c r="V57" s="445"/>
      <c r="Z57" s="445"/>
      <c r="AB57" s="445"/>
      <c r="AI57" s="445"/>
      <c r="AM57" s="445"/>
      <c r="AN57" s="445"/>
      <c r="AO57" s="445"/>
      <c r="AP57" s="445"/>
      <c r="AQ57" s="445"/>
      <c r="AR57" s="572"/>
      <c r="AS57" s="471"/>
    </row>
    <row r="58" spans="1:45">
      <c r="A58" s="428"/>
      <c r="B58" s="412" t="s">
        <v>213</v>
      </c>
      <c r="V58" s="445"/>
      <c r="Z58" s="445"/>
      <c r="AB58" s="445"/>
      <c r="AI58" s="445"/>
      <c r="AM58" s="445"/>
      <c r="AN58" s="445"/>
      <c r="AO58" s="445"/>
      <c r="AP58" s="445"/>
      <c r="AQ58" s="445"/>
      <c r="AR58" s="572"/>
      <c r="AS58" s="471"/>
    </row>
    <row r="59" spans="1:45">
      <c r="B59" s="412" t="s">
        <v>214</v>
      </c>
      <c r="V59" s="445"/>
      <c r="Z59" s="445"/>
      <c r="AB59" s="445"/>
      <c r="AI59" s="445"/>
      <c r="AM59" s="445"/>
      <c r="AN59" s="445"/>
      <c r="AO59" s="445"/>
      <c r="AP59" s="445"/>
      <c r="AQ59" s="445"/>
      <c r="AR59" s="572"/>
      <c r="AS59" s="471"/>
    </row>
    <row r="60" spans="1:45"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72">
        <v>0</v>
      </c>
      <c r="AK60" s="426">
        <v>0</v>
      </c>
      <c r="AL60" s="426">
        <v>0</v>
      </c>
      <c r="AM60" s="452">
        <v>10536</v>
      </c>
      <c r="AN60" s="435">
        <v>0</v>
      </c>
      <c r="AO60" s="435">
        <v>0</v>
      </c>
      <c r="AP60" s="435">
        <v>0</v>
      </c>
      <c r="AQ60" s="435">
        <v>0</v>
      </c>
      <c r="AR60" s="578">
        <v>0</v>
      </c>
      <c r="AS60" s="472">
        <f t="shared" ref="AS60:AS65" si="74">SUM(AC60:AR60)</f>
        <v>203796</v>
      </c>
    </row>
    <row r="61" spans="1:45"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8">
        <v>0</v>
      </c>
      <c r="AK61" s="438">
        <v>0</v>
      </c>
      <c r="AL61" s="438">
        <v>0</v>
      </c>
      <c r="AM61" s="445">
        <v>9185</v>
      </c>
      <c r="AN61" s="445">
        <v>0</v>
      </c>
      <c r="AO61" s="445">
        <v>0</v>
      </c>
      <c r="AP61" s="445">
        <v>-9188</v>
      </c>
      <c r="AQ61" s="445">
        <v>0</v>
      </c>
      <c r="AR61" s="572">
        <v>0</v>
      </c>
      <c r="AS61" s="471">
        <f t="shared" si="74"/>
        <v>921064</v>
      </c>
    </row>
    <row r="62" spans="1:45"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8">
        <v>0</v>
      </c>
      <c r="AK62" s="438">
        <v>0</v>
      </c>
      <c r="AL62" s="438">
        <v>0</v>
      </c>
      <c r="AM62" s="445">
        <v>17935</v>
      </c>
      <c r="AN62" s="445">
        <v>0</v>
      </c>
      <c r="AO62" s="445">
        <v>0</v>
      </c>
      <c r="AP62" s="445">
        <v>0</v>
      </c>
      <c r="AQ62" s="445">
        <v>0</v>
      </c>
      <c r="AR62" s="572">
        <v>0</v>
      </c>
      <c r="AS62" s="471">
        <f t="shared" si="74"/>
        <v>513071</v>
      </c>
    </row>
    <row r="63" spans="1:45"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8">
        <v>0</v>
      </c>
      <c r="AK63" s="438">
        <v>0</v>
      </c>
      <c r="AL63" s="438">
        <v>0</v>
      </c>
      <c r="AM63" s="445">
        <v>28623</v>
      </c>
      <c r="AN63" s="445">
        <v>0</v>
      </c>
      <c r="AO63" s="445">
        <v>0</v>
      </c>
      <c r="AP63" s="445">
        <v>0</v>
      </c>
      <c r="AQ63" s="445">
        <v>0</v>
      </c>
      <c r="AR63" s="572">
        <v>0</v>
      </c>
      <c r="AS63" s="471">
        <f t="shared" si="74"/>
        <v>1158106</v>
      </c>
    </row>
    <row r="64" spans="1:45"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70">
        <v>0</v>
      </c>
      <c r="AK64" s="447">
        <v>0</v>
      </c>
      <c r="AL64" s="447">
        <v>0</v>
      </c>
      <c r="AM64" s="446">
        <v>18593</v>
      </c>
      <c r="AN64" s="446">
        <v>0</v>
      </c>
      <c r="AO64" s="446">
        <v>0</v>
      </c>
      <c r="AP64" s="446">
        <v>0</v>
      </c>
      <c r="AQ64" s="446">
        <v>0</v>
      </c>
      <c r="AR64" s="575">
        <v>0</v>
      </c>
      <c r="AS64" s="473">
        <f t="shared" si="74"/>
        <v>289889</v>
      </c>
    </row>
    <row r="65" spans="1:45"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8">
        <f t="shared" ref="AJ65" si="82">SUM(AJ60:AJ64)</f>
        <v>0</v>
      </c>
      <c r="AK65" s="438">
        <f>SUM(AK60:AK64)</f>
        <v>0</v>
      </c>
      <c r="AL65" s="438">
        <f>SUM(AL60:AL64)</f>
        <v>0</v>
      </c>
      <c r="AM65" s="445">
        <f t="shared" ref="AM65:AN65" si="83">SUM(AM60:AM64)</f>
        <v>84872</v>
      </c>
      <c r="AN65" s="445">
        <f t="shared" si="83"/>
        <v>0</v>
      </c>
      <c r="AO65" s="445">
        <f>SUM(AO60:AO64)</f>
        <v>0</v>
      </c>
      <c r="AP65" s="445">
        <f t="shared" ref="AP65" si="84">SUM(AP60:AP64)</f>
        <v>-9188</v>
      </c>
      <c r="AQ65" s="445">
        <f>SUM(AQ60:AQ64)</f>
        <v>0</v>
      </c>
      <c r="AR65" s="572">
        <f>SUM(AR60:AR64)</f>
        <v>0</v>
      </c>
      <c r="AS65" s="471">
        <f t="shared" si="74"/>
        <v>3085926</v>
      </c>
    </row>
    <row r="66" spans="1:45"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8"/>
      <c r="AK66" s="438"/>
      <c r="AL66" s="438"/>
      <c r="AM66" s="445"/>
      <c r="AN66" s="445"/>
      <c r="AO66" s="445"/>
      <c r="AP66" s="445"/>
      <c r="AQ66" s="445"/>
      <c r="AR66" s="572"/>
      <c r="AS66" s="471"/>
    </row>
    <row r="67" spans="1:45"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8">
        <v>0</v>
      </c>
      <c r="AK67" s="438">
        <v>0</v>
      </c>
      <c r="AL67" s="438">
        <v>0</v>
      </c>
      <c r="AM67" s="445">
        <v>-780</v>
      </c>
      <c r="AN67" s="445">
        <v>0</v>
      </c>
      <c r="AO67" s="449">
        <v>0</v>
      </c>
      <c r="AP67" s="449">
        <v>0</v>
      </c>
      <c r="AQ67" s="449">
        <v>0</v>
      </c>
      <c r="AR67" s="579">
        <v>0</v>
      </c>
      <c r="AS67" s="471">
        <f t="shared" ref="AS67:AS72" si="85">SUM(AC67:AR67)</f>
        <v>-48130</v>
      </c>
    </row>
    <row r="68" spans="1:45"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8">
        <v>0</v>
      </c>
      <c r="AK68" s="438">
        <v>0</v>
      </c>
      <c r="AL68" s="438">
        <v>0</v>
      </c>
      <c r="AM68" s="445">
        <v>-66</v>
      </c>
      <c r="AN68" s="445">
        <v>0</v>
      </c>
      <c r="AO68" s="449">
        <v>0</v>
      </c>
      <c r="AP68" s="449">
        <v>0</v>
      </c>
      <c r="AQ68" s="449">
        <v>0</v>
      </c>
      <c r="AR68" s="579">
        <v>0</v>
      </c>
      <c r="AS68" s="472">
        <f t="shared" si="85"/>
        <v>-372350</v>
      </c>
    </row>
    <row r="69" spans="1:45"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8">
        <v>0</v>
      </c>
      <c r="AK69" s="438">
        <v>0</v>
      </c>
      <c r="AL69" s="438">
        <v>0</v>
      </c>
      <c r="AM69" s="445">
        <v>-92</v>
      </c>
      <c r="AN69" s="445">
        <v>0</v>
      </c>
      <c r="AO69" s="449">
        <v>0</v>
      </c>
      <c r="AP69" s="449">
        <v>0</v>
      </c>
      <c r="AQ69" s="449">
        <v>0</v>
      </c>
      <c r="AR69" s="579">
        <v>0</v>
      </c>
      <c r="AS69" s="471">
        <f t="shared" si="85"/>
        <v>-142967</v>
      </c>
    </row>
    <row r="70" spans="1:45"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8">
        <v>0</v>
      </c>
      <c r="AK70" s="438">
        <v>0</v>
      </c>
      <c r="AL70" s="438">
        <v>0</v>
      </c>
      <c r="AM70" s="445">
        <v>-264</v>
      </c>
      <c r="AN70" s="445">
        <v>0</v>
      </c>
      <c r="AO70" s="449">
        <v>0</v>
      </c>
      <c r="AP70" s="449">
        <v>0</v>
      </c>
      <c r="AQ70" s="449">
        <v>0</v>
      </c>
      <c r="AR70" s="579">
        <v>0</v>
      </c>
      <c r="AS70" s="471">
        <f t="shared" si="85"/>
        <v>-348205</v>
      </c>
    </row>
    <row r="71" spans="1:45"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8">
        <v>0</v>
      </c>
      <c r="AK71" s="438">
        <v>0</v>
      </c>
      <c r="AL71" s="438">
        <v>0</v>
      </c>
      <c r="AM71" s="445">
        <v>-374</v>
      </c>
      <c r="AN71" s="446">
        <v>0</v>
      </c>
      <c r="AO71" s="447">
        <v>0</v>
      </c>
      <c r="AP71" s="447">
        <v>0</v>
      </c>
      <c r="AQ71" s="447">
        <v>0</v>
      </c>
      <c r="AR71" s="574">
        <v>0</v>
      </c>
      <c r="AS71" s="473">
        <f t="shared" si="85"/>
        <v>-97715</v>
      </c>
    </row>
    <row r="72" spans="1:45" s="427" customFormat="1">
      <c r="A72" s="428">
        <v>43</v>
      </c>
      <c r="B72" s="427" t="s">
        <v>269</v>
      </c>
      <c r="E72" s="456">
        <f t="shared" ref="E72:AG72" si="86">SUM(E67:E71)</f>
        <v>-978732</v>
      </c>
      <c r="F72" s="456">
        <f t="shared" si="86"/>
        <v>0</v>
      </c>
      <c r="G72" s="456">
        <f t="shared" si="86"/>
        <v>0</v>
      </c>
      <c r="H72" s="456">
        <f t="shared" si="86"/>
        <v>0</v>
      </c>
      <c r="I72" s="456">
        <f t="shared" ref="I72" si="87">SUM(I67:I71)</f>
        <v>1415</v>
      </c>
      <c r="J72" s="456">
        <f t="shared" si="86"/>
        <v>0</v>
      </c>
      <c r="K72" s="456">
        <f t="shared" ref="K72" si="88">SUM(K67:K71)</f>
        <v>0</v>
      </c>
      <c r="L72" s="456">
        <f t="shared" si="86"/>
        <v>0</v>
      </c>
      <c r="M72" s="456">
        <f t="shared" si="86"/>
        <v>0</v>
      </c>
      <c r="N72" s="456">
        <f t="shared" si="86"/>
        <v>0</v>
      </c>
      <c r="O72" s="456">
        <f t="shared" si="86"/>
        <v>0</v>
      </c>
      <c r="P72" s="456">
        <f t="shared" si="86"/>
        <v>0</v>
      </c>
      <c r="Q72" s="456">
        <f t="shared" si="86"/>
        <v>0</v>
      </c>
      <c r="R72" s="456">
        <f t="shared" si="86"/>
        <v>0</v>
      </c>
      <c r="S72" s="456">
        <f t="shared" si="86"/>
        <v>0</v>
      </c>
      <c r="T72" s="456">
        <f t="shared" ref="T72" si="89">SUM(T67:T71)</f>
        <v>0</v>
      </c>
      <c r="U72" s="456">
        <f>SUM(U67:U71)</f>
        <v>0</v>
      </c>
      <c r="V72" s="453">
        <f t="shared" ref="V72" si="90">SUM(V67:V71)</f>
        <v>0</v>
      </c>
      <c r="W72" s="456">
        <f>SUM(W67:W71)</f>
        <v>0</v>
      </c>
      <c r="X72" s="456">
        <f>SUM(X67:X71)</f>
        <v>0</v>
      </c>
      <c r="Y72" s="456">
        <f>SUM(Y67:Y71)</f>
        <v>0</v>
      </c>
      <c r="Z72" s="453">
        <f t="shared" ref="Z72" si="91">SUM(Z67:Z71)</f>
        <v>0</v>
      </c>
      <c r="AA72" s="456">
        <f t="shared" ref="AA72" si="92">SUM(AA67:AA71)</f>
        <v>0</v>
      </c>
      <c r="AB72" s="456">
        <f>SUM(AB67:AB71)</f>
        <v>-30474</v>
      </c>
      <c r="AC72" s="323">
        <f t="shared" si="86"/>
        <v>-1007791</v>
      </c>
      <c r="AD72" s="456">
        <f t="shared" si="86"/>
        <v>0</v>
      </c>
      <c r="AE72" s="456">
        <f>SUM(AE67:AE71)</f>
        <v>0</v>
      </c>
      <c r="AF72" s="456">
        <f>SUM(AF67:AF71)</f>
        <v>0</v>
      </c>
      <c r="AG72" s="456">
        <f t="shared" si="86"/>
        <v>0</v>
      </c>
      <c r="AH72" s="456">
        <f t="shared" ref="AH72" si="93">SUM(AH67:AH71)</f>
        <v>0</v>
      </c>
      <c r="AI72" s="453">
        <f>SUM(AI67:AI71)</f>
        <v>0</v>
      </c>
      <c r="AJ72" s="773">
        <f t="shared" ref="AJ72" si="94">SUM(AJ67:AJ71)</f>
        <v>0</v>
      </c>
      <c r="AK72" s="456">
        <f>SUM(AK67:AK71)</f>
        <v>0</v>
      </c>
      <c r="AL72" s="456">
        <f>SUM(AL67:AL71)</f>
        <v>0</v>
      </c>
      <c r="AM72" s="456">
        <f t="shared" ref="AM72:AN72" si="95">SUM(AM67:AM71)</f>
        <v>-1576</v>
      </c>
      <c r="AN72" s="453">
        <f t="shared" si="95"/>
        <v>0</v>
      </c>
      <c r="AO72" s="453">
        <f>SUM(AO67:AO71)</f>
        <v>0</v>
      </c>
      <c r="AP72" s="453">
        <f t="shared" ref="AP72" si="96">SUM(AP67:AP71)</f>
        <v>0</v>
      </c>
      <c r="AQ72" s="453">
        <f>SUM(AQ67:AQ71)</f>
        <v>0</v>
      </c>
      <c r="AR72" s="580">
        <f>SUM(AR67:AR71)</f>
        <v>0</v>
      </c>
      <c r="AS72" s="471">
        <f t="shared" si="85"/>
        <v>-1009367</v>
      </c>
    </row>
    <row r="73" spans="1:45" s="427" customFormat="1">
      <c r="A73" s="428">
        <v>44</v>
      </c>
      <c r="B73" s="427" t="s">
        <v>270</v>
      </c>
      <c r="E73" s="456">
        <f>E65+E72</f>
        <v>1962509</v>
      </c>
      <c r="F73" s="456">
        <f t="shared" ref="F73:Y73" si="97">F65+F72</f>
        <v>0</v>
      </c>
      <c r="G73" s="456">
        <f t="shared" si="97"/>
        <v>0</v>
      </c>
      <c r="H73" s="456">
        <f t="shared" si="97"/>
        <v>0</v>
      </c>
      <c r="I73" s="456">
        <f t="shared" ref="I73" si="98">I65+I72</f>
        <v>-21049</v>
      </c>
      <c r="J73" s="456">
        <f t="shared" si="97"/>
        <v>0</v>
      </c>
      <c r="K73" s="456">
        <f t="shared" si="97"/>
        <v>0</v>
      </c>
      <c r="L73" s="456">
        <f t="shared" si="97"/>
        <v>0</v>
      </c>
      <c r="M73" s="456">
        <f t="shared" si="97"/>
        <v>0</v>
      </c>
      <c r="N73" s="456">
        <f t="shared" si="97"/>
        <v>0</v>
      </c>
      <c r="O73" s="456">
        <f t="shared" si="97"/>
        <v>0</v>
      </c>
      <c r="P73" s="456">
        <f t="shared" si="97"/>
        <v>0</v>
      </c>
      <c r="Q73" s="456">
        <f t="shared" si="97"/>
        <v>0</v>
      </c>
      <c r="R73" s="456">
        <f t="shared" si="97"/>
        <v>0</v>
      </c>
      <c r="S73" s="456">
        <f t="shared" si="97"/>
        <v>0</v>
      </c>
      <c r="T73" s="456">
        <f t="shared" ref="T73" si="99">T65+T72</f>
        <v>0</v>
      </c>
      <c r="U73" s="456">
        <f>U65+U72</f>
        <v>0</v>
      </c>
      <c r="V73" s="445">
        <f>V65+V72</f>
        <v>0</v>
      </c>
      <c r="W73" s="456">
        <f>W65+W72</f>
        <v>0</v>
      </c>
      <c r="X73" s="456">
        <f t="shared" si="97"/>
        <v>0</v>
      </c>
      <c r="Y73" s="456">
        <f t="shared" si="97"/>
        <v>0</v>
      </c>
      <c r="Z73" s="445">
        <f t="shared" ref="Z73" si="100">Z65+Z72</f>
        <v>0</v>
      </c>
      <c r="AA73" s="456">
        <f t="shared" ref="AA73:AF73" si="101">AA65+AA72</f>
        <v>0</v>
      </c>
      <c r="AB73" s="456">
        <f t="shared" si="101"/>
        <v>60991</v>
      </c>
      <c r="AC73" s="324">
        <f t="shared" si="101"/>
        <v>2002451</v>
      </c>
      <c r="AD73" s="456">
        <f>AD65-AD72</f>
        <v>0</v>
      </c>
      <c r="AE73" s="456">
        <f>AE65+AE72</f>
        <v>0</v>
      </c>
      <c r="AF73" s="456">
        <f t="shared" si="101"/>
        <v>0</v>
      </c>
      <c r="AG73" s="456">
        <f t="shared" ref="AG73:AH73" si="102">AG65+AG72</f>
        <v>0</v>
      </c>
      <c r="AH73" s="456">
        <f t="shared" si="102"/>
        <v>0</v>
      </c>
      <c r="AI73" s="445">
        <f>AI65+AI72</f>
        <v>0</v>
      </c>
      <c r="AJ73" s="773">
        <f t="shared" ref="AJ73" si="103">AJ65+AJ72</f>
        <v>0</v>
      </c>
      <c r="AK73" s="456">
        <f>AK65+AK72</f>
        <v>0</v>
      </c>
      <c r="AL73" s="456">
        <f>AL65+AL72</f>
        <v>0</v>
      </c>
      <c r="AM73" s="456">
        <f>AM65+AM72</f>
        <v>83296</v>
      </c>
      <c r="AN73" s="445">
        <f>AN65-AN72</f>
        <v>0</v>
      </c>
      <c r="AO73" s="445">
        <f>AO65+AO72</f>
        <v>0</v>
      </c>
      <c r="AP73" s="445">
        <f>AP65+AP72</f>
        <v>-9188</v>
      </c>
      <c r="AQ73" s="445">
        <f t="shared" ref="AQ73:AS73" si="104">AQ65+AQ72</f>
        <v>0</v>
      </c>
      <c r="AR73" s="572">
        <f t="shared" si="104"/>
        <v>0</v>
      </c>
      <c r="AS73" s="474">
        <f t="shared" si="104"/>
        <v>2076559</v>
      </c>
    </row>
    <row r="74" spans="1:45"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4"/>
      <c r="AK74" s="445"/>
      <c r="AL74" s="445"/>
      <c r="AM74" s="445"/>
      <c r="AN74" s="445"/>
      <c r="AO74" s="445"/>
      <c r="AP74" s="445"/>
      <c r="AQ74" s="445"/>
      <c r="AR74" s="572"/>
      <c r="AS74" s="471"/>
    </row>
    <row r="75" spans="1:45"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70">
        <v>0</v>
      </c>
      <c r="AK75" s="447">
        <v>0</v>
      </c>
      <c r="AL75" s="447">
        <v>0</v>
      </c>
      <c r="AM75" s="446">
        <v>-2053</v>
      </c>
      <c r="AN75" s="446">
        <v>0</v>
      </c>
      <c r="AO75" s="446">
        <v>0</v>
      </c>
      <c r="AP75" s="446">
        <v>0</v>
      </c>
      <c r="AQ75" s="446">
        <v>0</v>
      </c>
      <c r="AR75" s="575">
        <v>0</v>
      </c>
      <c r="AS75" s="473">
        <f>SUM(AC75:AR75)</f>
        <v>-412153</v>
      </c>
    </row>
    <row r="76" spans="1:45" s="427" customFormat="1">
      <c r="A76" s="429">
        <v>46</v>
      </c>
      <c r="C76" s="427" t="s">
        <v>557</v>
      </c>
      <c r="E76" s="445">
        <f>SUM(E73:E75)</f>
        <v>1551571</v>
      </c>
      <c r="F76" s="445">
        <f t="shared" ref="F76:AG76" si="105">SUM(F73:F75)</f>
        <v>-1946</v>
      </c>
      <c r="G76" s="445">
        <f t="shared" si="105"/>
        <v>0</v>
      </c>
      <c r="H76" s="445">
        <f t="shared" si="105"/>
        <v>0</v>
      </c>
      <c r="I76" s="445">
        <f t="shared" ref="I76" si="106">SUM(I73:I75)</f>
        <v>-19166</v>
      </c>
      <c r="J76" s="445">
        <f t="shared" si="105"/>
        <v>0</v>
      </c>
      <c r="K76" s="445">
        <f t="shared" ref="K76" si="107">SUM(K73:K75)</f>
        <v>0</v>
      </c>
      <c r="L76" s="445">
        <f t="shared" si="105"/>
        <v>0</v>
      </c>
      <c r="M76" s="445">
        <f t="shared" si="105"/>
        <v>0</v>
      </c>
      <c r="N76" s="445">
        <f t="shared" si="105"/>
        <v>0</v>
      </c>
      <c r="O76" s="445">
        <f t="shared" si="105"/>
        <v>0</v>
      </c>
      <c r="P76" s="445">
        <f t="shared" si="105"/>
        <v>0</v>
      </c>
      <c r="Q76" s="445">
        <f t="shared" si="105"/>
        <v>0</v>
      </c>
      <c r="R76" s="445">
        <f t="shared" si="105"/>
        <v>0</v>
      </c>
      <c r="S76" s="445">
        <f t="shared" si="105"/>
        <v>0</v>
      </c>
      <c r="T76" s="445">
        <f t="shared" ref="T76" si="108">SUM(T73:T75)</f>
        <v>0</v>
      </c>
      <c r="U76" s="445">
        <f>SUM(U73:U75)</f>
        <v>0</v>
      </c>
      <c r="V76" s="445">
        <f t="shared" ref="V76" si="109">SUM(V73:V75)</f>
        <v>0</v>
      </c>
      <c r="W76" s="445">
        <f>SUM(W73:W75)</f>
        <v>0</v>
      </c>
      <c r="X76" s="445">
        <f>SUM(X73:X75)</f>
        <v>0</v>
      </c>
      <c r="Y76" s="445">
        <f>SUM(Y73:Y75)</f>
        <v>0</v>
      </c>
      <c r="Z76" s="445">
        <f t="shared" ref="Z76" si="110">SUM(Z73:Z75)</f>
        <v>0</v>
      </c>
      <c r="AA76" s="445">
        <f t="shared" ref="AA76" si="111">SUM(AA73:AA75)</f>
        <v>0</v>
      </c>
      <c r="AB76" s="445">
        <f>SUM(AB73:AB75)</f>
        <v>61892</v>
      </c>
      <c r="AC76" s="340">
        <f t="shared" si="105"/>
        <v>1592351</v>
      </c>
      <c r="AD76" s="445">
        <f t="shared" si="105"/>
        <v>0</v>
      </c>
      <c r="AE76" s="445">
        <f>SUM(AE73:AE75)</f>
        <v>0</v>
      </c>
      <c r="AF76" s="445">
        <f>SUM(AF73:AF75)</f>
        <v>0</v>
      </c>
      <c r="AG76" s="445">
        <f t="shared" si="105"/>
        <v>0</v>
      </c>
      <c r="AH76" s="445">
        <f t="shared" ref="AH76" si="112">SUM(AH73:AH75)</f>
        <v>0</v>
      </c>
      <c r="AI76" s="445">
        <f>SUM(AI73:AI75)</f>
        <v>0</v>
      </c>
      <c r="AJ76" s="774">
        <f t="shared" ref="AJ76" si="113">SUM(AJ73:AJ75)</f>
        <v>0</v>
      </c>
      <c r="AK76" s="445">
        <f>SUM(AK73:AK75)</f>
        <v>0</v>
      </c>
      <c r="AL76" s="445">
        <f>SUM(AL73:AL75)</f>
        <v>0</v>
      </c>
      <c r="AM76" s="445">
        <f t="shared" ref="AM76:AS76" si="114">SUM(AM73:AM75)</f>
        <v>81243</v>
      </c>
      <c r="AN76" s="445">
        <f t="shared" si="114"/>
        <v>0</v>
      </c>
      <c r="AO76" s="445">
        <f>SUM(AO73:AO75)</f>
        <v>0</v>
      </c>
      <c r="AP76" s="445">
        <f t="shared" ref="AP76" si="115">SUM(AP73:AP75)</f>
        <v>-9188</v>
      </c>
      <c r="AQ76" s="445">
        <f>SUM(AQ73:AQ75)</f>
        <v>0</v>
      </c>
      <c r="AR76" s="572">
        <f>SUM(AR73:AR75)</f>
        <v>0</v>
      </c>
      <c r="AS76" s="471">
        <f t="shared" si="114"/>
        <v>1664406</v>
      </c>
    </row>
    <row r="77" spans="1:45" s="427" customFormat="1">
      <c r="A77" s="428">
        <v>47</v>
      </c>
      <c r="B77" s="427" t="s">
        <v>627</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8">
        <v>0</v>
      </c>
      <c r="AK77" s="438">
        <v>0</v>
      </c>
      <c r="AL77" s="438">
        <v>0</v>
      </c>
      <c r="AM77" s="445">
        <v>0</v>
      </c>
      <c r="AN77" s="445">
        <v>0</v>
      </c>
      <c r="AO77" s="445">
        <v>0</v>
      </c>
      <c r="AP77" s="445">
        <v>0</v>
      </c>
      <c r="AQ77" s="445">
        <v>0</v>
      </c>
      <c r="AR77" s="572">
        <v>0</v>
      </c>
      <c r="AS77" s="471">
        <f>SUM(AC77:AR77)</f>
        <v>-2722</v>
      </c>
    </row>
    <row r="78" spans="1:45"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70">
        <v>0</v>
      </c>
      <c r="AK78" s="447">
        <v>0</v>
      </c>
      <c r="AL78" s="447">
        <v>0</v>
      </c>
      <c r="AM78" s="446">
        <v>0</v>
      </c>
      <c r="AN78" s="446">
        <v>0</v>
      </c>
      <c r="AO78" s="446">
        <v>0</v>
      </c>
      <c r="AP78" s="446">
        <v>0</v>
      </c>
      <c r="AQ78" s="446">
        <v>0</v>
      </c>
      <c r="AR78" s="575">
        <v>0</v>
      </c>
      <c r="AS78" s="473">
        <f>SUM(AC78:AR78)</f>
        <v>46614</v>
      </c>
    </row>
    <row r="79" spans="1:45"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8"/>
      <c r="AK79" s="438"/>
      <c r="AL79" s="438"/>
      <c r="AM79" s="445"/>
      <c r="AN79" s="445"/>
      <c r="AO79" s="445"/>
      <c r="AP79" s="445"/>
      <c r="AQ79" s="445"/>
      <c r="AR79" s="572"/>
      <c r="AS79" s="471"/>
    </row>
    <row r="80" spans="1:45" s="426" customFormat="1" ht="13.5" customHeight="1" thickBot="1">
      <c r="A80" s="425">
        <v>49</v>
      </c>
      <c r="B80" s="426" t="s">
        <v>222</v>
      </c>
      <c r="E80" s="599">
        <f t="shared" ref="E80:AM80" si="116">SUM(E76:E78)</f>
        <v>1596053</v>
      </c>
      <c r="F80" s="458">
        <f t="shared" si="116"/>
        <v>-1946</v>
      </c>
      <c r="G80" s="458">
        <f t="shared" si="116"/>
        <v>-7</v>
      </c>
      <c r="H80" s="458">
        <f t="shared" si="116"/>
        <v>0</v>
      </c>
      <c r="I80" s="458">
        <f t="shared" ref="I80" si="117">SUM(I76:I78)</f>
        <v>-19166</v>
      </c>
      <c r="J80" s="458">
        <f t="shared" si="116"/>
        <v>0</v>
      </c>
      <c r="K80" s="458">
        <f t="shared" si="116"/>
        <v>0</v>
      </c>
      <c r="L80" s="458">
        <f t="shared" si="116"/>
        <v>0</v>
      </c>
      <c r="M80" s="458">
        <f t="shared" si="116"/>
        <v>0</v>
      </c>
      <c r="N80" s="458">
        <f t="shared" si="116"/>
        <v>0</v>
      </c>
      <c r="O80" s="458">
        <f t="shared" si="116"/>
        <v>0</v>
      </c>
      <c r="P80" s="458">
        <f t="shared" si="116"/>
        <v>0</v>
      </c>
      <c r="Q80" s="458">
        <f t="shared" si="116"/>
        <v>0</v>
      </c>
      <c r="R80" s="458">
        <f t="shared" si="116"/>
        <v>0</v>
      </c>
      <c r="S80" s="458">
        <f t="shared" si="116"/>
        <v>0</v>
      </c>
      <c r="T80" s="458">
        <f>SUM(T76:T78)</f>
        <v>0</v>
      </c>
      <c r="U80" s="458">
        <f>SUM(U76:U78)</f>
        <v>0</v>
      </c>
      <c r="V80" s="458">
        <f>SUM(V76:V78)</f>
        <v>0</v>
      </c>
      <c r="W80" s="458">
        <f>SUM(W76:W78)</f>
        <v>0</v>
      </c>
      <c r="X80" s="458">
        <f t="shared" si="116"/>
        <v>0</v>
      </c>
      <c r="Y80" s="458">
        <f t="shared" si="116"/>
        <v>0</v>
      </c>
      <c r="Z80" s="458">
        <f t="shared" ref="Z80" si="118">SUM(Z76:Z78)</f>
        <v>0</v>
      </c>
      <c r="AA80" s="458">
        <f t="shared" ref="AA80" si="119">SUM(AA76:AA78)</f>
        <v>0</v>
      </c>
      <c r="AB80" s="599">
        <f>SUM(AB76:AB78)</f>
        <v>61892</v>
      </c>
      <c r="AC80" s="337">
        <f t="shared" si="116"/>
        <v>1636826</v>
      </c>
      <c r="AD80" s="458">
        <f t="shared" si="116"/>
        <v>0</v>
      </c>
      <c r="AE80" s="599">
        <f>SUM(AE76:AE78)</f>
        <v>-583</v>
      </c>
      <c r="AF80" s="458">
        <f>SUM(AF76:AF78)</f>
        <v>0</v>
      </c>
      <c r="AG80" s="458">
        <f t="shared" si="116"/>
        <v>0</v>
      </c>
      <c r="AH80" s="458">
        <f t="shared" ref="AH80" si="120">SUM(AH76:AH78)</f>
        <v>0</v>
      </c>
      <c r="AI80" s="458">
        <f>SUM(AI76:AI78)</f>
        <v>0</v>
      </c>
      <c r="AJ80" s="775">
        <f>SUM(AJ76:AJ78)</f>
        <v>0</v>
      </c>
      <c r="AK80" s="458">
        <f>SUM(AK76:AK78)</f>
        <v>0</v>
      </c>
      <c r="AL80" s="458">
        <f>SUM(AL76:AL78)</f>
        <v>0</v>
      </c>
      <c r="AM80" s="458">
        <f t="shared" si="116"/>
        <v>81243</v>
      </c>
      <c r="AN80" s="458">
        <f t="shared" ref="AN80:AS80" si="121">SUM(AN76:AN78)</f>
        <v>0</v>
      </c>
      <c r="AO80" s="458">
        <f>SUM(AO76:AO78)</f>
        <v>0</v>
      </c>
      <c r="AP80" s="458">
        <f t="shared" ref="AP80" si="122">SUM(AP76:AP78)</f>
        <v>-9188</v>
      </c>
      <c r="AQ80" s="458">
        <f>SUM(AQ76:AQ78)</f>
        <v>0</v>
      </c>
      <c r="AR80" s="576">
        <f>SUM(AR76:AR78)</f>
        <v>0</v>
      </c>
      <c r="AS80" s="475">
        <f t="shared" si="121"/>
        <v>1708298</v>
      </c>
    </row>
    <row r="81" spans="1:46" ht="18" customHeight="1" thickTop="1">
      <c r="A81" s="425">
        <v>50</v>
      </c>
      <c r="B81" s="412" t="s">
        <v>628</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582"/>
      <c r="AT81" s="581">
        <f>ROUND(AS56/AS80,4)</f>
        <v>5.5E-2</v>
      </c>
    </row>
    <row r="82" spans="1:46">
      <c r="A82" s="413">
        <v>51</v>
      </c>
      <c r="B82" s="412" t="s">
        <v>624</v>
      </c>
      <c r="E82" s="448">
        <f>E88</f>
        <v>3216.3613917779921</v>
      </c>
      <c r="F82" s="448">
        <f>F88</f>
        <v>-179.92846924556395</v>
      </c>
      <c r="G82" s="448">
        <f>G88</f>
        <v>35.977814366022564</v>
      </c>
      <c r="H82" s="448">
        <f>H88</f>
        <v>0</v>
      </c>
      <c r="I82" s="448">
        <f t="shared" ref="I82" si="123">I88</f>
        <v>-1772.1012546559498</v>
      </c>
      <c r="J82" s="448">
        <f>J88</f>
        <v>93.132242220656266</v>
      </c>
      <c r="K82" s="448">
        <f t="shared" ref="K82" si="124">K88</f>
        <v>-565.07203145117285</v>
      </c>
      <c r="L82" s="448">
        <f t="shared" ref="L82:S82" si="125">L88</f>
        <v>737.73292995014242</v>
      </c>
      <c r="M82" s="448">
        <f t="shared" si="125"/>
        <v>-18.835734381705763</v>
      </c>
      <c r="N82" s="448">
        <f t="shared" si="125"/>
        <v>26.160742196813558</v>
      </c>
      <c r="O82" s="448">
        <f t="shared" si="125"/>
        <v>-47.68540349798927</v>
      </c>
      <c r="P82" s="448">
        <f t="shared" si="125"/>
        <v>-59.646492208734912</v>
      </c>
      <c r="Q82" s="448">
        <f t="shared" si="125"/>
        <v>27.207171884686097</v>
      </c>
      <c r="R82" s="448">
        <f t="shared" si="125"/>
        <v>-64.87864064809763</v>
      </c>
      <c r="S82" s="448">
        <f t="shared" si="125"/>
        <v>-537.86485956648676</v>
      </c>
      <c r="T82" s="448">
        <f t="shared" ref="T82" si="126">T88</f>
        <v>-1460.8158442700692</v>
      </c>
      <c r="U82" s="448">
        <f>U88</f>
        <v>-1638.7088912084012</v>
      </c>
      <c r="V82" s="448">
        <f>V88</f>
        <v>-259.51456259239052</v>
      </c>
      <c r="W82" s="448">
        <f>W88</f>
        <v>1510.0377774363269</v>
      </c>
      <c r="X82" s="448">
        <f>X88</f>
        <v>-13222.102714359136</v>
      </c>
      <c r="Y82" s="448">
        <f>Y88</f>
        <v>-7.3250078151077966</v>
      </c>
      <c r="Z82" s="448">
        <f t="shared" ref="Z82" si="127">Z88</f>
        <v>1346.755008291962</v>
      </c>
      <c r="AA82" s="448">
        <f>AA88</f>
        <v>26925.682298648382</v>
      </c>
      <c r="AB82" s="448">
        <f>AB88</f>
        <v>9562.9729146908139</v>
      </c>
      <c r="AC82" s="448">
        <f>AC88</f>
        <v>23647.540385562999</v>
      </c>
      <c r="AD82" s="448">
        <f t="shared" ref="AD82" si="128">AD88</f>
        <v>1315.3621176557856</v>
      </c>
      <c r="AE82" s="448">
        <f>AE88</f>
        <v>-2370.6999011852472</v>
      </c>
      <c r="AF82" s="448">
        <f>AF88</f>
        <v>2549.1027196575133</v>
      </c>
      <c r="AG82" s="448">
        <f>AG88</f>
        <v>345.32179699793892</v>
      </c>
      <c r="AH82" s="448">
        <f>AH88</f>
        <v>2759.4350869198938</v>
      </c>
      <c r="AI82" s="448">
        <f>AI88</f>
        <v>35.57860938766644</v>
      </c>
      <c r="AJ82" s="776">
        <f t="shared" ref="AJ82" si="129">AJ88</f>
        <v>1984.0306882063403</v>
      </c>
      <c r="AK82" s="448">
        <f>AK88</f>
        <v>3723.1968294505054</v>
      </c>
      <c r="AL82" s="448">
        <f>AL88</f>
        <v>-2239.3595320472405</v>
      </c>
      <c r="AM82" s="448">
        <f t="shared" ref="AM82:AN82" si="130">AM88</f>
        <v>12442.559128575744</v>
      </c>
      <c r="AN82" s="448">
        <f t="shared" si="130"/>
        <v>-158.0108828687539</v>
      </c>
      <c r="AO82" s="448">
        <f>AO88</f>
        <v>1413.7265083158045</v>
      </c>
      <c r="AP82" s="448">
        <f t="shared" ref="AP82" si="131">AP88</f>
        <v>797.55166713469021</v>
      </c>
      <c r="AQ82" s="448">
        <f>AQ88</f>
        <v>-469.84692985477153</v>
      </c>
      <c r="AR82" s="583">
        <f>AR88</f>
        <v>0</v>
      </c>
      <c r="AS82" s="548">
        <f>AS88</f>
        <v>45775.488291908834</v>
      </c>
    </row>
    <row r="83" spans="1:46" ht="69.75" customHeight="1">
      <c r="B83" s="468"/>
      <c r="E83" s="412"/>
      <c r="AD83" s="698"/>
      <c r="AF83" s="698"/>
      <c r="AG83" s="698"/>
      <c r="AH83" s="698"/>
      <c r="AI83" s="438"/>
      <c r="AJ83" s="777"/>
      <c r="AK83" s="698"/>
      <c r="AL83" s="698"/>
      <c r="AO83" s="438"/>
      <c r="AP83" s="438"/>
      <c r="AQ83" s="438"/>
      <c r="AR83" s="567"/>
      <c r="AS83" s="547"/>
    </row>
    <row r="84" spans="1:46">
      <c r="E84" s="431">
        <f>'RR SUMMARY'!E14</f>
        <v>7.5200000000000003E-2</v>
      </c>
      <c r="AL84" s="814" t="s">
        <v>765</v>
      </c>
      <c r="AM84" s="815">
        <v>3000</v>
      </c>
      <c r="AS84" s="437"/>
    </row>
    <row r="85" spans="1:46">
      <c r="E85" s="431"/>
      <c r="AM85" s="478"/>
      <c r="AS85" s="437"/>
    </row>
    <row r="86" spans="1:46">
      <c r="D86" s="412" t="s">
        <v>697</v>
      </c>
      <c r="E86" s="600">
        <f>'CF '!E24</f>
        <v>0.75494799999999995</v>
      </c>
    </row>
    <row r="87" spans="1:46">
      <c r="D87" s="412" t="s">
        <v>228</v>
      </c>
      <c r="E87" s="453">
        <f t="shared" ref="E87:AS87" si="132">E80*$E$84-E56</f>
        <v>2428.1856000000116</v>
      </c>
      <c r="F87" s="453">
        <f t="shared" si="132"/>
        <v>-135.83663799999999</v>
      </c>
      <c r="G87" s="453">
        <f t="shared" si="132"/>
        <v>27.161379</v>
      </c>
      <c r="H87" s="453">
        <f t="shared" si="132"/>
        <v>0</v>
      </c>
      <c r="I87" s="453">
        <f t="shared" si="132"/>
        <v>-1337.844298</v>
      </c>
      <c r="J87" s="453">
        <f t="shared" si="132"/>
        <v>70.31</v>
      </c>
      <c r="K87" s="453">
        <f t="shared" si="132"/>
        <v>-426.6</v>
      </c>
      <c r="L87" s="453">
        <f t="shared" si="132"/>
        <v>556.95000000000005</v>
      </c>
      <c r="M87" s="453">
        <f t="shared" si="132"/>
        <v>-14.22</v>
      </c>
      <c r="N87" s="453">
        <f t="shared" si="132"/>
        <v>19.75</v>
      </c>
      <c r="O87" s="453">
        <f t="shared" si="132"/>
        <v>-36</v>
      </c>
      <c r="P87" s="453">
        <f t="shared" si="132"/>
        <v>-45.03</v>
      </c>
      <c r="Q87" s="453">
        <f t="shared" si="132"/>
        <v>20.54</v>
      </c>
      <c r="R87" s="453">
        <f t="shared" si="132"/>
        <v>-48.980000000000004</v>
      </c>
      <c r="S87" s="453">
        <f t="shared" si="132"/>
        <v>-406.06</v>
      </c>
      <c r="T87" s="453">
        <f t="shared" si="132"/>
        <v>-1102.8400000000001</v>
      </c>
      <c r="U87" s="453">
        <f t="shared" si="132"/>
        <v>-1237.1399999999999</v>
      </c>
      <c r="V87" s="453">
        <f t="shared" si="132"/>
        <v>-195.92000000000002</v>
      </c>
      <c r="W87" s="453">
        <f t="shared" si="132"/>
        <v>1140</v>
      </c>
      <c r="X87" s="453">
        <f t="shared" si="132"/>
        <v>-9982</v>
      </c>
      <c r="Y87" s="453">
        <f t="shared" si="132"/>
        <v>-5.53</v>
      </c>
      <c r="Z87" s="453">
        <f t="shared" si="132"/>
        <v>1016.73</v>
      </c>
      <c r="AA87" s="453">
        <f t="shared" si="132"/>
        <v>20327.489999999998</v>
      </c>
      <c r="AB87" s="453">
        <f t="shared" si="132"/>
        <v>7219.5472760000002</v>
      </c>
      <c r="AC87" s="453">
        <f t="shared" si="132"/>
        <v>17852.663319000014</v>
      </c>
      <c r="AD87" s="453">
        <f t="shared" si="132"/>
        <v>993.03</v>
      </c>
      <c r="AE87" s="453">
        <f t="shared" si="132"/>
        <v>-1789.7551489999998</v>
      </c>
      <c r="AF87" s="453">
        <f t="shared" si="132"/>
        <v>1924.44</v>
      </c>
      <c r="AG87" s="453">
        <f t="shared" si="132"/>
        <v>260.7</v>
      </c>
      <c r="AH87" s="453">
        <f t="shared" si="132"/>
        <v>2083.23</v>
      </c>
      <c r="AI87" s="453">
        <f t="shared" ref="AI87" si="133">AI80*$E$84-AI56</f>
        <v>26.86</v>
      </c>
      <c r="AJ87" s="778">
        <f t="shared" si="132"/>
        <v>1497.8400000000001</v>
      </c>
      <c r="AK87" s="453">
        <f t="shared" si="132"/>
        <v>2810.82</v>
      </c>
      <c r="AL87" s="453">
        <f t="shared" si="132"/>
        <v>-1690.6</v>
      </c>
      <c r="AM87" s="453">
        <f t="shared" si="132"/>
        <v>9393.4851290000006</v>
      </c>
      <c r="AN87" s="453">
        <f t="shared" si="132"/>
        <v>-119.29</v>
      </c>
      <c r="AO87" s="453">
        <f t="shared" si="132"/>
        <v>1067.29</v>
      </c>
      <c r="AP87" s="453">
        <f t="shared" si="132"/>
        <v>602.11003600000004</v>
      </c>
      <c r="AQ87" s="453">
        <f t="shared" si="132"/>
        <v>-354.71000000000004</v>
      </c>
      <c r="AR87" s="580">
        <f t="shared" si="132"/>
        <v>0</v>
      </c>
      <c r="AS87" s="454">
        <f t="shared" si="132"/>
        <v>34558.113334999987</v>
      </c>
    </row>
    <row r="88" spans="1:46" s="478" customFormat="1">
      <c r="A88" s="544"/>
      <c r="D88" s="478" t="s">
        <v>692</v>
      </c>
      <c r="E88" s="446">
        <f>E87/$E$86</f>
        <v>3216.3613917779921</v>
      </c>
      <c r="F88" s="446">
        <f>F87/$E$86</f>
        <v>-179.92846924556395</v>
      </c>
      <c r="G88" s="446">
        <f>G87/$E$86</f>
        <v>35.977814366022564</v>
      </c>
      <c r="H88" s="446">
        <f>H87/$E$86</f>
        <v>0</v>
      </c>
      <c r="I88" s="446">
        <f t="shared" ref="I88" si="134">I87/$E$86</f>
        <v>-1772.1012546559498</v>
      </c>
      <c r="J88" s="446">
        <f>J87/$E$86</f>
        <v>93.132242220656266</v>
      </c>
      <c r="K88" s="446">
        <f t="shared" ref="K88" si="135">K87/$E$86</f>
        <v>-565.07203145117285</v>
      </c>
      <c r="L88" s="446">
        <f t="shared" ref="L88:S88" si="136">L87/$E$86</f>
        <v>737.73292995014242</v>
      </c>
      <c r="M88" s="446">
        <f t="shared" si="136"/>
        <v>-18.835734381705763</v>
      </c>
      <c r="N88" s="446">
        <f t="shared" si="136"/>
        <v>26.160742196813558</v>
      </c>
      <c r="O88" s="446">
        <f t="shared" si="136"/>
        <v>-47.68540349798927</v>
      </c>
      <c r="P88" s="446">
        <f t="shared" si="136"/>
        <v>-59.646492208734912</v>
      </c>
      <c r="Q88" s="446">
        <f t="shared" si="136"/>
        <v>27.207171884686097</v>
      </c>
      <c r="R88" s="446">
        <f t="shared" si="136"/>
        <v>-64.87864064809763</v>
      </c>
      <c r="S88" s="446">
        <f t="shared" si="136"/>
        <v>-537.86485956648676</v>
      </c>
      <c r="T88" s="446">
        <f t="shared" ref="T88" si="137">T87/$E$86</f>
        <v>-1460.8158442700692</v>
      </c>
      <c r="U88" s="446">
        <f>U87/$E$86</f>
        <v>-1638.7088912084012</v>
      </c>
      <c r="V88" s="446">
        <f t="shared" ref="V88" si="138">V87/$E$86</f>
        <v>-259.51456259239052</v>
      </c>
      <c r="W88" s="446">
        <f>W87/$E$86</f>
        <v>1510.0377774363269</v>
      </c>
      <c r="X88" s="446">
        <f>X87/$E$86</f>
        <v>-13222.102714359136</v>
      </c>
      <c r="Y88" s="446">
        <f>Y87/$E$86</f>
        <v>-7.3250078151077966</v>
      </c>
      <c r="Z88" s="446">
        <f t="shared" ref="Z88" si="139">Z87/$E$86</f>
        <v>1346.755008291962</v>
      </c>
      <c r="AA88" s="446">
        <f t="shared" ref="AA88" si="140">AA87/$E$86</f>
        <v>26925.682298648382</v>
      </c>
      <c r="AB88" s="446">
        <f>AB87/$E$86</f>
        <v>9562.9729146908139</v>
      </c>
      <c r="AC88" s="446">
        <f>AC87/$E$86</f>
        <v>23647.540385562999</v>
      </c>
      <c r="AD88" s="446">
        <f t="shared" ref="AD88" si="141">AD87/$E$86</f>
        <v>1315.3621176557856</v>
      </c>
      <c r="AE88" s="446">
        <f>AE87/$E$86</f>
        <v>-2370.6999011852472</v>
      </c>
      <c r="AF88" s="446">
        <f>AF87/$E$86</f>
        <v>2549.1027196575133</v>
      </c>
      <c r="AG88" s="446">
        <f>AG87/$E$86</f>
        <v>345.32179699793892</v>
      </c>
      <c r="AH88" s="446">
        <f>AH87/$E$86</f>
        <v>2759.4350869198938</v>
      </c>
      <c r="AI88" s="446">
        <f>AI87/$E$86</f>
        <v>35.57860938766644</v>
      </c>
      <c r="AJ88" s="779">
        <f t="shared" ref="AJ88" si="142">AJ87/$E$86</f>
        <v>1984.0306882063403</v>
      </c>
      <c r="AK88" s="446">
        <f>AK87/$E$86</f>
        <v>3723.1968294505054</v>
      </c>
      <c r="AL88" s="446">
        <f>AL87/$E$86</f>
        <v>-2239.3595320472405</v>
      </c>
      <c r="AM88" s="446">
        <f t="shared" ref="AM88:AN88" si="143">AM87/$E$86</f>
        <v>12442.559128575744</v>
      </c>
      <c r="AN88" s="446">
        <f t="shared" si="143"/>
        <v>-158.0108828687539</v>
      </c>
      <c r="AO88" s="446">
        <f>AO87/$E$86</f>
        <v>1413.7265083158045</v>
      </c>
      <c r="AP88" s="446">
        <f t="shared" ref="AP88" si="144">AP87/$E$86</f>
        <v>797.55166713469021</v>
      </c>
      <c r="AQ88" s="446">
        <f>AQ87/$E$86</f>
        <v>-469.84692985477153</v>
      </c>
      <c r="AR88" s="575">
        <f>AR87/$E$86</f>
        <v>0</v>
      </c>
      <c r="AS88" s="238">
        <f>AS87/$E$86</f>
        <v>45775.488291908834</v>
      </c>
    </row>
    <row r="89" spans="1:46"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4"/>
      <c r="AK89" s="445"/>
      <c r="AL89" s="445"/>
      <c r="AM89" s="445"/>
      <c r="AN89" s="445"/>
      <c r="AO89" s="445"/>
      <c r="AP89" s="445"/>
      <c r="AQ89" s="445"/>
      <c r="AR89" s="572"/>
      <c r="AS89" s="445"/>
    </row>
    <row r="90" spans="1:46"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4"/>
      <c r="AK90" s="445"/>
      <c r="AL90" s="445"/>
      <c r="AM90" s="445"/>
      <c r="AN90" s="445"/>
      <c r="AO90" s="445"/>
      <c r="AP90" s="445"/>
      <c r="AQ90" s="445"/>
      <c r="AR90" s="572"/>
      <c r="AS90" s="445"/>
    </row>
    <row r="91" spans="1:46"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4"/>
      <c r="AK91" s="445"/>
      <c r="AL91" s="445"/>
      <c r="AM91" s="445"/>
      <c r="AN91" s="445"/>
      <c r="AO91" s="445"/>
      <c r="AP91" s="445"/>
      <c r="AQ91" s="445"/>
      <c r="AR91" s="572"/>
      <c r="AS91" s="445"/>
    </row>
    <row r="92" spans="1:46"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80"/>
      <c r="AK92" s="449"/>
      <c r="AL92" s="449"/>
      <c r="AM92" s="445"/>
      <c r="AN92" s="445"/>
      <c r="AO92" s="445"/>
      <c r="AP92" s="445"/>
      <c r="AQ92" s="445"/>
      <c r="AR92" s="572"/>
      <c r="AS92" s="450"/>
    </row>
    <row r="93" spans="1:46"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80"/>
      <c r="AK93" s="449"/>
      <c r="AL93" s="449"/>
      <c r="AM93" s="445"/>
      <c r="AN93" s="445"/>
      <c r="AO93" s="445"/>
      <c r="AP93" s="445"/>
      <c r="AQ93" s="445"/>
      <c r="AR93" s="572"/>
      <c r="AS93" s="450"/>
    </row>
    <row r="97" spans="39:39">
      <c r="AM97" s="701"/>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 xml:space="preserve">&amp;R Exh. EMA-2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13"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43" t="str">
        <f>'ADJ DETAIL-INPUT'!A2</f>
        <v xml:space="preserve">AVISTA UTILITIES  </v>
      </c>
      <c r="B1" s="843"/>
      <c r="C1" s="843"/>
      <c r="D1" s="843"/>
      <c r="E1" s="843"/>
      <c r="F1" s="843"/>
    </row>
    <row r="2" spans="1:15">
      <c r="A2" s="845" t="s">
        <v>77</v>
      </c>
      <c r="B2" s="845"/>
      <c r="C2" s="845"/>
      <c r="D2" s="845"/>
      <c r="E2" s="845"/>
      <c r="F2" s="845"/>
    </row>
    <row r="3" spans="1:15">
      <c r="A3" s="845" t="s">
        <v>78</v>
      </c>
      <c r="B3" s="845"/>
      <c r="C3" s="845"/>
      <c r="D3" s="845"/>
      <c r="E3" s="845"/>
      <c r="F3" s="845"/>
    </row>
    <row r="4" spans="1:15">
      <c r="A4" s="846" t="str">
        <f>'ADJ DETAIL-INPUT'!A4</f>
        <v>TWELVE MONTHS ENDED DECEMBER 31, 2018</v>
      </c>
      <c r="B4" s="846"/>
      <c r="C4" s="846"/>
      <c r="D4" s="846"/>
      <c r="E4" s="846"/>
      <c r="F4" s="846"/>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654</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752</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-10.502561999999999</v>
      </c>
      <c r="E11" s="99">
        <f>'ADJ DETAIL-INPUT'!F$80</f>
        <v>-1946</v>
      </c>
      <c r="F11" s="129"/>
      <c r="G11" s="182"/>
      <c r="H11" s="182" t="s">
        <v>255</v>
      </c>
      <c r="J11" s="182" t="s">
        <v>752</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-27.687778999999999</v>
      </c>
      <c r="E12" s="99">
        <f>'ADJ DETAIL-INPUT'!G$80</f>
        <v>-7</v>
      </c>
      <c r="F12" s="129"/>
      <c r="H12" s="182" t="s">
        <v>669</v>
      </c>
      <c r="J12" s="182" t="s">
        <v>752</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752</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-103.438902</v>
      </c>
      <c r="E14" s="208">
        <f>'ADJ DETAIL-INPUT'!I$80</f>
        <v>-19166</v>
      </c>
      <c r="F14" s="128"/>
      <c r="G14" s="182"/>
      <c r="H14" s="182" t="s">
        <v>255</v>
      </c>
      <c r="J14" s="182" t="s">
        <v>752</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752</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752</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669</v>
      </c>
      <c r="J17" s="182" t="s">
        <v>752</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669</v>
      </c>
      <c r="J18" s="182" t="s">
        <v>752</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-19.75</v>
      </c>
      <c r="E19" s="99">
        <f>'ADJ DETAIL-INPUT'!N$80</f>
        <v>0</v>
      </c>
      <c r="F19" s="53"/>
      <c r="G19" s="182"/>
      <c r="H19" s="182" t="s">
        <v>669</v>
      </c>
      <c r="J19" s="182" t="s">
        <v>752</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752</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669</v>
      </c>
      <c r="J21" s="182" t="s">
        <v>752</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752</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669</v>
      </c>
      <c r="J23" s="182" t="s">
        <v>752</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752</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737</v>
      </c>
      <c r="J25" s="182" t="s">
        <v>752</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669</v>
      </c>
      <c r="J26" s="182" t="s">
        <v>752</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195.92000000000002</v>
      </c>
      <c r="E27" s="99">
        <f>'ADJ DETAIL-INPUT'!V$80</f>
        <v>0</v>
      </c>
      <c r="F27" s="53"/>
      <c r="H27" s="182" t="s">
        <v>267</v>
      </c>
      <c r="J27" s="182" t="s">
        <v>752</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-1140</v>
      </c>
      <c r="E28" s="162">
        <f>'ADJ DETAIL-INPUT'!W$80</f>
        <v>0</v>
      </c>
      <c r="F28" s="152"/>
      <c r="G28" s="480"/>
      <c r="H28" s="480" t="s">
        <v>255</v>
      </c>
      <c r="I28" s="182"/>
      <c r="J28" s="182" t="s">
        <v>752</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752</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669</v>
      </c>
      <c r="J30" s="182" t="s">
        <v>752</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752</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752</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-2565.2688760000001</v>
      </c>
      <c r="E33" s="254">
        <f>'ADJ DETAIL-INPUT'!AB$80</f>
        <v>61892</v>
      </c>
      <c r="F33" s="128"/>
      <c r="G33" s="182"/>
      <c r="H33" s="182" t="s">
        <v>595</v>
      </c>
      <c r="I33" s="25"/>
      <c r="J33" s="182" t="s">
        <v>752</v>
      </c>
    </row>
    <row r="34" spans="1:11" s="107" customFormat="1" ht="3.75" customHeight="1">
      <c r="A34" s="198"/>
      <c r="B34" s="198"/>
      <c r="C34" s="148"/>
      <c r="D34" s="389"/>
      <c r="E34" s="389"/>
      <c r="F34" s="156"/>
      <c r="G34" s="25"/>
      <c r="I34" s="25"/>
    </row>
    <row r="35" spans="1:11" ht="13.5" thickBot="1">
      <c r="A35" s="40"/>
      <c r="B35" s="40"/>
      <c r="C35" s="146" t="s">
        <v>84</v>
      </c>
      <c r="D35" s="390">
        <f>SUM(D10:D34)</f>
        <v>105236.65188100001</v>
      </c>
      <c r="E35" s="390">
        <f>SUM(E10:E34)</f>
        <v>1636826</v>
      </c>
      <c r="F35" s="171">
        <f>D35/E35</f>
        <v>6.4293120882121871E-2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752</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1745.9135489999999</v>
      </c>
      <c r="E38" s="263">
        <f>'ADJ DETAIL-INPUT'!AE$80</f>
        <v>-583</v>
      </c>
      <c r="F38" s="156"/>
      <c r="H38" s="182" t="s">
        <v>669</v>
      </c>
      <c r="J38" s="182" t="s">
        <v>752</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-1924.44</v>
      </c>
      <c r="E39" s="263">
        <f>'ADJ DETAIL-INPUT'!AF$80</f>
        <v>0</v>
      </c>
      <c r="F39" s="153"/>
      <c r="H39" s="182" t="s">
        <v>267</v>
      </c>
      <c r="I39" s="480"/>
      <c r="J39" s="182" t="s">
        <v>752</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-260.7</v>
      </c>
      <c r="E40" s="263">
        <f>'ADJ DETAIL-INPUT'!AG$80</f>
        <v>0</v>
      </c>
      <c r="F40" s="156"/>
      <c r="H40" s="182" t="s">
        <v>267</v>
      </c>
      <c r="J40" s="182" t="s">
        <v>752</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-2083.23</v>
      </c>
      <c r="E41" s="263">
        <f>'ADJ DETAIL-INPUT'!AH$80</f>
        <v>0</v>
      </c>
      <c r="F41" s="156"/>
      <c r="H41" s="182" t="s">
        <v>267</v>
      </c>
      <c r="I41" s="480"/>
      <c r="J41" s="182" t="s">
        <v>752</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-26.86</v>
      </c>
      <c r="E42" s="162">
        <f>'ADJ DETAIL-INPUT'!AI$80</f>
        <v>0</v>
      </c>
      <c r="F42" s="172"/>
      <c r="H42" s="182" t="s">
        <v>669</v>
      </c>
      <c r="I42" s="146"/>
      <c r="J42" s="182" t="s">
        <v>752</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-1497.8400000000001</v>
      </c>
      <c r="E43" s="263">
        <f>'ADJ DETAIL-INPUT'!AJ$80</f>
        <v>0</v>
      </c>
      <c r="F43" s="53"/>
      <c r="H43" s="182" t="s">
        <v>669</v>
      </c>
      <c r="J43" s="182" t="s">
        <v>752</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-2810.82</v>
      </c>
      <c r="E44" s="263">
        <f>'ADJ DETAIL-INPUT'!AK$80</f>
        <v>0</v>
      </c>
      <c r="F44" s="53"/>
      <c r="G44" s="182"/>
      <c r="H44" s="182" t="s">
        <v>255</v>
      </c>
      <c r="I44" s="182"/>
      <c r="J44" s="182" t="s">
        <v>752</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752</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-3284.0115290000003</v>
      </c>
      <c r="E46" s="259">
        <f>'ADJ DETAIL-INPUT'!AM$80</f>
        <v>81243</v>
      </c>
      <c r="F46" s="409"/>
      <c r="G46" s="480"/>
      <c r="H46" s="480" t="s">
        <v>256</v>
      </c>
      <c r="I46" s="182"/>
      <c r="J46" s="182" t="s">
        <v>752</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119.29</v>
      </c>
      <c r="E47" s="259">
        <f>'ADJ DETAIL-INPUT'!AN$80</f>
        <v>0</v>
      </c>
      <c r="F47" s="409"/>
      <c r="G47" s="182"/>
      <c r="H47" s="182" t="s">
        <v>595</v>
      </c>
      <c r="J47" s="182" t="s">
        <v>752</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669</v>
      </c>
      <c r="I48" s="182"/>
      <c r="J48" s="182" t="s">
        <v>752</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-1293.047636</v>
      </c>
      <c r="E49" s="432">
        <f>'ADJ DETAIL-INPUT'!AP$80</f>
        <v>-9188</v>
      </c>
      <c r="F49" s="409"/>
      <c r="G49" s="182"/>
      <c r="H49" s="182" t="s">
        <v>255</v>
      </c>
      <c r="I49" s="182"/>
      <c r="J49" s="182" t="s">
        <v>752</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752</v>
      </c>
      <c r="K50" s="410"/>
    </row>
    <row r="51" spans="1:11" s="150" customFormat="1" hidden="1">
      <c r="A51" s="408">
        <f>'ADJ DETAIL-INPUT'!AR$10</f>
        <v>3.1499999999999968</v>
      </c>
      <c r="B51" s="407" t="str">
        <f>'ADJ DETAIL-INPUT'!AR$11</f>
        <v>E-P</v>
      </c>
      <c r="C51" s="382" t="str">
        <f>TRIM(CONCATENATE('ADJ DETAIL-INPUT'!AR$7," ",'ADJ DETAIL-INPUT'!AR$8," ",'ADJ DETAIL-INPUT'!AR$9))</f>
        <v>Pro Forma Open</v>
      </c>
      <c r="D51" s="259">
        <f>'ADJ DETAIL-INPUT'!AR$56</f>
        <v>0</v>
      </c>
      <c r="E51" s="432">
        <f>'ADJ DETAIL-INPUT'!AR$80</f>
        <v>0</v>
      </c>
      <c r="F51" s="409"/>
      <c r="G51" s="182"/>
      <c r="I51" s="182"/>
      <c r="J51" s="182"/>
      <c r="K51" s="410"/>
    </row>
    <row r="52" spans="1:11" ht="13.5" thickBot="1">
      <c r="A52" s="518"/>
      <c r="B52" s="518"/>
      <c r="C52" s="59" t="s">
        <v>733</v>
      </c>
      <c r="D52" s="811">
        <f>SUM(D35:D51)</f>
        <v>93905.896265000032</v>
      </c>
      <c r="E52" s="811">
        <f>SUM(E35:E51)</f>
        <v>1708298</v>
      </c>
      <c r="F52" s="171">
        <f>D52/E52</f>
        <v>5.4970442080363044E-2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669</v>
      </c>
      <c r="I54" s="25"/>
      <c r="J54" s="182" t="s">
        <v>752</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3"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1"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47">
        <f>'ADJ DETAIL-INPUT'!AA3</f>
        <v>0</v>
      </c>
      <c r="AB3" s="847">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47"/>
      <c r="AB4" s="847"/>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47"/>
      <c r="AB5" s="847"/>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47"/>
      <c r="AB6" s="847"/>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Open</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E-P</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903</v>
      </c>
      <c r="AF23" s="438">
        <f>'ADJ DETAIL-INPUT'!AG23</f>
        <v>0</v>
      </c>
      <c r="AG23" s="438">
        <f>'ADJ DETAIL-INPUT'!AH23</f>
        <v>950</v>
      </c>
      <c r="AH23" s="438">
        <f>'ADJ DETAIL-INPUT'!AI23</f>
        <v>0</v>
      </c>
      <c r="AI23" s="438">
        <f>'ADJ DETAIL-INPUT'!AJ23</f>
        <v>0</v>
      </c>
      <c r="AJ23" s="438">
        <f>'ADJ DETAIL-INPUT'!AK23</f>
        <v>0</v>
      </c>
      <c r="AK23" s="438">
        <f>'ADJ DETAIL-INPUT'!AL23</f>
        <v>0</v>
      </c>
      <c r="AL23" s="438">
        <f>'ADJ DETAIL-INPUT'!AM23</f>
        <v>0</v>
      </c>
      <c r="AM23" s="438">
        <f>'ADJ DETAIL-INPUT'!AN23</f>
        <v>-33</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572</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1723</v>
      </c>
      <c r="AP26" s="439">
        <f>'ADJ DETAIL-INPUT'!AQ26</f>
        <v>0</v>
      </c>
      <c r="AQ26" s="439">
        <f>'ADJ DETAIL-INPUT'!AR26</f>
        <v>0</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2163</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903</v>
      </c>
      <c r="AF28" s="438">
        <f>'ADJ DETAIL-INPUT'!AG28</f>
        <v>0</v>
      </c>
      <c r="AG28" s="438">
        <f>'ADJ DETAIL-INPUT'!AH28</f>
        <v>950</v>
      </c>
      <c r="AH28" s="438">
        <f>'ADJ DETAIL-INPUT'!AI28</f>
        <v>0</v>
      </c>
      <c r="AI28" s="438">
        <f>'ADJ DETAIL-INPUT'!AJ28</f>
        <v>0</v>
      </c>
      <c r="AJ28" s="438">
        <f>'ADJ DETAIL-INPUT'!AK28</f>
        <v>2163</v>
      </c>
      <c r="AK28" s="438">
        <f>'ADJ DETAIL-INPUT'!AL28</f>
        <v>3940</v>
      </c>
      <c r="AL28" s="438">
        <f>'ADJ DETAIL-INPUT'!AM28</f>
        <v>572</v>
      </c>
      <c r="AM28" s="438">
        <f>'ADJ DETAIL-INPUT'!AN28</f>
        <v>-33</v>
      </c>
      <c r="AN28" s="438">
        <f>'ADJ DETAIL-INPUT'!AO28</f>
        <v>0</v>
      </c>
      <c r="AO28" s="438">
        <f>'ADJ DETAIL-INPUT'!AP28</f>
        <v>1574</v>
      </c>
      <c r="AP28" s="438">
        <f>'ADJ DETAIL-INPUT'!AQ28</f>
        <v>-449</v>
      </c>
      <c r="AQ28" s="438">
        <f>'ADJ DETAIL-INPUT'!AR28</f>
        <v>0</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567</v>
      </c>
      <c r="AF31" s="438">
        <f>'ADJ DETAIL-INPUT'!AG31</f>
        <v>0</v>
      </c>
      <c r="AG31" s="438">
        <f>'ADJ DETAIL-INPUT'!AH31</f>
        <v>527</v>
      </c>
      <c r="AH31" s="438">
        <f>'ADJ DETAIL-INPUT'!AI31</f>
        <v>0</v>
      </c>
      <c r="AI31" s="438">
        <f>'ADJ DETAIL-INPUT'!AJ31</f>
        <v>0</v>
      </c>
      <c r="AJ31" s="438">
        <f>'ADJ DETAIL-INPUT'!AK31</f>
        <v>0</v>
      </c>
      <c r="AK31" s="438">
        <f>'ADJ DETAIL-INPUT'!AL31</f>
        <v>0</v>
      </c>
      <c r="AL31" s="438">
        <f>'ADJ DETAIL-INPUT'!AM31</f>
        <v>0</v>
      </c>
      <c r="AM31" s="438">
        <f>'ADJ DETAIL-INPUT'!AN31</f>
        <v>-105</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707</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1395</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567</v>
      </c>
      <c r="AF34" s="438">
        <f>'ADJ DETAIL-INPUT'!AG34</f>
        <v>0</v>
      </c>
      <c r="AG34" s="438">
        <f>'ADJ DETAIL-INPUT'!AH34</f>
        <v>527</v>
      </c>
      <c r="AH34" s="438">
        <f>'ADJ DETAIL-INPUT'!AI34</f>
        <v>0</v>
      </c>
      <c r="AI34" s="438">
        <f>'ADJ DETAIL-INPUT'!AJ34</f>
        <v>0</v>
      </c>
      <c r="AJ34" s="438">
        <f>'ADJ DETAIL-INPUT'!AK34</f>
        <v>1395</v>
      </c>
      <c r="AK34" s="438">
        <f>'ADJ DETAIL-INPUT'!AL34</f>
        <v>-5231</v>
      </c>
      <c r="AL34" s="438">
        <f>'ADJ DETAIL-INPUT'!AM34</f>
        <v>707</v>
      </c>
      <c r="AM34" s="438">
        <f>'ADJ DETAIL-INPUT'!AN34</f>
        <v>-105</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173</v>
      </c>
      <c r="AF36" s="438">
        <f>'ADJ DETAIL-INPUT'!AG36</f>
        <v>0</v>
      </c>
      <c r="AG36" s="438">
        <f>'ADJ DETAIL-INPUT'!AH36</f>
        <v>264</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26</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25</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-248</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778</v>
      </c>
      <c r="AF41" s="438">
        <f>'ADJ DETAIL-INPUT'!AG41</f>
        <v>330</v>
      </c>
      <c r="AG41" s="438">
        <f>'ADJ DETAIL-INPUT'!AH41</f>
        <v>870</v>
      </c>
      <c r="AH41" s="438">
        <f>'ADJ DETAIL-INPUT'!AI41</f>
        <v>34</v>
      </c>
      <c r="AI41" s="438">
        <f>'ADJ DETAIL-INPUT'!AJ41</f>
        <v>1896</v>
      </c>
      <c r="AJ41" s="438">
        <f>'ADJ DETAIL-INPUT'!AK41</f>
        <v>0</v>
      </c>
      <c r="AK41" s="438">
        <f>'ADJ DETAIL-INPUT'!AL41</f>
        <v>0</v>
      </c>
      <c r="AL41" s="438">
        <f>'ADJ DETAIL-INPUT'!AM41</f>
        <v>0</v>
      </c>
      <c r="AM41" s="438">
        <f>'ADJ DETAIL-INPUT'!AN41</f>
        <v>-13</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3433</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25</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-248</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778</v>
      </c>
      <c r="AF45" s="447">
        <f>'ADJ DETAIL-INPUT'!AG45</f>
        <v>330</v>
      </c>
      <c r="AG45" s="447">
        <f>'ADJ DETAIL-INPUT'!AH45</f>
        <v>870</v>
      </c>
      <c r="AH45" s="447">
        <f>'ADJ DETAIL-INPUT'!AI45</f>
        <v>34</v>
      </c>
      <c r="AI45" s="447">
        <f>'ADJ DETAIL-INPUT'!AJ45</f>
        <v>1896</v>
      </c>
      <c r="AJ45" s="447">
        <f>'ADJ DETAIL-INPUT'!AK45</f>
        <v>0</v>
      </c>
      <c r="AK45" s="447">
        <f>'ADJ DETAIL-INPUT'!AL45</f>
        <v>-849</v>
      </c>
      <c r="AL45" s="447">
        <f>'ADJ DETAIL-INPUT'!AM45</f>
        <v>3433</v>
      </c>
      <c r="AM45" s="447">
        <f>'ADJ DETAIL-INPUT'!AN45</f>
        <v>-13</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25</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-248</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2436</v>
      </c>
      <c r="AF46" s="447">
        <f>'ADJ DETAIL-INPUT'!AG46</f>
        <v>330</v>
      </c>
      <c r="AG46" s="447">
        <f>'ADJ DETAIL-INPUT'!AH46</f>
        <v>2637</v>
      </c>
      <c r="AH46" s="447">
        <f>'ADJ DETAIL-INPUT'!AI46</f>
        <v>34</v>
      </c>
      <c r="AI46" s="447">
        <f>'ADJ DETAIL-INPUT'!AJ46</f>
        <v>1896</v>
      </c>
      <c r="AJ46" s="447">
        <f>'ADJ DETAIL-INPUT'!AK46</f>
        <v>3558</v>
      </c>
      <c r="AK46" s="447">
        <f>'ADJ DETAIL-INPUT'!AL46</f>
        <v>-2140</v>
      </c>
      <c r="AL46" s="447">
        <f>'ADJ DETAIL-INPUT'!AM46</f>
        <v>4712</v>
      </c>
      <c r="AM46" s="447">
        <f>'ADJ DETAIL-INPUT'!AN46</f>
        <v>-151</v>
      </c>
      <c r="AN46" s="447">
        <f>'ADJ DETAIL-INPUT'!AO46</f>
        <v>1351</v>
      </c>
      <c r="AO46" s="447">
        <f>'ADJ DETAIL-INPUT'!AP46</f>
        <v>1574</v>
      </c>
      <c r="AP46" s="447">
        <f>'ADJ DETAIL-INPUT'!AQ46</f>
        <v>-449</v>
      </c>
      <c r="AQ46" s="447">
        <f>'ADJ DETAIL-INPUT'!AR46</f>
        <v>0</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-25</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248</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-2436</v>
      </c>
      <c r="AF48" s="438">
        <f>'ADJ DETAIL-INPUT'!AG48</f>
        <v>-330</v>
      </c>
      <c r="AG48" s="438">
        <f>'ADJ DETAIL-INPUT'!AH48</f>
        <v>-2637</v>
      </c>
      <c r="AH48" s="438">
        <f>'ADJ DETAIL-INPUT'!AI48</f>
        <v>-34</v>
      </c>
      <c r="AI48" s="438">
        <f>'ADJ DETAIL-INPUT'!AJ48</f>
        <v>-1896</v>
      </c>
      <c r="AJ48" s="438">
        <f>'ADJ DETAIL-INPUT'!AK48</f>
        <v>-3558</v>
      </c>
      <c r="AK48" s="438">
        <f>'ADJ DETAIL-INPUT'!AL48</f>
        <v>2140</v>
      </c>
      <c r="AL48" s="438">
        <f>'ADJ DETAIL-INPUT'!AM48</f>
        <v>-4712</v>
      </c>
      <c r="AM48" s="438">
        <f>'ADJ DETAIL-INPUT'!AN48</f>
        <v>151</v>
      </c>
      <c r="AN48" s="438">
        <f>'ADJ DETAIL-INPUT'!AO48</f>
        <v>-1351</v>
      </c>
      <c r="AO48" s="438">
        <f>'ADJ DETAIL-INPUT'!AP48</f>
        <v>-1574</v>
      </c>
      <c r="AP48" s="438">
        <f>'ADJ DETAIL-INPUT'!AQ48</f>
        <v>449</v>
      </c>
      <c r="AQ48" s="438">
        <f>'ADJ DETAIL-INPUT'!AR48</f>
        <v>0</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-5.25</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52.08</v>
      </c>
      <c r="W51" s="438">
        <f>'ADJ DETAIL-INPUT'!W51</f>
        <v>1140</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-511.56</v>
      </c>
      <c r="AF51" s="438">
        <f>'ADJ DETAIL-INPUT'!AG51</f>
        <v>-69.3</v>
      </c>
      <c r="AG51" s="438">
        <f>'ADJ DETAIL-INPUT'!AH51</f>
        <v>-553.77</v>
      </c>
      <c r="AH51" s="438">
        <f>'ADJ DETAIL-INPUT'!AI51</f>
        <v>-7.14</v>
      </c>
      <c r="AI51" s="438">
        <f>'ADJ DETAIL-INPUT'!AJ51</f>
        <v>-398.15999999999997</v>
      </c>
      <c r="AJ51" s="438">
        <f>'ADJ DETAIL-INPUT'!AK51</f>
        <v>-747.18</v>
      </c>
      <c r="AK51" s="438">
        <f>'ADJ DETAIL-INPUT'!AL51</f>
        <v>449.4</v>
      </c>
      <c r="AL51" s="438">
        <f>'ADJ DETAIL-INPUT'!AM51</f>
        <v>-989.52</v>
      </c>
      <c r="AM51" s="438">
        <f>'ADJ DETAIL-INPUT'!AN51</f>
        <v>31.709999999999997</v>
      </c>
      <c r="AN51" s="438">
        <f>'ADJ DETAIL-INPUT'!AO51</f>
        <v>-283.70999999999998</v>
      </c>
      <c r="AO51" s="438">
        <f>'ADJ DETAIL-INPUT'!AP51</f>
        <v>-330.53999999999996</v>
      </c>
      <c r="AP51" s="438">
        <f>'ADJ DETAIL-INPUT'!AQ51</f>
        <v>94.289999999999992</v>
      </c>
      <c r="AQ51" s="438">
        <f>'ADJ DETAIL-INPUT'!AR51</f>
        <v>0</v>
      </c>
    </row>
    <row r="52" spans="1:43" s="430" customFormat="1">
      <c r="A52" s="425">
        <f>'ADJ DETAIL-INPUT'!A52</f>
        <v>28</v>
      </c>
      <c r="B52" s="430" t="str">
        <f>'ADJ DETAIL-INPUT'!B52</f>
        <v>Debt Interest</v>
      </c>
      <c r="E52" s="434">
        <f>'ADJ DETAIL-INPUT'!E52</f>
        <v>0</v>
      </c>
      <c r="F52" s="439">
        <f>'ADJ DETAIL-INPUT'!F52</f>
        <v>10.502561999999999</v>
      </c>
      <c r="G52" s="439">
        <f>'ADJ DETAIL-INPUT'!G52</f>
        <v>3.7779E-2</v>
      </c>
      <c r="H52" s="439">
        <f>'ADJ DETAIL-INPUT'!H52</f>
        <v>0</v>
      </c>
      <c r="I52" s="439">
        <f>'ADJ DETAIL-INPUT'!I52</f>
        <v>103.438902</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-334.03112400000003</v>
      </c>
      <c r="AC52" s="439">
        <f>'ADJ DETAIL-INPUT'!AD52</f>
        <v>0</v>
      </c>
      <c r="AD52" s="439">
        <f>'ADJ DETAIL-INPUT'!AE52</f>
        <v>3.1464509999999999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-438.46847099999997</v>
      </c>
      <c r="AM52" s="439">
        <f>'ADJ DETAIL-INPUT'!AN52</f>
        <v>0</v>
      </c>
      <c r="AN52" s="439">
        <f>'ADJ DETAIL-INPUT'!AO52</f>
        <v>0</v>
      </c>
      <c r="AO52" s="439">
        <f>'ADJ DETAIL-INPUT'!AP52</f>
        <v>49.587635999999996</v>
      </c>
      <c r="AP52" s="439">
        <f>'ADJ DETAIL-INPUT'!AQ52</f>
        <v>0</v>
      </c>
      <c r="AQ52" s="439">
        <f>'ADJ DETAIL-INPUT'!AR52</f>
        <v>0</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-10.502561999999999</v>
      </c>
      <c r="G56" s="459">
        <f>'ADJ DETAIL-INPUT'!G56</f>
        <v>-27.687778999999999</v>
      </c>
      <c r="H56" s="459">
        <f>'ADJ DETAIL-INPUT'!H56</f>
        <v>0</v>
      </c>
      <c r="I56" s="459">
        <f>'ADJ DETAIL-INPUT'!I56</f>
        <v>-103.438902</v>
      </c>
      <c r="J56" s="459">
        <f>'ADJ DETAIL-INPUT'!J56</f>
        <v>-70.31</v>
      </c>
      <c r="K56" s="459">
        <f>'ADJ DETAIL-INPUT'!K56</f>
        <v>426.6</v>
      </c>
      <c r="L56" s="459">
        <f>'ADJ DETAIL-INPUT'!L56</f>
        <v>-556.95000000000005</v>
      </c>
      <c r="M56" s="459">
        <f>'ADJ DETAIL-INPUT'!M56</f>
        <v>14.22</v>
      </c>
      <c r="N56" s="459">
        <f>'ADJ DETAIL-INPUT'!N56</f>
        <v>-19.75</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195.92000000000002</v>
      </c>
      <c r="W56" s="459">
        <f>'ADJ DETAIL-INPUT'!W56</f>
        <v>-1140</v>
      </c>
      <c r="X56" s="459">
        <f>'ADJ DETAIL-INPUT'!X56</f>
        <v>9982</v>
      </c>
      <c r="Y56" s="459">
        <f>'ADJ DETAIL-INPUT'!Y56</f>
        <v>5.53</v>
      </c>
      <c r="Z56" s="459">
        <f>'ADJ DETAIL-INPUT'!Z56</f>
        <v>-1016.73</v>
      </c>
      <c r="AA56" s="459">
        <f>'ADJ DETAIL-INPUT'!AA56</f>
        <v>-20327.489999999998</v>
      </c>
      <c r="AB56" s="459">
        <f>'ADJ DETAIL-INPUT'!AB56</f>
        <v>-2565.2688760000001</v>
      </c>
      <c r="AC56" s="459">
        <f>'ADJ DETAIL-INPUT'!AD56</f>
        <v>-993.03</v>
      </c>
      <c r="AD56" s="459">
        <f>'ADJ DETAIL-INPUT'!AE56</f>
        <v>1745.9135489999999</v>
      </c>
      <c r="AE56" s="459">
        <f>'ADJ DETAIL-INPUT'!AF56</f>
        <v>-1924.44</v>
      </c>
      <c r="AF56" s="459">
        <f>'ADJ DETAIL-INPUT'!AG56</f>
        <v>-260.7</v>
      </c>
      <c r="AG56" s="459">
        <f>'ADJ DETAIL-INPUT'!AH56</f>
        <v>-2083.23</v>
      </c>
      <c r="AH56" s="459">
        <f>'ADJ DETAIL-INPUT'!AI56</f>
        <v>-26.86</v>
      </c>
      <c r="AI56" s="459">
        <f>'ADJ DETAIL-INPUT'!AJ56</f>
        <v>-1497.8400000000001</v>
      </c>
      <c r="AJ56" s="459">
        <f>'ADJ DETAIL-INPUT'!AK56</f>
        <v>-2810.82</v>
      </c>
      <c r="AK56" s="459">
        <f>'ADJ DETAIL-INPUT'!AL56</f>
        <v>1690.6</v>
      </c>
      <c r="AL56" s="459">
        <f>'ADJ DETAIL-INPUT'!AM56</f>
        <v>-3284.0115290000003</v>
      </c>
      <c r="AM56" s="459">
        <f>'ADJ DETAIL-INPUT'!AN56</f>
        <v>119.29</v>
      </c>
      <c r="AN56" s="459">
        <f>'ADJ DETAIL-INPUT'!AO56</f>
        <v>-1067.29</v>
      </c>
      <c r="AO56" s="459">
        <f>'ADJ DETAIL-INPUT'!AP56</f>
        <v>-1293.047636</v>
      </c>
      <c r="AP56" s="459">
        <f>'ADJ DETAIL-INPUT'!AQ56</f>
        <v>354.71000000000004</v>
      </c>
      <c r="AQ56" s="459">
        <f>'ADJ DETAIL-INPUT'!AR56</f>
        <v>0</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10536</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9185</v>
      </c>
      <c r="AM61" s="438">
        <f>'ADJ DETAIL-INPUT'!AN61</f>
        <v>0</v>
      </c>
      <c r="AN61" s="438">
        <f>'ADJ DETAIL-INPUT'!AO61</f>
        <v>0</v>
      </c>
      <c r="AO61" s="438">
        <f>'ADJ DETAIL-INPUT'!AP61</f>
        <v>-9188</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17935</v>
      </c>
      <c r="AM62" s="438">
        <f>'ADJ DETAIL-INPUT'!AN62</f>
        <v>0</v>
      </c>
      <c r="AN62" s="438">
        <f>'ADJ DETAIL-INPUT'!AO62</f>
        <v>0</v>
      </c>
      <c r="AO62" s="438">
        <f>'ADJ DETAIL-INPUT'!AP62</f>
        <v>0</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28623</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18593</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84872</v>
      </c>
      <c r="AM65" s="438">
        <f>'ADJ DETAIL-INPUT'!AN65</f>
        <v>0</v>
      </c>
      <c r="AN65" s="438">
        <f>'ADJ DETAIL-INPUT'!AO65</f>
        <v>0</v>
      </c>
      <c r="AO65" s="438">
        <f>'ADJ DETAIL-INPUT'!AP65</f>
        <v>-9188</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-780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-66</v>
      </c>
      <c r="AM68" s="438">
        <f>'ADJ DETAIL-INPUT'!AN68</f>
        <v>0</v>
      </c>
      <c r="AN68" s="438">
        <f>'ADJ DETAIL-INPUT'!AO68</f>
        <v>0</v>
      </c>
      <c r="AO68" s="438">
        <f>'ADJ DETAIL-INPUT'!AP68</f>
        <v>0</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-92</v>
      </c>
      <c r="AM69" s="438">
        <f>'ADJ DETAIL-INPUT'!AN69</f>
        <v>0</v>
      </c>
      <c r="AN69" s="438">
        <f>'ADJ DETAIL-INPUT'!AO69</f>
        <v>0</v>
      </c>
      <c r="AO69" s="438">
        <f>'ADJ DETAIL-INPUT'!AP69</f>
        <v>0</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-264</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-374</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-1576</v>
      </c>
      <c r="AM72" s="456">
        <f>'ADJ DETAIL-INPUT'!AN72</f>
        <v>0</v>
      </c>
      <c r="AN72" s="456">
        <f>'ADJ DETAIL-INPUT'!AO72</f>
        <v>0</v>
      </c>
      <c r="AO72" s="456">
        <f>'ADJ DETAIL-INPUT'!AP72</f>
        <v>0</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83296</v>
      </c>
      <c r="AM73" s="456">
        <f>'ADJ DETAIL-INPUT'!AN73</f>
        <v>0</v>
      </c>
      <c r="AN73" s="456">
        <f>'ADJ DETAIL-INPUT'!AO73</f>
        <v>0</v>
      </c>
      <c r="AO73" s="456">
        <f>'ADJ DETAIL-INPUT'!AP73</f>
        <v>-9188</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-2053</v>
      </c>
      <c r="AM75" s="447">
        <f>'ADJ DETAIL-INPUT'!AN75</f>
        <v>0</v>
      </c>
      <c r="AN75" s="447">
        <f>'ADJ DETAIL-INPUT'!AO75</f>
        <v>0</v>
      </c>
      <c r="AO75" s="447">
        <f>'ADJ DETAIL-INPUT'!AP75</f>
        <v>0</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81243</v>
      </c>
      <c r="AM76" s="445">
        <f>'ADJ DETAIL-INPUT'!AN76</f>
        <v>0</v>
      </c>
      <c r="AN76" s="445">
        <f>'ADJ DETAIL-INPUT'!AO76</f>
        <v>0</v>
      </c>
      <c r="AO76" s="445">
        <f>'ADJ DETAIL-INPUT'!AP76</f>
        <v>-9188</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0</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81243</v>
      </c>
      <c r="AM80" s="458">
        <f>'ADJ DETAIL-INPUT'!AN80</f>
        <v>0</v>
      </c>
      <c r="AN80" s="458">
        <f>'ADJ DETAIL-INPUT'!AO80</f>
        <v>0</v>
      </c>
      <c r="AO80" s="458">
        <f>'ADJ DETAIL-INPUT'!AP80</f>
        <v>-9188</v>
      </c>
      <c r="AP80" s="458">
        <f>'ADJ DETAIL-INPUT'!AQ80</f>
        <v>0</v>
      </c>
      <c r="AQ80" s="458">
        <f>'ADJ DETAIL-INPUT'!AR80</f>
        <v>0</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713</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713</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636</v>
      </c>
      <c r="C97" s="297"/>
      <c r="F97" s="265">
        <f t="shared" ref="F97:F98" si="5">ROUND(H97/1000,0)</f>
        <v>-374</v>
      </c>
      <c r="G97" s="265">
        <v>0</v>
      </c>
      <c r="H97" s="265">
        <v>-373827</v>
      </c>
      <c r="M97" s="394"/>
      <c r="N97" s="398"/>
    </row>
    <row r="98" spans="1:14" ht="15.75">
      <c r="A98" s="395">
        <v>449110</v>
      </c>
      <c r="B98" s="394" t="s">
        <v>714</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715</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716</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637</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637</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640</v>
      </c>
      <c r="C193" s="297"/>
      <c r="F193" s="265">
        <f t="shared" si="9"/>
        <v>0</v>
      </c>
      <c r="G193" s="265">
        <v>0</v>
      </c>
      <c r="H193" s="265">
        <v>0</v>
      </c>
      <c r="M193" s="397" t="s">
        <v>640</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644</v>
      </c>
      <c r="C196" s="302"/>
      <c r="F196" s="265">
        <f t="shared" si="9"/>
        <v>0</v>
      </c>
      <c r="H196" s="265">
        <v>0</v>
      </c>
      <c r="M196" s="397" t="s">
        <v>644</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670</v>
      </c>
      <c r="C205" s="302"/>
      <c r="F205" s="265">
        <f t="shared" si="9"/>
        <v>0</v>
      </c>
      <c r="H205" s="265">
        <v>0</v>
      </c>
      <c r="M205" s="394" t="s">
        <v>670</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644</v>
      </c>
      <c r="C209" s="302"/>
      <c r="F209" s="265">
        <f t="shared" si="9"/>
        <v>0</v>
      </c>
      <c r="G209" s="265">
        <v>0</v>
      </c>
      <c r="H209" s="265">
        <v>0</v>
      </c>
      <c r="M209" s="397" t="s">
        <v>644</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671</v>
      </c>
      <c r="C215" s="297"/>
      <c r="F215" s="265">
        <f t="shared" si="9"/>
        <v>0</v>
      </c>
      <c r="G215" s="265">
        <v>0</v>
      </c>
      <c r="H215" s="265">
        <v>0</v>
      </c>
      <c r="M215" s="397" t="s">
        <v>671</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645</v>
      </c>
      <c r="C218" s="297"/>
      <c r="F218" s="265">
        <f t="shared" si="9"/>
        <v>42</v>
      </c>
      <c r="G218" s="265">
        <v>0</v>
      </c>
      <c r="H218" s="265">
        <v>41533</v>
      </c>
      <c r="M218" s="397" t="s">
        <v>645</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638</v>
      </c>
      <c r="C221" s="302"/>
      <c r="F221" s="265">
        <f t="shared" si="9"/>
        <v>0</v>
      </c>
      <c r="G221" s="265">
        <v>0</v>
      </c>
      <c r="H221" s="265">
        <v>0</v>
      </c>
      <c r="M221" s="397" t="s">
        <v>638</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637</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637</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659</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639</v>
      </c>
      <c r="C299" s="297"/>
      <c r="F299" s="265">
        <f t="shared" si="11"/>
        <v>0</v>
      </c>
      <c r="G299" s="265">
        <v>0</v>
      </c>
      <c r="H299" s="265">
        <v>0</v>
      </c>
      <c r="M299" s="394"/>
    </row>
    <row r="300" spans="1:18" ht="15.75">
      <c r="A300" s="395">
        <v>407230</v>
      </c>
      <c r="B300" s="394" t="s">
        <v>717</v>
      </c>
      <c r="C300" s="297"/>
      <c r="F300" s="265">
        <f t="shared" si="11"/>
        <v>-3928</v>
      </c>
      <c r="G300" s="265">
        <v>0</v>
      </c>
      <c r="H300" s="265">
        <v>-3927632</v>
      </c>
      <c r="M300" s="394"/>
    </row>
    <row r="301" spans="1:18" ht="15.75">
      <c r="A301" s="395">
        <v>407311</v>
      </c>
      <c r="B301" s="394" t="s">
        <v>718</v>
      </c>
      <c r="C301" s="297"/>
      <c r="F301" s="265">
        <f t="shared" si="11"/>
        <v>41</v>
      </c>
      <c r="G301" s="265">
        <v>0</v>
      </c>
      <c r="H301" s="265">
        <v>41487</v>
      </c>
      <c r="M301" s="394"/>
    </row>
    <row r="302" spans="1:18" ht="15.75">
      <c r="A302" s="395">
        <v>407319</v>
      </c>
      <c r="B302" s="394" t="s">
        <v>719</v>
      </c>
      <c r="C302" s="297"/>
      <c r="F302" s="265">
        <f t="shared" si="11"/>
        <v>797</v>
      </c>
      <c r="G302" s="265">
        <v>0</v>
      </c>
      <c r="H302" s="265">
        <v>797405</v>
      </c>
      <c r="M302" s="394"/>
    </row>
    <row r="303" spans="1:18" ht="15.75">
      <c r="A303" s="395">
        <v>407332</v>
      </c>
      <c r="B303" s="394" t="s">
        <v>720</v>
      </c>
      <c r="C303" s="297"/>
      <c r="F303" s="265">
        <f t="shared" si="11"/>
        <v>188</v>
      </c>
      <c r="G303" s="265">
        <v>0</v>
      </c>
      <c r="H303" s="265">
        <v>187845</v>
      </c>
      <c r="M303" s="394"/>
    </row>
    <row r="304" spans="1:18" ht="15.75">
      <c r="A304" s="395">
        <v>407414</v>
      </c>
      <c r="B304" s="394" t="s">
        <v>721</v>
      </c>
      <c r="C304" s="297"/>
      <c r="F304" s="265">
        <f t="shared" si="11"/>
        <v>-527</v>
      </c>
      <c r="G304" s="265">
        <v>0</v>
      </c>
      <c r="H304" s="265">
        <v>-527265</v>
      </c>
      <c r="M304" s="394"/>
    </row>
    <row r="305" spans="1:13" ht="15.75">
      <c r="A305" s="395">
        <v>407436</v>
      </c>
      <c r="B305" s="394" t="s">
        <v>722</v>
      </c>
      <c r="C305" s="297"/>
      <c r="F305" s="265">
        <f t="shared" si="11"/>
        <v>-2498</v>
      </c>
      <c r="G305" s="265">
        <v>0</v>
      </c>
      <c r="H305" s="265">
        <v>-2497735</v>
      </c>
      <c r="M305" s="394"/>
    </row>
    <row r="306" spans="1:13" ht="15.75">
      <c r="A306" s="395">
        <v>407468</v>
      </c>
      <c r="B306" s="394" t="s">
        <v>646</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647</v>
      </c>
      <c r="F330" s="265">
        <f t="shared" ref="F330:F332" si="14">ROUND(H330/1000,0)</f>
        <v>48509</v>
      </c>
      <c r="G330" s="265">
        <v>0</v>
      </c>
      <c r="H330" s="265">
        <v>48508988</v>
      </c>
      <c r="M330" s="394"/>
    </row>
    <row r="331" spans="1:13" ht="15.75">
      <c r="A331" s="399">
        <v>303120</v>
      </c>
      <c r="B331" s="394" t="s">
        <v>723</v>
      </c>
      <c r="F331" s="265">
        <f t="shared" si="14"/>
        <v>14578</v>
      </c>
      <c r="G331" s="265">
        <v>0</v>
      </c>
      <c r="H331" s="265">
        <v>14577589</v>
      </c>
      <c r="M331" s="394"/>
    </row>
    <row r="332" spans="1:13" ht="15.75">
      <c r="A332" s="399">
        <v>303121</v>
      </c>
      <c r="B332" s="394" t="s">
        <v>724</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641</v>
      </c>
      <c r="B370" s="394" t="s">
        <v>642</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672</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637</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673</v>
      </c>
      <c r="B394" s="397" t="s">
        <v>674</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675</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725</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726</v>
      </c>
      <c r="C454" s="298"/>
      <c r="F454" s="265">
        <f t="shared" si="25"/>
        <v>51</v>
      </c>
      <c r="G454" s="265">
        <v>0</v>
      </c>
      <c r="H454" s="265">
        <v>50670</v>
      </c>
      <c r="M454" s="394"/>
    </row>
    <row r="455" spans="1:13" ht="15.75">
      <c r="A455" s="315"/>
      <c r="B455" s="394" t="s">
        <v>727</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728</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51" t="s">
        <v>116</v>
      </c>
      <c r="B1" s="851"/>
      <c r="C1" s="851"/>
      <c r="D1" s="851"/>
      <c r="E1" s="851"/>
      <c r="F1" s="851"/>
      <c r="G1" s="851"/>
      <c r="H1" s="851"/>
    </row>
    <row r="2" spans="1:9">
      <c r="A2" s="851" t="s">
        <v>560</v>
      </c>
      <c r="B2" s="851"/>
      <c r="C2" s="851"/>
      <c r="D2" s="851"/>
      <c r="E2" s="851"/>
      <c r="F2" s="851"/>
      <c r="G2" s="851"/>
      <c r="H2" s="851"/>
    </row>
    <row r="3" spans="1:9">
      <c r="A3" s="851" t="s">
        <v>165</v>
      </c>
      <c r="B3" s="851"/>
      <c r="C3" s="851"/>
      <c r="D3" s="851"/>
      <c r="E3" s="851"/>
      <c r="F3" s="851"/>
      <c r="G3" s="851"/>
      <c r="H3" s="851"/>
    </row>
    <row r="4" spans="1:9">
      <c r="A4" s="852" t="str">
        <f>'ADJ DETAIL-INPUT'!A4</f>
        <v>TWELVE MONTHS ENDED DECEMBER 31, 2018</v>
      </c>
      <c r="B4" s="852"/>
      <c r="C4" s="852"/>
      <c r="D4" s="852"/>
      <c r="E4" s="852"/>
      <c r="F4" s="852"/>
      <c r="G4" s="852"/>
      <c r="H4" s="852"/>
    </row>
    <row r="5" spans="1:9">
      <c r="A5" s="853" t="s">
        <v>144</v>
      </c>
      <c r="B5" s="853"/>
      <c r="C5" s="853"/>
      <c r="D5" s="853"/>
      <c r="E5" s="853"/>
      <c r="F5" s="853"/>
      <c r="G5" s="853"/>
      <c r="H5" s="853"/>
    </row>
    <row r="6" spans="1:9" ht="13.5" thickBot="1">
      <c r="A6" s="341"/>
      <c r="B6" s="348"/>
      <c r="C6" s="64"/>
      <c r="D6" s="65"/>
      <c r="E6" s="65"/>
      <c r="F6" s="65"/>
      <c r="I6" s="67" t="s">
        <v>561</v>
      </c>
    </row>
    <row r="7" spans="1:9" ht="13.5" thickBot="1">
      <c r="C7" s="66"/>
      <c r="D7" s="66"/>
      <c r="E7" s="848" t="s">
        <v>560</v>
      </c>
      <c r="F7" s="849"/>
      <c r="G7" s="850"/>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1139.4499999999989</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103</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-334</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81243</v>
      </c>
      <c r="G44" s="63">
        <f t="shared" si="8"/>
        <v>81243</v>
      </c>
      <c r="I44" s="352">
        <f t="shared" si="0"/>
        <v>-438</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-9188</v>
      </c>
      <c r="G47" s="63">
        <f t="shared" si="8"/>
        <v>-9188</v>
      </c>
      <c r="I47" s="352">
        <f t="shared" si="0"/>
        <v>50</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Open</v>
      </c>
      <c r="C49" s="66"/>
      <c r="D49" s="66"/>
      <c r="E49" s="70"/>
      <c r="F49" s="352">
        <f>'ADJ SUMMARY'!E51</f>
        <v>0</v>
      </c>
      <c r="G49" s="63">
        <f t="shared" si="8"/>
        <v>0</v>
      </c>
      <c r="I49" s="352">
        <f t="shared" si="0"/>
        <v>0</v>
      </c>
    </row>
    <row r="50" spans="1:16" ht="18" customHeight="1">
      <c r="B50" s="350"/>
      <c r="C50" s="66"/>
      <c r="D50" s="481"/>
      <c r="E50" s="482"/>
      <c r="F50" s="483"/>
      <c r="G50" s="484"/>
      <c r="H50" s="485"/>
      <c r="I50" s="485"/>
    </row>
    <row r="51" spans="1:16">
      <c r="B51" s="350" t="s">
        <v>598</v>
      </c>
      <c r="C51" s="66"/>
      <c r="D51" s="66"/>
      <c r="E51" s="99">
        <f>SUM(E11:E49)</f>
        <v>1596053</v>
      </c>
      <c r="F51" s="99">
        <f>SUM(F11:F49)</f>
        <v>112245</v>
      </c>
      <c r="G51" s="99">
        <f>SUM(G11:G49)</f>
        <v>1708298</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2.5700000000000001E-2</v>
      </c>
      <c r="F53" s="261">
        <f>E53-I53</f>
        <v>2.5700000000000001E-2</v>
      </c>
      <c r="G53" s="106"/>
      <c r="I53" s="261"/>
    </row>
    <row r="54" spans="1:16" ht="6" customHeight="1">
      <c r="C54" s="66"/>
      <c r="D54" s="66"/>
      <c r="E54" s="99"/>
      <c r="F54" s="99"/>
      <c r="G54" s="99"/>
    </row>
    <row r="55" spans="1:16">
      <c r="B55" s="85" t="s">
        <v>147</v>
      </c>
      <c r="C55" s="66"/>
      <c r="D55" s="66"/>
      <c r="E55" s="99">
        <f>E51*E53</f>
        <v>41018.562100000003</v>
      </c>
      <c r="F55" s="99">
        <f>F51*F53</f>
        <v>2884.6965</v>
      </c>
      <c r="G55" s="99">
        <f>SUM(E55:F55)</f>
        <v>43903.258600000001</v>
      </c>
      <c r="I55" s="99">
        <f>SUM(I11:I49)</f>
        <v>534.44999999999891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-5426.4378999999972</v>
      </c>
      <c r="F59" s="99">
        <f>F55-F57</f>
        <v>2884.6965</v>
      </c>
      <c r="G59" s="99">
        <f>SUM(E59:F59)</f>
        <v>-2541.7413999999972</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1140</v>
      </c>
      <c r="F62" s="132">
        <f>ROUND(F59*-F60,0)</f>
        <v>-606</v>
      </c>
      <c r="G62" s="132">
        <f>SUM(E62:F62)</f>
        <v>534</v>
      </c>
      <c r="I62" s="132">
        <f>I55</f>
        <v>534.44999999999891</v>
      </c>
      <c r="J62" s="371" t="s">
        <v>592</v>
      </c>
      <c r="K62" s="63">
        <f>'ADJ DETAIL-INPUT'!AS52+'ADJ DETAIL-INPUT'!W51-I62</f>
        <v>-0.23626499999886619</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54" t="s">
        <v>89</v>
      </c>
      <c r="B1" s="854"/>
      <c r="C1" s="854"/>
      <c r="D1" s="854"/>
      <c r="E1" s="854"/>
      <c r="F1" s="854"/>
      <c r="G1" s="854"/>
      <c r="H1" s="854"/>
      <c r="I1" s="854"/>
      <c r="J1" s="854"/>
      <c r="K1" s="854"/>
      <c r="L1" s="854"/>
      <c r="M1" s="854"/>
      <c r="N1" s="854"/>
    </row>
    <row r="2" spans="1:22" ht="21.75" customHeight="1">
      <c r="A2" s="854" t="s">
        <v>116</v>
      </c>
      <c r="B2" s="854"/>
      <c r="C2" s="854"/>
      <c r="D2" s="854"/>
      <c r="E2" s="854"/>
      <c r="F2" s="854"/>
      <c r="G2" s="854"/>
      <c r="H2" s="854"/>
      <c r="I2" s="854"/>
      <c r="J2" s="854"/>
      <c r="K2" s="854"/>
      <c r="L2" s="854"/>
      <c r="M2" s="854"/>
      <c r="N2" s="854"/>
      <c r="O2" s="227"/>
      <c r="Q2" s="146"/>
    </row>
    <row r="3" spans="1:22" ht="15.75" customHeight="1">
      <c r="A3" s="854" t="s">
        <v>252</v>
      </c>
      <c r="B3" s="854"/>
      <c r="C3" s="854"/>
      <c r="D3" s="854"/>
      <c r="E3" s="854"/>
      <c r="F3" s="854"/>
      <c r="G3" s="854"/>
      <c r="H3" s="854"/>
      <c r="I3" s="854"/>
      <c r="J3" s="854"/>
      <c r="K3" s="854"/>
      <c r="L3" s="854"/>
      <c r="M3" s="854"/>
      <c r="N3" s="854"/>
      <c r="O3" s="227"/>
      <c r="Q3" s="146"/>
    </row>
    <row r="4" spans="1:22" ht="15.75" customHeight="1">
      <c r="A4" s="854" t="s">
        <v>248</v>
      </c>
      <c r="B4" s="854"/>
      <c r="C4" s="854"/>
      <c r="D4" s="854"/>
      <c r="E4" s="854"/>
      <c r="F4" s="854"/>
      <c r="G4" s="854"/>
      <c r="H4" s="854"/>
      <c r="I4" s="854"/>
      <c r="J4" s="854"/>
      <c r="K4" s="854"/>
      <c r="L4" s="854"/>
      <c r="M4" s="854"/>
      <c r="N4" s="854"/>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45" t="s">
        <v>243</v>
      </c>
      <c r="N6" s="845"/>
      <c r="O6" s="226"/>
      <c r="Q6" s="146"/>
    </row>
    <row r="7" spans="1:22">
      <c r="D7" s="856" t="s">
        <v>244</v>
      </c>
      <c r="E7" s="856"/>
      <c r="G7" s="856"/>
      <c r="H7" s="856"/>
      <c r="I7" s="29"/>
      <c r="J7" s="845" t="s">
        <v>245</v>
      </c>
      <c r="K7" s="845"/>
      <c r="L7" s="27"/>
      <c r="M7" s="845" t="s">
        <v>246</v>
      </c>
      <c r="N7" s="845"/>
      <c r="O7" s="226"/>
      <c r="Q7" s="146"/>
    </row>
    <row r="8" spans="1:22">
      <c r="D8" s="855" t="s">
        <v>78</v>
      </c>
      <c r="E8" s="855"/>
      <c r="G8" s="855" t="s">
        <v>78</v>
      </c>
      <c r="H8" s="855"/>
      <c r="I8" s="29"/>
      <c r="J8" s="855" t="s">
        <v>78</v>
      </c>
      <c r="K8" s="855"/>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7.5200000000000003E-2</v>
      </c>
      <c r="O9" s="39"/>
      <c r="Q9" s="146" t="s">
        <v>689</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3216.3613917779876</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-10.502561999999999</v>
      </c>
      <c r="H11" s="52">
        <f>'ADJ DETAIL-INPUT'!F$80</f>
        <v>-1946</v>
      </c>
      <c r="I11" s="129"/>
      <c r="J11" s="51">
        <f t="shared" ref="J11:J13" si="0">G11-D11</f>
        <v>0</v>
      </c>
      <c r="K11" s="51">
        <f t="shared" ref="K11:K13" si="1">H11-E11</f>
        <v>0</v>
      </c>
      <c r="L11" s="44"/>
      <c r="M11" s="174">
        <f t="shared" ref="M11:M13" si="2">J11/$M$9*-1</f>
        <v>0</v>
      </c>
      <c r="N11" s="174">
        <f t="shared" ref="N11:N13" si="3">K11*$N$9/$M$9</f>
        <v>0</v>
      </c>
      <c r="O11" s="174">
        <f>(H11*$N$9/$M$9)-(G11/$M$9)</f>
        <v>-179.92846924556395</v>
      </c>
      <c r="P11" s="223">
        <f>SUM(M11:N11)</f>
        <v>0</v>
      </c>
      <c r="Q11" s="36">
        <f t="shared" ref="Q11:Q13" si="4">SUM(M11:N11)</f>
        <v>0</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-27.687778999999999</v>
      </c>
      <c r="H12" s="52">
        <f>'ADJ DETAIL-INPUT'!G$80</f>
        <v>-7</v>
      </c>
      <c r="I12" s="129"/>
      <c r="J12" s="51">
        <f t="shared" si="0"/>
        <v>0</v>
      </c>
      <c r="K12" s="51">
        <f t="shared" si="1"/>
        <v>0</v>
      </c>
      <c r="L12" s="182"/>
      <c r="M12" s="174">
        <f t="shared" si="2"/>
        <v>0</v>
      </c>
      <c r="N12" s="174">
        <f t="shared" si="3"/>
        <v>0</v>
      </c>
      <c r="O12" s="174">
        <f t="shared" ref="O12:O38" si="5">(H12*$N$9/$M$9)-(G12/$M$9)</f>
        <v>35.977814366022564</v>
      </c>
      <c r="P12" s="223">
        <f t="shared" ref="P12:P13" si="6">SUM(M12:N12)</f>
        <v>0</v>
      </c>
      <c r="Q12" s="36">
        <f t="shared" si="4"/>
        <v>0</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-103.438902</v>
      </c>
      <c r="H14" s="52">
        <f>'ADJ DETAIL-INPUT'!I$80</f>
        <v>-19166</v>
      </c>
      <c r="I14" s="59"/>
      <c r="J14" s="51">
        <f t="shared" ref="J14" si="7">G14-D14</f>
        <v>0</v>
      </c>
      <c r="K14" s="51">
        <f t="shared" ref="K14" si="8">H14-E14</f>
        <v>0</v>
      </c>
      <c r="M14" s="174">
        <f t="shared" ref="M14" si="9">J14/$M$9*-1</f>
        <v>0</v>
      </c>
      <c r="N14" s="174">
        <f t="shared" ref="N14" si="10">K14*$N$9/$M$9</f>
        <v>0</v>
      </c>
      <c r="O14" s="174">
        <f t="shared" ref="O14" si="11">(H14*$N$9/$M$9)-(G14/$M$9)</f>
        <v>-1772.10125465595</v>
      </c>
      <c r="P14" s="223">
        <f t="shared" ref="P14" si="12">SUM(M14:N14)</f>
        <v>0</v>
      </c>
      <c r="Q14" s="36">
        <f t="shared" ref="Q14" si="13">SUM(M14:N14)</f>
        <v>0</v>
      </c>
      <c r="R14" s="228"/>
      <c r="S14" s="218"/>
      <c r="V14" s="36">
        <f>429+Q14</f>
        <v>429</v>
      </c>
    </row>
    <row r="15" spans="1:22">
      <c r="A15" s="329"/>
      <c r="B15" s="25" t="s">
        <v>83</v>
      </c>
      <c r="D15" s="37">
        <f>SUM(D10:D13)</f>
        <v>117556.80965900001</v>
      </c>
      <c r="E15" s="37">
        <f>SUM(E10:E13)</f>
        <v>1594100</v>
      </c>
      <c r="G15" s="37">
        <f>SUM(G10:G13)</f>
        <v>117556.80965900001</v>
      </c>
      <c r="H15" s="37">
        <f>SUM(H10:H13)</f>
        <v>1594100</v>
      </c>
      <c r="I15" s="57"/>
      <c r="J15" s="37">
        <f>SUM(J10:J13)</f>
        <v>0</v>
      </c>
      <c r="K15" s="37">
        <f>SUM(K10:K13)</f>
        <v>0</v>
      </c>
      <c r="L15" s="28"/>
      <c r="M15" s="37">
        <f>SUM(M10:M13)</f>
        <v>0</v>
      </c>
      <c r="N15" s="37">
        <f>SUM(N10:N13)</f>
        <v>0</v>
      </c>
      <c r="O15" s="174">
        <f t="shared" si="5"/>
        <v>3072.410736898426</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-19.75</v>
      </c>
      <c r="H21" s="52">
        <f>'ADJ DETAIL-INPUT'!N$80</f>
        <v>0</v>
      </c>
      <c r="I21" s="59"/>
      <c r="J21" s="51">
        <f t="shared" si="14"/>
        <v>0</v>
      </c>
      <c r="K21" s="51">
        <f t="shared" si="15"/>
        <v>0</v>
      </c>
      <c r="L21" s="183"/>
      <c r="M21" s="174">
        <f t="shared" si="16"/>
        <v>0</v>
      </c>
      <c r="N21" s="174">
        <f t="shared" si="17"/>
        <v>0</v>
      </c>
      <c r="O21" s="174">
        <f t="shared" si="5"/>
        <v>26.160742196813558</v>
      </c>
      <c r="P21" s="223">
        <f t="shared" si="18"/>
        <v>0</v>
      </c>
      <c r="Q21" s="36">
        <f t="shared" si="19"/>
        <v>0</v>
      </c>
      <c r="R21" s="204"/>
      <c r="S21" s="218"/>
      <c r="V21" s="537">
        <f>1895+Q18+Q46</f>
        <v>1895</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195.92000000000002</v>
      </c>
      <c r="H29" s="52">
        <f>'ADJ DETAIL-INPUT'!V$80</f>
        <v>0</v>
      </c>
      <c r="I29" s="59"/>
      <c r="J29" s="51">
        <f t="shared" ref="J29" si="24">G29-D29</f>
        <v>0</v>
      </c>
      <c r="K29" s="51">
        <f t="shared" ref="K29" si="25">H29-E29</f>
        <v>0</v>
      </c>
      <c r="L29" s="183"/>
      <c r="M29" s="174">
        <f t="shared" ref="M29" si="26">J29/$M$9*-1</f>
        <v>0</v>
      </c>
      <c r="N29" s="174">
        <f t="shared" ref="N29" si="27">K29*$N$9/$M$9</f>
        <v>0</v>
      </c>
      <c r="O29" s="174">
        <f>(H29*$N$9/$M$9)-(G29/$M$9)</f>
        <v>-259.51456259239052</v>
      </c>
      <c r="P29" s="223">
        <f>SUM(M29:N29)</f>
        <v>0</v>
      </c>
      <c r="Q29" s="36">
        <f>SUM(M29:N29)</f>
        <v>0</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-1140</v>
      </c>
      <c r="H30" s="135">
        <f>'ADJ DETAIL-INPUT'!W$80</f>
        <v>0</v>
      </c>
      <c r="I30" s="172"/>
      <c r="J30" s="51">
        <f>G30-D30</f>
        <v>0</v>
      </c>
      <c r="K30" s="51">
        <f>H30-E30</f>
        <v>0</v>
      </c>
      <c r="L30" s="184"/>
      <c r="M30" s="174">
        <f>J30/$M$9*-1</f>
        <v>0</v>
      </c>
      <c r="N30" s="174">
        <f>K30*$N$9/$M$9</f>
        <v>0</v>
      </c>
      <c r="O30" s="174">
        <f>(H30*$N$9/$M$9)-(G30/$M$9)</f>
        <v>1510.0377774363269</v>
      </c>
      <c r="P30" s="223">
        <f>SUM(M30:N30)</f>
        <v>0</v>
      </c>
      <c r="Q30" s="36">
        <f>SUM(M30:N30)</f>
        <v>0</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-2565.2688760000001</v>
      </c>
      <c r="H35" s="135">
        <f>'ADJ DETAIL-INPUT'!AB$80</f>
        <v>61892</v>
      </c>
      <c r="I35" s="172"/>
      <c r="J35" s="51">
        <f t="shared" ref="J35" si="34">G35-D35</f>
        <v>0</v>
      </c>
      <c r="K35" s="51">
        <f t="shared" ref="K35" si="35">H35-E35</f>
        <v>0</v>
      </c>
      <c r="L35" s="184"/>
      <c r="M35" s="174">
        <f t="shared" ref="M35" si="36">J35/$M$9*-1</f>
        <v>0</v>
      </c>
      <c r="N35" s="174">
        <f t="shared" ref="N35" si="37">K35*$N$9/$M$9</f>
        <v>0</v>
      </c>
      <c r="O35" s="174">
        <f>(H35*$N$9/$M$9)-(G35/$M$9)</f>
        <v>9562.9729146908139</v>
      </c>
      <c r="P35" s="223">
        <f>SUM(M35:N35)</f>
        <v>0</v>
      </c>
      <c r="Q35" s="36">
        <f t="shared" si="19"/>
        <v>0</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105340.09078300001</v>
      </c>
      <c r="H37" s="42">
        <f>SUM(H15:H36)</f>
        <v>1655992</v>
      </c>
      <c r="I37" s="57"/>
      <c r="J37" s="42">
        <f>SUM(J15:J36)</f>
        <v>0</v>
      </c>
      <c r="K37" s="42">
        <f>SUM(K15:K36)</f>
        <v>0</v>
      </c>
      <c r="L37" s="28"/>
      <c r="M37" s="42">
        <f>SUM(M15:M36)</f>
        <v>0</v>
      </c>
      <c r="N37" s="42">
        <f>SUM(N15:N36)</f>
        <v>0</v>
      </c>
      <c r="O37" s="174">
        <f t="shared" si="5"/>
        <v>25419.641640218935</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1745.9135489999999</v>
      </c>
      <c r="H40" s="52">
        <f>'ADJ DETAIL-INPUT'!AE$80</f>
        <v>-583</v>
      </c>
      <c r="I40" s="59"/>
      <c r="J40" s="51">
        <f>G40-D40</f>
        <v>0</v>
      </c>
      <c r="K40" s="51">
        <f>H40-E40</f>
        <v>0</v>
      </c>
      <c r="M40" s="174">
        <f>J40/$M$9*-1</f>
        <v>0</v>
      </c>
      <c r="N40" s="174">
        <f>K40*$N$9/$M$9</f>
        <v>0</v>
      </c>
      <c r="O40" s="174">
        <f>(H40*$N$9/$M$9)-(G40/$M$9)</f>
        <v>-2370.6999011852472</v>
      </c>
      <c r="P40" s="223">
        <f>SUM(M40:N40)</f>
        <v>0</v>
      </c>
      <c r="Q40" s="36">
        <f>SUM(M40:N40)</f>
        <v>0</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-1924.44</v>
      </c>
      <c r="H41" s="52">
        <f>'ADJ DETAIL-INPUT'!AF$80</f>
        <v>0</v>
      </c>
      <c r="I41" s="59"/>
      <c r="J41" s="51">
        <f t="shared" si="38"/>
        <v>0</v>
      </c>
      <c r="K41" s="51">
        <f t="shared" si="39"/>
        <v>0</v>
      </c>
      <c r="L41" s="28"/>
      <c r="M41" s="174">
        <f t="shared" si="40"/>
        <v>0</v>
      </c>
      <c r="N41" s="174">
        <f t="shared" si="41"/>
        <v>0</v>
      </c>
      <c r="O41" s="174">
        <f t="shared" si="42"/>
        <v>2549.1027196575133</v>
      </c>
      <c r="P41" s="223">
        <f t="shared" si="43"/>
        <v>0</v>
      </c>
      <c r="Q41" s="36">
        <f t="shared" si="44"/>
        <v>0</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-260.7</v>
      </c>
      <c r="H42" s="52">
        <f>'ADJ DETAIL-INPUT'!AG$80</f>
        <v>0</v>
      </c>
      <c r="I42" s="59"/>
      <c r="J42" s="51">
        <f t="shared" si="38"/>
        <v>0</v>
      </c>
      <c r="K42" s="51">
        <f t="shared" si="39"/>
        <v>0</v>
      </c>
      <c r="L42" s="28"/>
      <c r="M42" s="174">
        <f t="shared" si="40"/>
        <v>0</v>
      </c>
      <c r="N42" s="174">
        <f t="shared" si="41"/>
        <v>0</v>
      </c>
      <c r="O42" s="174">
        <f t="shared" si="42"/>
        <v>345.32179699793892</v>
      </c>
      <c r="P42" s="223">
        <f t="shared" si="43"/>
        <v>0</v>
      </c>
      <c r="Q42" s="36">
        <f t="shared" si="44"/>
        <v>0</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-2083.23</v>
      </c>
      <c r="H43" s="52">
        <f>'ADJ DETAIL-INPUT'!AH$80</f>
        <v>0</v>
      </c>
      <c r="I43" s="59"/>
      <c r="J43" s="51">
        <f t="shared" si="38"/>
        <v>0</v>
      </c>
      <c r="K43" s="51">
        <f t="shared" si="39"/>
        <v>0</v>
      </c>
      <c r="M43" s="174">
        <f t="shared" si="40"/>
        <v>0</v>
      </c>
      <c r="N43" s="174">
        <f t="shared" si="41"/>
        <v>0</v>
      </c>
      <c r="O43" s="174">
        <f t="shared" si="42"/>
        <v>2759.4350869198938</v>
      </c>
      <c r="P43" s="223">
        <f t="shared" si="43"/>
        <v>0</v>
      </c>
      <c r="Q43" s="36">
        <f t="shared" si="44"/>
        <v>0</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-26.86</v>
      </c>
      <c r="H44" s="135">
        <f>'ADJ DETAIL-INPUT'!AI$80</f>
        <v>0</v>
      </c>
      <c r="I44" s="172"/>
      <c r="J44" s="51">
        <f>G44-D44</f>
        <v>0</v>
      </c>
      <c r="K44" s="51">
        <f>H44-E44</f>
        <v>0</v>
      </c>
      <c r="L44" s="184"/>
      <c r="M44" s="174">
        <f>J44/$M$9*-1</f>
        <v>0</v>
      </c>
      <c r="N44" s="174">
        <f>K44*$N$9/$M$9</f>
        <v>0</v>
      </c>
      <c r="O44" s="174">
        <f>(H44*$N$9/$M$9)-(G44/$M$9)</f>
        <v>35.57860938766644</v>
      </c>
      <c r="P44" s="223">
        <f>SUM(M44:N44)</f>
        <v>0</v>
      </c>
      <c r="Q44" s="36">
        <f t="shared" si="44"/>
        <v>0</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-1497.8400000000001</v>
      </c>
      <c r="H45" s="52">
        <f>'ADJ DETAIL-INPUT'!AJ$80</f>
        <v>0</v>
      </c>
      <c r="I45" s="59"/>
      <c r="J45" s="51">
        <f t="shared" ref="J45" si="45">G45-D45</f>
        <v>0</v>
      </c>
      <c r="K45" s="51">
        <f t="shared" ref="K45" si="46">H45-E45</f>
        <v>0</v>
      </c>
      <c r="L45" s="183"/>
      <c r="M45" s="174">
        <f t="shared" ref="M45" si="47">J45/$M$9*-1</f>
        <v>0</v>
      </c>
      <c r="N45" s="174">
        <f t="shared" ref="N45" si="48">K45*$N$9/$M$9</f>
        <v>0</v>
      </c>
      <c r="O45" s="174">
        <f>(H45*$N$9/$M$9)-(G45/$M$9)</f>
        <v>1984.0306882063403</v>
      </c>
      <c r="P45" s="223">
        <f>SUM(M45:N45)</f>
        <v>0</v>
      </c>
      <c r="Q45" s="36">
        <f t="shared" si="44"/>
        <v>0</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-2810.82</v>
      </c>
      <c r="H46" s="52">
        <f>'ADJ DETAIL-INPUT'!AK$80</f>
        <v>0</v>
      </c>
      <c r="I46" s="59"/>
      <c r="J46" s="51">
        <f>G46-D46</f>
        <v>0</v>
      </c>
      <c r="K46" s="51">
        <f>H46-E46</f>
        <v>0</v>
      </c>
      <c r="L46" s="183"/>
      <c r="M46" s="174">
        <f>J46/$M$9*-1</f>
        <v>0</v>
      </c>
      <c r="N46" s="174">
        <f>K46*$N$9/$M$9</f>
        <v>0</v>
      </c>
      <c r="O46" s="174">
        <f>(H46*$N$9/$M$9)-(G46/$M$9)</f>
        <v>3723.1968294505054</v>
      </c>
      <c r="P46" s="223">
        <f>SUM(M46:N46)</f>
        <v>0</v>
      </c>
      <c r="Q46" s="36">
        <f>SUM(M46:N46)</f>
        <v>0</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-3284.0115290000003</v>
      </c>
      <c r="H48" s="109">
        <f>'ADJ DETAIL-INPUT'!AM$80</f>
        <v>81243</v>
      </c>
      <c r="I48" s="59"/>
      <c r="J48" s="51">
        <f t="shared" si="38"/>
        <v>0</v>
      </c>
      <c r="K48" s="51">
        <f t="shared" si="39"/>
        <v>0</v>
      </c>
      <c r="L48" s="29"/>
      <c r="M48" s="174">
        <f t="shared" si="40"/>
        <v>0</v>
      </c>
      <c r="N48" s="174">
        <f t="shared" si="41"/>
        <v>0</v>
      </c>
      <c r="O48" s="174">
        <f t="shared" si="42"/>
        <v>12442.559128575744</v>
      </c>
      <c r="P48" s="223">
        <f t="shared" si="43"/>
        <v>0</v>
      </c>
      <c r="Q48" s="36">
        <f t="shared" si="44"/>
        <v>0</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119.29</v>
      </c>
      <c r="H49" s="109">
        <f>'ADJ DETAIL-INPUT'!AN$80</f>
        <v>0</v>
      </c>
      <c r="I49" s="59"/>
      <c r="J49" s="51">
        <f t="shared" si="38"/>
        <v>0</v>
      </c>
      <c r="K49" s="51">
        <f t="shared" si="39"/>
        <v>0</v>
      </c>
      <c r="L49" s="27"/>
      <c r="M49" s="174">
        <f t="shared" si="40"/>
        <v>0</v>
      </c>
      <c r="N49" s="174">
        <f t="shared" si="41"/>
        <v>0</v>
      </c>
      <c r="O49" s="174">
        <f t="shared" ref="O49" si="51">(H49*$N$9/$M$9)-(G49/$M$9)</f>
        <v>-158.0108828687539</v>
      </c>
      <c r="P49" s="223">
        <f t="shared" ref="P49" si="52">SUM(M49:N49)</f>
        <v>0</v>
      </c>
      <c r="Q49" s="36">
        <f t="shared" si="44"/>
        <v>0</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-1293.047636</v>
      </c>
      <c r="H51" s="109">
        <f>'ADJ DETAIL-INPUT'!AP$80</f>
        <v>-9188</v>
      </c>
      <c r="I51" s="59"/>
      <c r="J51" s="51">
        <f t="shared" ref="J51" si="59">G51-D51</f>
        <v>0</v>
      </c>
      <c r="K51" s="51">
        <f t="shared" ref="K51" si="60">H51-E51</f>
        <v>0</v>
      </c>
      <c r="L51" s="27"/>
      <c r="M51" s="174">
        <f t="shared" ref="M51" si="61">J51/$M$9*-1</f>
        <v>0</v>
      </c>
      <c r="N51" s="174">
        <f t="shared" ref="N51" si="62">K51*$N$9/$M$9</f>
        <v>0</v>
      </c>
      <c r="O51" s="174">
        <f t="shared" ref="O51" si="63">(H51*$N$9/$M$9)-(G51/$M$9)</f>
        <v>797.55166713469021</v>
      </c>
      <c r="P51" s="223">
        <f t="shared" ref="P51" si="64">SUM(M51:N51)</f>
        <v>0</v>
      </c>
      <c r="Q51" s="36">
        <f>SUM(M51:N51)</f>
        <v>0</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Open</v>
      </c>
      <c r="C53" s="169"/>
      <c r="D53" s="52"/>
      <c r="E53" s="52"/>
      <c r="F53" s="130"/>
      <c r="G53" s="109">
        <f>'ADJ DETAIL-INPUT'!AR$56</f>
        <v>0</v>
      </c>
      <c r="H53" s="109">
        <f>'ADJ DETAIL-INPUT'!AR$80</f>
        <v>0</v>
      </c>
      <c r="I53" s="59"/>
      <c r="J53" s="51">
        <f t="shared" ref="J53" si="65">G53-D53</f>
        <v>0</v>
      </c>
      <c r="K53" s="51">
        <f t="shared" ref="K53" si="66">H53-E53</f>
        <v>0</v>
      </c>
      <c r="L53" s="27"/>
      <c r="M53" s="174">
        <f t="shared" ref="M53" si="67">J53/$M$9*-1</f>
        <v>0</v>
      </c>
      <c r="N53" s="174">
        <f t="shared" ref="N53" si="68">K53*$N$9/$M$9</f>
        <v>0</v>
      </c>
      <c r="O53" s="174">
        <f t="shared" ref="O53" si="69">(H53*$N$9/$M$9)-(G53/$M$9)</f>
        <v>0</v>
      </c>
      <c r="P53" s="223">
        <f t="shared" ref="P53" si="70">SUM(M53:N53)</f>
        <v>0</v>
      </c>
      <c r="Q53" s="175">
        <f t="shared" ref="Q53" si="71">SUM(M53:N53)</f>
        <v>0</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94009.335167000027</v>
      </c>
      <c r="H55" s="378">
        <f>SUM(H37:H54)</f>
        <v>1727464</v>
      </c>
      <c r="I55" s="57"/>
      <c r="J55" s="170">
        <f>SUM(J37:J54)</f>
        <v>0</v>
      </c>
      <c r="K55" s="170">
        <f>SUM(K37:K54)</f>
        <v>0</v>
      </c>
      <c r="L55" s="28"/>
      <c r="M55" s="170">
        <f>SUM(M37:M54)</f>
        <v>0</v>
      </c>
      <c r="N55" s="170">
        <f>SUM(N37:N54)</f>
        <v>0</v>
      </c>
      <c r="O55" s="119"/>
      <c r="P55" s="232">
        <f>SUM(P9:P47)+P30+SUM(P39:P49)</f>
        <v>0</v>
      </c>
      <c r="Q55" s="223"/>
      <c r="S55" s="221"/>
      <c r="V55" s="515"/>
    </row>
    <row r="56" spans="1:31" ht="13.5" thickTop="1">
      <c r="A56" s="333"/>
      <c r="B56" s="27"/>
      <c r="C56" s="27"/>
      <c r="D56" s="27"/>
      <c r="E56" s="41"/>
      <c r="F56" s="119"/>
      <c r="G56" s="119"/>
      <c r="H56" s="57"/>
      <c r="I56" s="33"/>
      <c r="J56" s="168"/>
      <c r="K56" s="28"/>
      <c r="L56" s="27"/>
      <c r="M56" s="175"/>
      <c r="N56" s="196">
        <f>M55+N55</f>
        <v>0</v>
      </c>
      <c r="O56" s="196"/>
      <c r="Q56" s="36"/>
      <c r="S56" s="138"/>
      <c r="V56" s="36"/>
      <c r="W56" s="36"/>
    </row>
    <row r="57" spans="1:31">
      <c r="A57" s="333"/>
      <c r="B57" s="27"/>
      <c r="C57" s="27"/>
      <c r="D57" s="27"/>
      <c r="E57" s="41"/>
      <c r="F57" s="119"/>
      <c r="G57" s="119"/>
      <c r="H57" s="57"/>
      <c r="I57" s="33"/>
      <c r="J57" s="168"/>
      <c r="K57" s="28"/>
      <c r="L57" s="143"/>
      <c r="M57" s="176" t="s">
        <v>664</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0</v>
      </c>
      <c r="O58" s="229"/>
      <c r="S58" s="215"/>
    </row>
    <row r="59" spans="1:31" ht="13.5" thickTop="1">
      <c r="A59" s="333"/>
      <c r="B59" s="138"/>
      <c r="C59" s="27"/>
      <c r="D59" s="27"/>
      <c r="E59" s="41"/>
      <c r="F59" s="119"/>
      <c r="G59" s="119"/>
      <c r="H59" s="57"/>
      <c r="I59" s="33"/>
      <c r="J59" s="168"/>
      <c r="K59" s="28"/>
      <c r="M59" s="177" t="s">
        <v>250</v>
      </c>
      <c r="N59" s="487">
        <f>'RR SUMMARY'!E24</f>
        <v>45775.488291908834</v>
      </c>
      <c r="O59" s="178"/>
      <c r="Q59" s="36"/>
      <c r="S59" s="211"/>
    </row>
    <row r="60" spans="1:31" ht="13.5" thickBot="1">
      <c r="A60" s="333"/>
      <c r="B60" s="27"/>
      <c r="C60" s="27"/>
      <c r="D60" s="27"/>
      <c r="E60" s="41"/>
      <c r="F60" s="124"/>
      <c r="G60" s="119"/>
      <c r="H60" s="57"/>
      <c r="I60" s="33"/>
      <c r="J60" s="168"/>
      <c r="K60" s="29"/>
      <c r="L60" s="27"/>
      <c r="M60" s="179" t="s">
        <v>251</v>
      </c>
      <c r="N60" s="180">
        <f>N59+N58</f>
        <v>45775.488291908834</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45775.488291908834</v>
      </c>
      <c r="O119" s="51"/>
      <c r="P119" s="217"/>
      <c r="Q119" s="36">
        <f>N60-N119</f>
        <v>0</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57" t="s">
        <v>751</v>
      </c>
      <c r="B1" s="857"/>
      <c r="C1" s="857"/>
      <c r="D1" s="857"/>
      <c r="E1" s="857"/>
      <c r="F1" s="857"/>
      <c r="H1" s="857" t="s">
        <v>232</v>
      </c>
      <c r="I1" s="857"/>
      <c r="J1" s="857"/>
      <c r="K1" s="857"/>
      <c r="L1" s="857"/>
      <c r="M1" s="857"/>
    </row>
    <row r="2" spans="1:13" ht="20.25" customHeight="1">
      <c r="A2" s="724" t="s">
        <v>738</v>
      </c>
      <c r="B2" s="724"/>
      <c r="C2" s="725"/>
      <c r="D2" s="726" t="s">
        <v>92</v>
      </c>
      <c r="E2" s="726" t="s">
        <v>92</v>
      </c>
      <c r="F2" s="727" t="s">
        <v>739</v>
      </c>
      <c r="H2" s="724" t="s">
        <v>738</v>
      </c>
      <c r="I2" s="724"/>
      <c r="J2" s="725"/>
      <c r="K2" s="726" t="s">
        <v>92</v>
      </c>
      <c r="L2" s="726" t="s">
        <v>92</v>
      </c>
      <c r="M2" s="727" t="s">
        <v>739</v>
      </c>
    </row>
    <row r="3" spans="1:13" ht="20.25" customHeight="1">
      <c r="A3" s="724" t="s">
        <v>740</v>
      </c>
      <c r="B3" s="724"/>
      <c r="C3" s="725"/>
      <c r="D3" s="726" t="s">
        <v>741</v>
      </c>
      <c r="E3" s="726" t="s">
        <v>742</v>
      </c>
      <c r="F3" s="727" t="s">
        <v>743</v>
      </c>
      <c r="H3" s="724" t="s">
        <v>740</v>
      </c>
      <c r="I3" s="724"/>
      <c r="J3" s="725"/>
      <c r="K3" s="726" t="s">
        <v>741</v>
      </c>
      <c r="L3" s="726" t="s">
        <v>742</v>
      </c>
      <c r="M3" s="727" t="s">
        <v>743</v>
      </c>
    </row>
    <row r="4" spans="1:13" ht="20.25" customHeight="1">
      <c r="A4" s="728"/>
      <c r="B4" s="724"/>
      <c r="C4" s="725"/>
      <c r="D4" s="729"/>
      <c r="E4" s="729"/>
      <c r="F4" s="730"/>
      <c r="H4" s="728"/>
      <c r="I4" s="724"/>
      <c r="J4" s="725"/>
      <c r="K4" s="729"/>
      <c r="L4" s="729"/>
      <c r="M4" s="730"/>
    </row>
    <row r="5" spans="1:13" ht="20.25" customHeight="1">
      <c r="A5" s="724" t="s">
        <v>744</v>
      </c>
      <c r="B5" s="724"/>
      <c r="C5" s="725"/>
      <c r="D5" s="731">
        <f>'ADJ SUMMARY'!E35</f>
        <v>1636826</v>
      </c>
      <c r="E5" s="731">
        <f>'[3]ADJ SUMMARY'!$E$28</f>
        <v>373637</v>
      </c>
      <c r="F5" s="732">
        <f>SUM(D5:E5)</f>
        <v>2010463</v>
      </c>
      <c r="G5" s="733"/>
      <c r="H5" s="724" t="s">
        <v>744</v>
      </c>
      <c r="I5" s="724"/>
      <c r="J5" s="725"/>
      <c r="K5" s="731">
        <f>'ADJ SUMMARY'!E52</f>
        <v>1708298</v>
      </c>
      <c r="L5" s="731">
        <f>'[3]ADJ SUMMARY'!$E$43</f>
        <v>398990</v>
      </c>
      <c r="M5" s="732">
        <f>SUM(K5:L5)</f>
        <v>2107288</v>
      </c>
    </row>
    <row r="6" spans="1:13" ht="20.25" customHeight="1">
      <c r="A6" s="724" t="s">
        <v>745</v>
      </c>
      <c r="B6" s="724"/>
      <c r="C6" s="725"/>
      <c r="D6" s="734">
        <f>'RR SUMMARY'!L13</f>
        <v>0.5</v>
      </c>
      <c r="E6" s="734">
        <f>D6</f>
        <v>0.5</v>
      </c>
      <c r="F6" s="735">
        <f>E6</f>
        <v>0.5</v>
      </c>
      <c r="H6" s="724" t="s">
        <v>745</v>
      </c>
      <c r="I6" s="724"/>
      <c r="J6" s="725"/>
      <c r="K6" s="734">
        <f>'RR SUMMARY'!L13</f>
        <v>0.5</v>
      </c>
      <c r="L6" s="734">
        <f>K6</f>
        <v>0.5</v>
      </c>
      <c r="M6" s="735">
        <f>L6</f>
        <v>0.5</v>
      </c>
    </row>
    <row r="7" spans="1:13" ht="20.25" customHeight="1">
      <c r="A7" s="724" t="s">
        <v>746</v>
      </c>
      <c r="B7" s="724"/>
      <c r="C7" s="725"/>
      <c r="D7" s="736">
        <f>ROUND(D5*D6,0)</f>
        <v>818413</v>
      </c>
      <c r="E7" s="736">
        <f t="shared" ref="E7:F7" si="0">ROUND(E5*E6,0)</f>
        <v>186819</v>
      </c>
      <c r="F7" s="737">
        <f t="shared" si="0"/>
        <v>1005232</v>
      </c>
      <c r="H7" s="724" t="s">
        <v>746</v>
      </c>
      <c r="I7" s="724"/>
      <c r="J7" s="725"/>
      <c r="K7" s="736">
        <f>ROUND(K5*K6,0)</f>
        <v>854149</v>
      </c>
      <c r="L7" s="736">
        <f t="shared" ref="L7:M7" si="1">ROUND(L5*L6,0)</f>
        <v>199495</v>
      </c>
      <c r="M7" s="737">
        <f t="shared" si="1"/>
        <v>1053644</v>
      </c>
    </row>
    <row r="8" spans="1:13" ht="20.25" customHeight="1">
      <c r="A8" s="724" t="s">
        <v>747</v>
      </c>
      <c r="B8" s="724"/>
      <c r="C8" s="725"/>
      <c r="D8" s="738"/>
      <c r="E8" s="738"/>
      <c r="F8" s="739"/>
      <c r="H8" s="724" t="s">
        <v>747</v>
      </c>
      <c r="I8" s="724"/>
      <c r="J8" s="725"/>
      <c r="K8" s="738"/>
      <c r="L8" s="738"/>
      <c r="M8" s="739"/>
    </row>
    <row r="9" spans="1:13" ht="20.25" customHeight="1">
      <c r="A9" s="724"/>
      <c r="B9" s="724" t="s">
        <v>748</v>
      </c>
      <c r="C9" s="725"/>
      <c r="D9" s="731">
        <f>'ADJ SUMMARY'!D35</f>
        <v>105236.65188100001</v>
      </c>
      <c r="E9" s="731">
        <f>'[3]ADJ SUMMARY'!$D$28</f>
        <v>23963.311662999997</v>
      </c>
      <c r="F9" s="732">
        <f>SUM(D9:E9)</f>
        <v>129199.96354400001</v>
      </c>
      <c r="H9" s="724"/>
      <c r="I9" s="724" t="s">
        <v>748</v>
      </c>
      <c r="J9" s="725"/>
      <c r="K9" s="731">
        <f>'ADJ SUMMARY'!D52</f>
        <v>93905.896265000032</v>
      </c>
      <c r="L9" s="731">
        <f>'[3]ADJ SUMMARY'!$D$43</f>
        <v>20236.251804</v>
      </c>
      <c r="M9" s="732">
        <f>SUM(K9:L9)</f>
        <v>114142.14806900003</v>
      </c>
    </row>
    <row r="10" spans="1:13" ht="20.25" customHeight="1">
      <c r="A10" s="724"/>
      <c r="B10" s="724" t="s">
        <v>749</v>
      </c>
      <c r="C10" s="725"/>
      <c r="D10" s="740">
        <f>-D5*'RR SUMMARY'!O12</f>
        <v>-42066.428200000002</v>
      </c>
      <c r="E10" s="740">
        <f>-E5*'RR SUMMARY'!O12</f>
        <v>-9602.4709000000003</v>
      </c>
      <c r="F10" s="741">
        <f>SUM(D10:E10)</f>
        <v>-51668.899100000002</v>
      </c>
      <c r="H10" s="724"/>
      <c r="I10" s="724" t="s">
        <v>749</v>
      </c>
      <c r="J10" s="725"/>
      <c r="K10" s="740">
        <f>-'DEBT CALC'!G55</f>
        <v>-43903.258600000001</v>
      </c>
      <c r="L10" s="740">
        <f>-'[3]DEBT CALC'!$G$50</f>
        <v>-10254.043</v>
      </c>
      <c r="M10" s="741">
        <f>SUM(K10:L10)</f>
        <v>-54157.301599999999</v>
      </c>
    </row>
    <row r="11" spans="1:13" ht="20.25" customHeight="1">
      <c r="A11" s="724" t="s">
        <v>750</v>
      </c>
      <c r="B11" s="724"/>
      <c r="C11" s="725"/>
      <c r="D11" s="742">
        <f>SUM(D9:D10)</f>
        <v>63170.22368100001</v>
      </c>
      <c r="E11" s="742">
        <f>SUM(E9:E10)</f>
        <v>14360.840762999997</v>
      </c>
      <c r="F11" s="743">
        <f>SUM(F9:F10)</f>
        <v>77531.064444000018</v>
      </c>
      <c r="H11" s="724" t="s">
        <v>750</v>
      </c>
      <c r="I11" s="724"/>
      <c r="J11" s="725"/>
      <c r="K11" s="742">
        <f>SUM(K9:K10)</f>
        <v>50002.637665000031</v>
      </c>
      <c r="L11" s="742">
        <f>SUM(L9:L10)</f>
        <v>9982.2088039999999</v>
      </c>
      <c r="M11" s="743">
        <f>SUM(M9:M10)</f>
        <v>59984.846469000033</v>
      </c>
    </row>
    <row r="12" spans="1:13" ht="20.25" customHeight="1" thickBot="1">
      <c r="A12" s="724" t="s">
        <v>740</v>
      </c>
      <c r="B12" s="724"/>
      <c r="C12" s="725"/>
      <c r="D12" s="744">
        <f>ROUND(D11/D7,5)</f>
        <v>7.7189999999999995E-2</v>
      </c>
      <c r="E12" s="744">
        <f>ROUND(E11/E7,5)</f>
        <v>7.6869999999999994E-2</v>
      </c>
      <c r="F12" s="745">
        <f>ROUND(F11/F7,5)</f>
        <v>7.7130000000000004E-2</v>
      </c>
      <c r="H12" s="724" t="s">
        <v>740</v>
      </c>
      <c r="I12" s="724"/>
      <c r="J12" s="725"/>
      <c r="K12" s="744">
        <f>ROUND(K11/K7,5)</f>
        <v>5.8540000000000002E-2</v>
      </c>
      <c r="L12" s="744">
        <f>ROUND(L11/L7,5)</f>
        <v>5.0040000000000001E-2</v>
      </c>
      <c r="M12" s="745">
        <f>ROUND(M11/M7,5)</f>
        <v>5.6930000000000001E-2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F9A69AAE-8782-4FF6-998B-C66E288C8DCA}"/>
</file>

<file path=customXml/itemProps2.xml><?xml version="1.0" encoding="utf-8"?>
<ds:datastoreItem xmlns:ds="http://schemas.openxmlformats.org/officeDocument/2006/customXml" ds:itemID="{B0DFC9C1-F192-4CF3-9B9D-EE741B1442C0}"/>
</file>

<file path=customXml/itemProps3.xml><?xml version="1.0" encoding="utf-8"?>
<ds:datastoreItem xmlns:ds="http://schemas.openxmlformats.org/officeDocument/2006/customXml" ds:itemID="{A4CDFD9A-2C53-4874-B569-4F8FA83884FC}"/>
</file>

<file path=customXml/itemProps4.xml><?xml version="1.0" encoding="utf-8"?>
<ds:datastoreItem xmlns:ds="http://schemas.openxmlformats.org/officeDocument/2006/customXml" ds:itemID="{1B6C00A1-C1E6-4F3A-B3AC-5585EA43E6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2019-04-19T23:13:54Z</cp:lastPrinted>
  <dcterms:created xsi:type="dcterms:W3CDTF">1997-05-15T21:41:44Z</dcterms:created>
  <dcterms:modified xsi:type="dcterms:W3CDTF">2019-04-19T23:14:29Z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