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worksheets/sheet1.xml" ContentType="application/vnd.openxmlformats-officedocument.spreadsheetml.worksheet+xml"/>
  <Override PartName="/xl/charts/chart5.xml" ContentType="application/vnd.openxmlformats-officedocument.drawingml.chart+xml"/>
  <Override PartName="/xl/charts/colors4.xml" ContentType="application/vnd.ms-office.chartcolorstyle+xml"/>
  <Override PartName="/xl/charts/style4.xml" ContentType="application/vnd.ms-office.chartstyle+xml"/>
  <Override PartName="/xl/charts/chart4.xml" ContentType="application/vnd.openxmlformats-officedocument.drawingml.chart+xml"/>
  <Override PartName="/xl/charts/style5.xml" ContentType="application/vnd.ms-office.chartstyle+xml"/>
  <Override PartName="/xl/worksheets/sheet5.xml" ContentType="application/vnd.openxmlformats-officedocument.spreadsheetml.worksheet+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charts/chart2.xml" ContentType="application/vnd.openxmlformats-officedocument.drawingml.chart+xml"/>
  <Override PartName="/xl/charts/style1.xml" ContentType="application/vnd.ms-office.chart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olors2.xml" ContentType="application/vnd.ms-office.chartcolorstyle+xml"/>
  <Override PartName="/xl/charts/style2.xml" ContentType="application/vnd.ms-office.chartstyle+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hreadedComments/threadedComment1.xml" ContentType="application/vnd.ms-excel.threadedcomment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985" windowHeight="4770" tabRatio="827"/>
  </bookViews>
  <sheets>
    <sheet name="Original Concept List" sheetId="27" r:id="rId1"/>
    <sheet name="PSE-Fit &amp; Feas. Mapping" sheetId="31" r:id="rId2"/>
    <sheet name="Stakeholder Feas Scoring" sheetId="39" r:id="rId3"/>
    <sheet name="DER Concept List" sheetId="44" r:id="rId4"/>
    <sheet name="Scoring Overview" sheetId="30" r:id="rId5"/>
    <sheet name="Scoring Dropdowns" sheetId="29" r:id="rId6"/>
  </sheets>
  <externalReferences>
    <externalReference r:id="rId7"/>
    <externalReference r:id="rId8"/>
    <externalReference r:id="rId9"/>
  </externalReferences>
  <definedNames>
    <definedName name="_Fill" hidden="1">#REF!</definedName>
    <definedName name="_xlnm._FilterDatabase" localSheetId="3" hidden="1">'DER Concept List'!$B$8:$E$30</definedName>
    <definedName name="_xlnm._FilterDatabase" localSheetId="0" hidden="1">'Original Concept List'!$A$7:$M$47</definedName>
    <definedName name="_xlnm._FilterDatabase" localSheetId="1" hidden="1">'PSE-Fit &amp; Feas. Mapping'!$A$11:$K$93</definedName>
    <definedName name="_xlnm._FilterDatabase" localSheetId="2" hidden="1">'Stakeholder Feas Scoring'!$C$4:$F$43</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1" i="31" l="1"/>
  <c r="G102" i="31"/>
  <c r="G103" i="31"/>
  <c r="G104" i="31"/>
  <c r="G105" i="31"/>
  <c r="G106" i="31"/>
  <c r="G107" i="31"/>
  <c r="G108" i="31"/>
  <c r="G109" i="31"/>
  <c r="G110" i="31"/>
  <c r="G111" i="31"/>
  <c r="G112" i="31"/>
  <c r="G113" i="31"/>
  <c r="G114" i="31"/>
  <c r="G115" i="31"/>
  <c r="G116" i="31"/>
  <c r="G117" i="31"/>
  <c r="G118" i="31"/>
  <c r="G119" i="31"/>
  <c r="G120" i="31"/>
  <c r="G121" i="31"/>
  <c r="G100" i="31"/>
  <c r="G77" i="31"/>
  <c r="G78" i="31"/>
  <c r="G79" i="31"/>
  <c r="G80" i="31"/>
  <c r="G81" i="31"/>
  <c r="G82" i="31"/>
  <c r="G83" i="31"/>
  <c r="G84" i="31"/>
  <c r="G85" i="31"/>
  <c r="G86" i="31"/>
  <c r="G87" i="31"/>
  <c r="G88" i="31"/>
  <c r="G89" i="31"/>
  <c r="G90" i="31"/>
  <c r="G91" i="31"/>
  <c r="G92" i="31"/>
  <c r="G93" i="31"/>
  <c r="G76" i="31"/>
  <c r="I68" i="31"/>
  <c r="I67" i="31"/>
  <c r="I66" i="31"/>
  <c r="I65" i="31"/>
  <c r="I61" i="31"/>
  <c r="I56" i="31"/>
  <c r="I51" i="31"/>
  <c r="I52" i="31"/>
  <c r="I53" i="31"/>
  <c r="I54" i="31"/>
  <c r="I50" i="31"/>
  <c r="I31" i="31"/>
  <c r="I32" i="31"/>
  <c r="I33" i="31"/>
  <c r="I34" i="31"/>
  <c r="I35" i="31"/>
  <c r="I36" i="31"/>
  <c r="I37" i="31"/>
  <c r="I38" i="31"/>
  <c r="I39" i="31"/>
  <c r="I40" i="31"/>
  <c r="I41" i="31"/>
  <c r="I42" i="31"/>
  <c r="I43" i="31"/>
  <c r="I44" i="31"/>
  <c r="I30" i="31"/>
  <c r="I24" i="31"/>
  <c r="I25" i="31"/>
  <c r="I26" i="31"/>
  <c r="I27" i="31"/>
  <c r="I28" i="31"/>
  <c r="I23" i="31"/>
  <c r="I21" i="31"/>
  <c r="I13" i="31"/>
  <c r="I14" i="31"/>
  <c r="I15" i="31"/>
  <c r="I16" i="31"/>
  <c r="I17" i="31"/>
  <c r="I18" i="31"/>
  <c r="I12" i="31"/>
  <c r="D5" i="44" l="1"/>
  <c r="D4" i="44"/>
  <c r="D3" i="44"/>
  <c r="E25" i="31"/>
  <c r="J70" i="31"/>
  <c r="J69" i="31"/>
  <c r="C38" i="31" l="1"/>
  <c r="E38" i="31" l="1"/>
  <c r="D6" i="44" l="1"/>
  <c r="L9" i="39" l="1"/>
  <c r="K9" i="39"/>
  <c r="J9" i="39"/>
  <c r="I9" i="39"/>
  <c r="L8" i="39"/>
  <c r="K8" i="39"/>
  <c r="J8" i="39"/>
  <c r="I8" i="39"/>
  <c r="L7" i="39"/>
  <c r="K7" i="39"/>
  <c r="J7" i="39"/>
  <c r="I7" i="39"/>
  <c r="J14" i="39" l="1"/>
  <c r="I14" i="39"/>
  <c r="L14" i="39"/>
  <c r="I16" i="39"/>
  <c r="J16" i="39"/>
  <c r="I15" i="39"/>
  <c r="L16" i="39"/>
  <c r="L15" i="39"/>
  <c r="K15" i="39"/>
  <c r="K14" i="39"/>
  <c r="J15" i="39"/>
  <c r="K16" i="39"/>
  <c r="AR21" i="27" l="1"/>
  <c r="AJ21" i="27"/>
  <c r="AD21" i="27"/>
  <c r="Z21" i="27"/>
  <c r="AL21" i="27" l="1"/>
  <c r="H38" i="31" s="1"/>
  <c r="C31" i="31"/>
  <c r="M12" i="31"/>
  <c r="P12" i="31" s="1"/>
  <c r="C15" i="31"/>
  <c r="C12" i="31"/>
  <c r="C14" i="31"/>
  <c r="C30" i="31"/>
  <c r="C35" i="31"/>
  <c r="C13" i="31"/>
  <c r="C50" i="31"/>
  <c r="C23" i="31"/>
  <c r="C24" i="31"/>
  <c r="C51" i="31"/>
  <c r="C16" i="31"/>
  <c r="C18" i="31"/>
  <c r="C37" i="31"/>
  <c r="C17" i="31"/>
  <c r="C33" i="31"/>
  <c r="C27" i="31"/>
  <c r="C34" i="31"/>
  <c r="C32" i="31"/>
  <c r="C43" i="31"/>
  <c r="C36" i="31"/>
  <c r="C41" i="31"/>
  <c r="C44" i="31"/>
  <c r="C56" i="31"/>
  <c r="C40" i="31"/>
  <c r="C52" i="31"/>
  <c r="C21" i="31"/>
  <c r="C28" i="31"/>
  <c r="C42" i="31"/>
  <c r="C61" i="31"/>
  <c r="C53" i="31"/>
  <c r="C66" i="31"/>
  <c r="C54" i="31"/>
  <c r="C26" i="31"/>
  <c r="C39" i="31"/>
  <c r="C67" i="31"/>
  <c r="C65" i="31"/>
  <c r="C68" i="31"/>
  <c r="P76" i="31"/>
  <c r="M77" i="31"/>
  <c r="P77" i="31" s="1"/>
  <c r="M100" i="31"/>
  <c r="M101" i="31" s="1"/>
  <c r="E89" i="31" l="1"/>
  <c r="E84" i="31"/>
  <c r="E68" i="31"/>
  <c r="E121" i="31" s="1"/>
  <c r="E61" i="31"/>
  <c r="E119" i="31" s="1"/>
  <c r="E41" i="31"/>
  <c r="E110" i="31" s="1"/>
  <c r="E37" i="31"/>
  <c r="E85" i="31" s="1"/>
  <c r="E35" i="31"/>
  <c r="E86" i="31" s="1"/>
  <c r="E30" i="31"/>
  <c r="E79" i="31" s="1"/>
  <c r="E18" i="31"/>
  <c r="E106" i="31" s="1"/>
  <c r="E67" i="31"/>
  <c r="E93" i="31" s="1"/>
  <c r="E28" i="31"/>
  <c r="E105" i="31" s="1"/>
  <c r="E43" i="31"/>
  <c r="E104" i="31" s="1"/>
  <c r="E16" i="31"/>
  <c r="E102" i="31" s="1"/>
  <c r="E14" i="31"/>
  <c r="E87" i="31" s="1"/>
  <c r="E36" i="31"/>
  <c r="E100" i="31" s="1"/>
  <c r="E39" i="31"/>
  <c r="E113" i="31" s="1"/>
  <c r="E21" i="31"/>
  <c r="E82" i="31" s="1"/>
  <c r="E32" i="31"/>
  <c r="E108" i="31" s="1"/>
  <c r="E51" i="31"/>
  <c r="E91" i="31" s="1"/>
  <c r="E12" i="31"/>
  <c r="E76" i="31" s="1"/>
  <c r="E42" i="31"/>
  <c r="E114" i="31" s="1"/>
  <c r="E26" i="31"/>
  <c r="E115" i="31" s="1"/>
  <c r="E52" i="31"/>
  <c r="E92" i="31" s="1"/>
  <c r="E34" i="31"/>
  <c r="E107" i="31" s="1"/>
  <c r="E24" i="31"/>
  <c r="E80" i="31" s="1"/>
  <c r="E15" i="31"/>
  <c r="E81" i="31" s="1"/>
  <c r="E65" i="31"/>
  <c r="E117" i="31" s="1"/>
  <c r="E27" i="31"/>
  <c r="E103" i="31" s="1"/>
  <c r="E23" i="31"/>
  <c r="E78" i="31" s="1"/>
  <c r="E66" i="31"/>
  <c r="E120" i="31" s="1"/>
  <c r="E56" i="31"/>
  <c r="E111" i="31" s="1"/>
  <c r="E33" i="31"/>
  <c r="E83" i="31" s="1"/>
  <c r="E50" i="31"/>
  <c r="E118" i="31" s="1"/>
  <c r="E31" i="31"/>
  <c r="E88" i="31" s="1"/>
  <c r="E54" i="31"/>
  <c r="E116" i="31" s="1"/>
  <c r="E40" i="31"/>
  <c r="E112" i="31" s="1"/>
  <c r="E53" i="31"/>
  <c r="E90" i="31" s="1"/>
  <c r="E44" i="31"/>
  <c r="E109" i="31" s="1"/>
  <c r="E17" i="31"/>
  <c r="E77" i="31" s="1"/>
  <c r="E13" i="31"/>
  <c r="E101" i="31" s="1"/>
  <c r="P100" i="31"/>
  <c r="B32" i="31"/>
  <c r="B44" i="31"/>
  <c r="B34" i="31"/>
  <c r="B18" i="31"/>
  <c r="B41" i="31"/>
  <c r="B16" i="31"/>
  <c r="B54" i="31"/>
  <c r="B28" i="31"/>
  <c r="B36" i="31"/>
  <c r="B56" i="31"/>
  <c r="B66" i="31"/>
  <c r="B43" i="31"/>
  <c r="B27" i="31"/>
  <c r="B42" i="31"/>
  <c r="B65" i="31"/>
  <c r="B39" i="31"/>
  <c r="B26" i="31"/>
  <c r="B61" i="31"/>
  <c r="B50" i="31"/>
  <c r="B68" i="31"/>
  <c r="B40" i="31"/>
  <c r="B13" i="31"/>
  <c r="H84" i="31"/>
  <c r="I84" i="31"/>
  <c r="D84" i="31"/>
  <c r="D104" i="31"/>
  <c r="D108" i="31"/>
  <c r="B35" i="31"/>
  <c r="D111" i="31"/>
  <c r="D117" i="31"/>
  <c r="D90" i="31"/>
  <c r="D109" i="31"/>
  <c r="D83" i="31"/>
  <c r="D106" i="31"/>
  <c r="B30" i="31"/>
  <c r="D88" i="31"/>
  <c r="D89" i="31"/>
  <c r="M13" i="31"/>
  <c r="M78" i="31"/>
  <c r="M80" i="31" s="1"/>
  <c r="M81" i="31" s="1"/>
  <c r="M82" i="31" s="1"/>
  <c r="D93" i="31"/>
  <c r="D119" i="31"/>
  <c r="D110" i="31"/>
  <c r="D105" i="31"/>
  <c r="D112" i="31"/>
  <c r="D100" i="31"/>
  <c r="B14" i="31"/>
  <c r="B15" i="31"/>
  <c r="B12" i="31"/>
  <c r="B67" i="31"/>
  <c r="D76" i="31"/>
  <c r="B33" i="31"/>
  <c r="D78" i="31"/>
  <c r="B53" i="31"/>
  <c r="B23" i="31"/>
  <c r="D113" i="31"/>
  <c r="D115" i="31"/>
  <c r="D82" i="31"/>
  <c r="D92" i="31"/>
  <c r="D107" i="31"/>
  <c r="D103" i="31"/>
  <c r="D85" i="31"/>
  <c r="D91" i="31"/>
  <c r="D80" i="31"/>
  <c r="D87" i="31"/>
  <c r="B21" i="31"/>
  <c r="B52" i="31"/>
  <c r="B37" i="31"/>
  <c r="B51" i="31"/>
  <c r="D118" i="31"/>
  <c r="D86" i="31"/>
  <c r="D81" i="31"/>
  <c r="D79" i="31"/>
  <c r="P101" i="31"/>
  <c r="M102" i="31"/>
  <c r="D121" i="31"/>
  <c r="D116" i="31"/>
  <c r="D114" i="31"/>
  <c r="D120" i="31"/>
  <c r="D77" i="31"/>
  <c r="B17" i="31"/>
  <c r="D102" i="31"/>
  <c r="D101" i="31"/>
  <c r="B24" i="31"/>
  <c r="B31" i="31"/>
  <c r="P78" i="31" l="1"/>
  <c r="P80" i="31"/>
  <c r="P13" i="31"/>
  <c r="M14" i="31"/>
  <c r="M15" i="31" s="1"/>
  <c r="P15" i="31" s="1"/>
  <c r="P81" i="31"/>
  <c r="P82" i="31"/>
  <c r="M83" i="31"/>
  <c r="P102" i="31"/>
  <c r="M103" i="31"/>
  <c r="P14" i="31" l="1"/>
  <c r="M16" i="31"/>
  <c r="P83" i="31"/>
  <c r="M85" i="31"/>
  <c r="P103" i="31"/>
  <c r="M104" i="31"/>
  <c r="P16" i="31" l="1"/>
  <c r="M17" i="31"/>
  <c r="P104" i="31"/>
  <c r="M105" i="31"/>
  <c r="P85" i="31"/>
  <c r="M86" i="31"/>
  <c r="M18" i="31" l="1"/>
  <c r="M19" i="31" s="1"/>
  <c r="P17" i="31"/>
  <c r="P86" i="31"/>
  <c r="M87" i="31"/>
  <c r="P105" i="31"/>
  <c r="M106" i="31"/>
  <c r="M20" i="31" l="1"/>
  <c r="P20" i="31" s="1"/>
  <c r="P19" i="31"/>
  <c r="P18" i="31"/>
  <c r="P106" i="31"/>
  <c r="M107" i="31"/>
  <c r="M88" i="31"/>
  <c r="P87" i="31"/>
  <c r="M89" i="31" l="1"/>
  <c r="P88" i="31"/>
  <c r="P107" i="31"/>
  <c r="M108" i="31"/>
  <c r="M21" i="31" l="1"/>
  <c r="M22" i="31" s="1"/>
  <c r="P22" i="31" s="1"/>
  <c r="P108" i="31"/>
  <c r="M109" i="31"/>
  <c r="M90" i="31"/>
  <c r="P89" i="31"/>
  <c r="P21" i="31" l="1"/>
  <c r="P109" i="31"/>
  <c r="M110" i="31"/>
  <c r="P90" i="31"/>
  <c r="M91" i="31"/>
  <c r="M23" i="31" l="1"/>
  <c r="P91" i="31"/>
  <c r="M92" i="31"/>
  <c r="P110" i="31"/>
  <c r="M111" i="31"/>
  <c r="M24" i="31" l="1"/>
  <c r="P23" i="31"/>
  <c r="P111" i="31"/>
  <c r="M112" i="31"/>
  <c r="P92" i="31"/>
  <c r="M93" i="31"/>
  <c r="P93" i="31" s="1"/>
  <c r="AR11" i="27"/>
  <c r="AJ11" i="27"/>
  <c r="AD11" i="27"/>
  <c r="Z11" i="27"/>
  <c r="I89" i="31" l="1"/>
  <c r="AL11" i="27"/>
  <c r="H25" i="31" s="1"/>
  <c r="H89" i="31" s="1"/>
  <c r="M25" i="31"/>
  <c r="P24" i="31"/>
  <c r="P112" i="31"/>
  <c r="M113" i="31"/>
  <c r="AJ10" i="27"/>
  <c r="AJ47" i="27"/>
  <c r="AD9" i="27"/>
  <c r="AD10" i="27"/>
  <c r="AD12" i="27"/>
  <c r="AD13" i="27"/>
  <c r="AD14" i="27"/>
  <c r="AD15" i="27"/>
  <c r="AD16" i="27"/>
  <c r="AD17" i="27"/>
  <c r="AD18" i="27"/>
  <c r="AD19" i="27"/>
  <c r="AD20" i="27"/>
  <c r="AD22" i="27"/>
  <c r="AD23" i="27"/>
  <c r="AD24" i="27"/>
  <c r="AD25" i="27"/>
  <c r="AD26" i="27"/>
  <c r="AD27" i="27"/>
  <c r="AD28" i="27"/>
  <c r="AD29" i="27"/>
  <c r="AD30" i="27"/>
  <c r="AD31" i="27"/>
  <c r="AD32" i="27"/>
  <c r="AD33" i="27"/>
  <c r="AD34" i="27"/>
  <c r="AD35" i="27"/>
  <c r="AD36" i="27"/>
  <c r="AD37" i="27"/>
  <c r="AD38" i="27"/>
  <c r="AD39" i="27"/>
  <c r="AD40" i="27"/>
  <c r="AD41" i="27"/>
  <c r="AD42" i="27"/>
  <c r="AD43" i="27"/>
  <c r="AD44" i="27"/>
  <c r="AD45" i="27"/>
  <c r="AD46" i="27"/>
  <c r="AD47" i="27"/>
  <c r="Z9" i="27"/>
  <c r="Z10" i="27"/>
  <c r="Z12" i="27"/>
  <c r="Z13" i="27"/>
  <c r="Z14" i="27"/>
  <c r="Z15" i="27"/>
  <c r="Z16" i="27"/>
  <c r="Z17" i="27"/>
  <c r="Z18" i="27"/>
  <c r="Z19" i="27"/>
  <c r="Z20" i="27"/>
  <c r="Z22" i="27"/>
  <c r="Z23" i="27"/>
  <c r="Z24" i="27"/>
  <c r="Z25" i="27"/>
  <c r="Z26" i="27"/>
  <c r="Z27" i="27"/>
  <c r="Z28" i="27"/>
  <c r="Z29" i="27"/>
  <c r="Z30" i="27"/>
  <c r="Z31" i="27"/>
  <c r="Z32" i="27"/>
  <c r="Z33" i="27"/>
  <c r="Z34" i="27"/>
  <c r="Z35" i="27"/>
  <c r="Z36" i="27"/>
  <c r="Z37" i="27"/>
  <c r="Z38" i="27"/>
  <c r="Z39" i="27"/>
  <c r="Z40" i="27"/>
  <c r="Z41" i="27"/>
  <c r="Z42" i="27"/>
  <c r="Z43" i="27"/>
  <c r="Z44" i="27"/>
  <c r="Z45" i="27"/>
  <c r="Z46" i="27"/>
  <c r="Z47" i="27"/>
  <c r="AR10" i="27"/>
  <c r="AR47" i="27"/>
  <c r="AJ8" i="27"/>
  <c r="X5" i="27"/>
  <c r="P5" i="27"/>
  <c r="AD8" i="27"/>
  <c r="Z8" i="27"/>
  <c r="AF4" i="27"/>
  <c r="AB4" i="27"/>
  <c r="N4" i="27"/>
  <c r="AJ46" i="27"/>
  <c r="AJ45" i="27"/>
  <c r="AJ44" i="27"/>
  <c r="AJ43" i="27"/>
  <c r="AJ42" i="27"/>
  <c r="AJ41" i="27"/>
  <c r="AJ40" i="27"/>
  <c r="AJ39" i="27"/>
  <c r="AJ38" i="27"/>
  <c r="AJ37" i="27"/>
  <c r="AJ36" i="27"/>
  <c r="AJ35" i="27"/>
  <c r="AJ34" i="27"/>
  <c r="AJ33" i="27"/>
  <c r="AJ32" i="27"/>
  <c r="AJ31" i="27"/>
  <c r="AJ30" i="27"/>
  <c r="AJ29" i="27"/>
  <c r="AJ28" i="27"/>
  <c r="AJ27" i="27"/>
  <c r="AJ26" i="27"/>
  <c r="AJ25" i="27"/>
  <c r="AJ24" i="27"/>
  <c r="AJ23" i="27"/>
  <c r="AJ22" i="27"/>
  <c r="AJ20" i="27"/>
  <c r="AJ19" i="27"/>
  <c r="AJ18" i="27"/>
  <c r="AJ17" i="27"/>
  <c r="AJ16" i="27"/>
  <c r="AJ15" i="27"/>
  <c r="AJ14" i="27"/>
  <c r="AJ13" i="27"/>
  <c r="AJ12" i="27"/>
  <c r="AJ9" i="27"/>
  <c r="I78" i="31" l="1"/>
  <c r="I88" i="31"/>
  <c r="AL14" i="27"/>
  <c r="H51" i="31" s="1"/>
  <c r="H91" i="31" s="1"/>
  <c r="P25" i="31"/>
  <c r="M26" i="31"/>
  <c r="AL40" i="27"/>
  <c r="H43" i="31" s="1"/>
  <c r="H104" i="31" s="1"/>
  <c r="AL44" i="27"/>
  <c r="H28" i="31" s="1"/>
  <c r="H105" i="31" s="1"/>
  <c r="AL12" i="27"/>
  <c r="H53" i="31" s="1"/>
  <c r="H90" i="31" s="1"/>
  <c r="AL30" i="27"/>
  <c r="H61" i="31" s="1"/>
  <c r="H119" i="31" s="1"/>
  <c r="AL22" i="27"/>
  <c r="H37" i="31" s="1"/>
  <c r="H85" i="31" s="1"/>
  <c r="AL13" i="27"/>
  <c r="H30" i="31" s="1"/>
  <c r="H79" i="31" s="1"/>
  <c r="AL20" i="27"/>
  <c r="H33" i="31" s="1"/>
  <c r="H83" i="31" s="1"/>
  <c r="AL29" i="27"/>
  <c r="H42" i="31" s="1"/>
  <c r="H114" i="31" s="1"/>
  <c r="P113" i="31"/>
  <c r="M114" i="31"/>
  <c r="AR27" i="27"/>
  <c r="AR14" i="27"/>
  <c r="AR15" i="27"/>
  <c r="AR17" i="27"/>
  <c r="AR18" i="27"/>
  <c r="AR19" i="27"/>
  <c r="AR22" i="27"/>
  <c r="AR23" i="27"/>
  <c r="AR24" i="27"/>
  <c r="AR28" i="27"/>
  <c r="AR30" i="27"/>
  <c r="AR31" i="27"/>
  <c r="AR35" i="27"/>
  <c r="AR36" i="27"/>
  <c r="AR37" i="27"/>
  <c r="AL10" i="27"/>
  <c r="H23" i="31" s="1"/>
  <c r="H78" i="31" s="1"/>
  <c r="AR13" i="27"/>
  <c r="AR20" i="27"/>
  <c r="AR25" i="27"/>
  <c r="AR29" i="27"/>
  <c r="AR32" i="27"/>
  <c r="AR34" i="27"/>
  <c r="AR12" i="27"/>
  <c r="AR16" i="27"/>
  <c r="AL19" i="27"/>
  <c r="H52" i="31" s="1"/>
  <c r="H92" i="31" s="1"/>
  <c r="AL24" i="27"/>
  <c r="H14" i="31" s="1"/>
  <c r="H87" i="31" s="1"/>
  <c r="AR26" i="27"/>
  <c r="AL28" i="27"/>
  <c r="H65" i="31" s="1"/>
  <c r="H117" i="31" s="1"/>
  <c r="AR33" i="27"/>
  <c r="AL36" i="27"/>
  <c r="H40" i="31" s="1"/>
  <c r="H112" i="31" s="1"/>
  <c r="AR39" i="27"/>
  <c r="AL39" i="27"/>
  <c r="H66" i="31" s="1"/>
  <c r="H120" i="31" s="1"/>
  <c r="AR42" i="27"/>
  <c r="AR46" i="27"/>
  <c r="AL32" i="27"/>
  <c r="H44" i="31" s="1"/>
  <c r="H109" i="31" s="1"/>
  <c r="AR40" i="27"/>
  <c r="AR43" i="27"/>
  <c r="AR44" i="27"/>
  <c r="AL9" i="27"/>
  <c r="H17" i="31" s="1"/>
  <c r="H77" i="31" s="1"/>
  <c r="AL15" i="27"/>
  <c r="H24" i="31" s="1"/>
  <c r="H80" i="31" s="1"/>
  <c r="AL23" i="27"/>
  <c r="H35" i="31" s="1"/>
  <c r="H86" i="31" s="1"/>
  <c r="AL31" i="27"/>
  <c r="H27" i="31" s="1"/>
  <c r="H103" i="31" s="1"/>
  <c r="AR38" i="27"/>
  <c r="AR41" i="27"/>
  <c r="AR45" i="27"/>
  <c r="AL45" i="27"/>
  <c r="H36" i="31" s="1"/>
  <c r="H100" i="31" s="1"/>
  <c r="AL41" i="27"/>
  <c r="H54" i="31" s="1"/>
  <c r="H116" i="31" s="1"/>
  <c r="AL37" i="27"/>
  <c r="H34" i="31" s="1"/>
  <c r="H107" i="31" s="1"/>
  <c r="AL33" i="27"/>
  <c r="H41" i="31" s="1"/>
  <c r="H110" i="31" s="1"/>
  <c r="AL25" i="27"/>
  <c r="H13" i="31" s="1"/>
  <c r="H101" i="31" s="1"/>
  <c r="AL16" i="27"/>
  <c r="H15" i="31" s="1"/>
  <c r="H81" i="31" s="1"/>
  <c r="AL46" i="27"/>
  <c r="H18" i="31" s="1"/>
  <c r="H106" i="31" s="1"/>
  <c r="AL38" i="27"/>
  <c r="H68" i="31" s="1"/>
  <c r="H121" i="31" s="1"/>
  <c r="AL27" i="27"/>
  <c r="H26" i="31" s="1"/>
  <c r="H115" i="31" s="1"/>
  <c r="AL18" i="27"/>
  <c r="H67" i="31" s="1"/>
  <c r="H93" i="31" s="1"/>
  <c r="AL47" i="27"/>
  <c r="H31" i="31" s="1"/>
  <c r="H88" i="31" s="1"/>
  <c r="AL43" i="27"/>
  <c r="H32" i="31" s="1"/>
  <c r="H108" i="31" s="1"/>
  <c r="AL35" i="27"/>
  <c r="H39" i="31" s="1"/>
  <c r="H113" i="31" s="1"/>
  <c r="AL42" i="27"/>
  <c r="H50" i="31" s="1"/>
  <c r="H118" i="31" s="1"/>
  <c r="AL34" i="27"/>
  <c r="H56" i="31" s="1"/>
  <c r="H111" i="31" s="1"/>
  <c r="AL26" i="27"/>
  <c r="H16" i="31" s="1"/>
  <c r="H102" i="31" s="1"/>
  <c r="AL17" i="27"/>
  <c r="H21" i="31" s="1"/>
  <c r="H82" i="31" s="1"/>
  <c r="AR9" i="27"/>
  <c r="AR8" i="27"/>
  <c r="AL8" i="27"/>
  <c r="H12" i="31" s="1"/>
  <c r="I120" i="31" l="1"/>
  <c r="I107" i="31"/>
  <c r="I105" i="31"/>
  <c r="I111" i="31"/>
  <c r="I112" i="31"/>
  <c r="I92" i="31"/>
  <c r="I90" i="31"/>
  <c r="I85" i="31"/>
  <c r="I100" i="31"/>
  <c r="I108" i="31"/>
  <c r="I110" i="31"/>
  <c r="I109" i="31"/>
  <c r="I113" i="31"/>
  <c r="I93" i="31"/>
  <c r="I116" i="31"/>
  <c r="I103" i="31"/>
  <c r="I121" i="31"/>
  <c r="I102" i="31"/>
  <c r="I101" i="31"/>
  <c r="I119" i="31"/>
  <c r="I80" i="31"/>
  <c r="I114" i="31"/>
  <c r="I106" i="31"/>
  <c r="I83" i="31"/>
  <c r="I117" i="31"/>
  <c r="I91" i="31"/>
  <c r="I104" i="31"/>
  <c r="I118" i="31"/>
  <c r="I79" i="31"/>
  <c r="I87" i="31"/>
  <c r="I115" i="31"/>
  <c r="I77" i="31"/>
  <c r="I82" i="31"/>
  <c r="I76" i="31"/>
  <c r="I81" i="31"/>
  <c r="I86" i="31"/>
  <c r="H76" i="31"/>
  <c r="P26" i="31"/>
  <c r="M27" i="31"/>
  <c r="P114" i="31"/>
  <c r="M115" i="31"/>
  <c r="R16" i="31" l="1"/>
  <c r="S13" i="31"/>
  <c r="A38" i="31"/>
  <c r="S15" i="31"/>
  <c r="A37" i="31"/>
  <c r="S16" i="31"/>
  <c r="S12" i="31"/>
  <c r="S14" i="31"/>
  <c r="A24" i="31"/>
  <c r="A54" i="31"/>
  <c r="A14" i="31"/>
  <c r="A68" i="31"/>
  <c r="A31" i="31"/>
  <c r="A21" i="31"/>
  <c r="A26" i="31"/>
  <c r="A27" i="31"/>
  <c r="A44" i="31"/>
  <c r="A43" i="31"/>
  <c r="A32" i="31"/>
  <c r="A35" i="31"/>
  <c r="A23" i="31"/>
  <c r="A13" i="31"/>
  <c r="R15" i="31"/>
  <c r="A30" i="31"/>
  <c r="A42" i="31"/>
  <c r="A33" i="31"/>
  <c r="A53" i="31"/>
  <c r="A65" i="31"/>
  <c r="A50" i="31"/>
  <c r="A12" i="31"/>
  <c r="A36" i="31"/>
  <c r="A39" i="31"/>
  <c r="A40" i="31"/>
  <c r="R12" i="31"/>
  <c r="R13" i="31"/>
  <c r="A51" i="31"/>
  <c r="A16" i="31"/>
  <c r="A17" i="31"/>
  <c r="A34" i="31"/>
  <c r="A28" i="31"/>
  <c r="A66" i="31"/>
  <c r="A18" i="31"/>
  <c r="A15" i="31"/>
  <c r="A52" i="31"/>
  <c r="A41" i="31"/>
  <c r="A56" i="31"/>
  <c r="A61" i="31"/>
  <c r="A67" i="31"/>
  <c r="A25" i="31"/>
  <c r="R14" i="31"/>
  <c r="P27" i="31"/>
  <c r="M28" i="31"/>
  <c r="M29" i="31" s="1"/>
  <c r="P29" i="31" s="1"/>
  <c r="P115" i="31"/>
  <c r="M116" i="31"/>
  <c r="N22" i="31" l="1"/>
  <c r="N20" i="31"/>
  <c r="N19" i="31"/>
  <c r="O19" i="31"/>
  <c r="O20" i="31"/>
  <c r="O22" i="31"/>
  <c r="N45" i="31"/>
  <c r="N46" i="31"/>
  <c r="N47" i="31"/>
  <c r="N48" i="31"/>
  <c r="N49" i="31"/>
  <c r="N29" i="31"/>
  <c r="O45" i="31"/>
  <c r="O46" i="31"/>
  <c r="O47" i="31"/>
  <c r="O48" i="31"/>
  <c r="O49" i="31"/>
  <c r="O29" i="31"/>
  <c r="N14" i="31"/>
  <c r="N64" i="31"/>
  <c r="N62" i="31"/>
  <c r="O64" i="31"/>
  <c r="O62" i="31"/>
  <c r="F12" i="31"/>
  <c r="O15" i="31"/>
  <c r="N121" i="31"/>
  <c r="N40" i="31"/>
  <c r="N91" i="31"/>
  <c r="N103" i="31"/>
  <c r="N21" i="31"/>
  <c r="N76" i="31"/>
  <c r="N50" i="31"/>
  <c r="N53" i="31"/>
  <c r="N77" i="31"/>
  <c r="O91" i="31"/>
  <c r="N117" i="31"/>
  <c r="N90" i="31"/>
  <c r="N17" i="31"/>
  <c r="N92" i="31"/>
  <c r="N112" i="31"/>
  <c r="N41" i="31"/>
  <c r="N68" i="31"/>
  <c r="N44" i="31"/>
  <c r="N78" i="31"/>
  <c r="N32" i="31"/>
  <c r="N54" i="31"/>
  <c r="N13" i="31"/>
  <c r="N23" i="31"/>
  <c r="N85" i="31"/>
  <c r="N25" i="31"/>
  <c r="N118" i="31"/>
  <c r="N120" i="31"/>
  <c r="N105" i="31"/>
  <c r="N81" i="31"/>
  <c r="N52" i="31"/>
  <c r="N88" i="31"/>
  <c r="N110" i="31"/>
  <c r="N102" i="31"/>
  <c r="N116" i="31"/>
  <c r="N101" i="31"/>
  <c r="N80" i="31"/>
  <c r="N83" i="31"/>
  <c r="N107" i="31"/>
  <c r="N93" i="31"/>
  <c r="N57" i="31"/>
  <c r="N51" i="31"/>
  <c r="N42" i="31"/>
  <c r="N26" i="31"/>
  <c r="N15" i="31"/>
  <c r="N65" i="31"/>
  <c r="N109" i="31"/>
  <c r="N82" i="31"/>
  <c r="N56" i="31"/>
  <c r="N12" i="31"/>
  <c r="N115" i="31"/>
  <c r="N104" i="31"/>
  <c r="N66" i="31"/>
  <c r="N59" i="31"/>
  <c r="N24" i="31"/>
  <c r="N35" i="31"/>
  <c r="N111" i="31"/>
  <c r="N100" i="31"/>
  <c r="N61" i="31"/>
  <c r="N55" i="31"/>
  <c r="N30" i="31"/>
  <c r="N18" i="31"/>
  <c r="N58" i="31"/>
  <c r="N27" i="31"/>
  <c r="N37" i="31"/>
  <c r="N86" i="31"/>
  <c r="N119" i="31"/>
  <c r="N108" i="31"/>
  <c r="N16" i="31"/>
  <c r="N28" i="31"/>
  <c r="N39" i="31"/>
  <c r="N114" i="31"/>
  <c r="N67" i="31"/>
  <c r="N43" i="31"/>
  <c r="N31" i="31"/>
  <c r="N38" i="31"/>
  <c r="N106" i="31"/>
  <c r="N33" i="31"/>
  <c r="N87" i="31"/>
  <c r="N34" i="31"/>
  <c r="N36" i="31"/>
  <c r="N113" i="31"/>
  <c r="N89" i="31"/>
  <c r="N60" i="31"/>
  <c r="F26" i="31"/>
  <c r="O65" i="31"/>
  <c r="O53" i="31"/>
  <c r="F61" i="31"/>
  <c r="O102" i="31"/>
  <c r="F36" i="31"/>
  <c r="O86" i="31"/>
  <c r="F43" i="31"/>
  <c r="O110" i="31"/>
  <c r="O28" i="31"/>
  <c r="O68" i="31"/>
  <c r="O78" i="31"/>
  <c r="F33" i="31"/>
  <c r="O52" i="31"/>
  <c r="O106" i="31"/>
  <c r="O35" i="31"/>
  <c r="O66" i="31"/>
  <c r="F54" i="31"/>
  <c r="F30" i="31"/>
  <c r="O112" i="31"/>
  <c r="O17" i="31"/>
  <c r="O107" i="31"/>
  <c r="O83" i="31"/>
  <c r="O104" i="31"/>
  <c r="O60" i="31"/>
  <c r="O26" i="31"/>
  <c r="O90" i="31"/>
  <c r="O57" i="31"/>
  <c r="O24" i="31"/>
  <c r="F18" i="31"/>
  <c r="F40" i="31"/>
  <c r="F53" i="31"/>
  <c r="O111" i="31"/>
  <c r="O109" i="31"/>
  <c r="O34" i="31"/>
  <c r="O85" i="31"/>
  <c r="O39" i="31"/>
  <c r="O42" i="31"/>
  <c r="O14" i="31"/>
  <c r="O31" i="31"/>
  <c r="O117" i="31"/>
  <c r="O54" i="31"/>
  <c r="O25" i="31"/>
  <c r="O43" i="31"/>
  <c r="O119" i="31"/>
  <c r="O100" i="31"/>
  <c r="O67" i="31"/>
  <c r="O38" i="31"/>
  <c r="O41" i="31"/>
  <c r="F13" i="31"/>
  <c r="F56" i="31"/>
  <c r="F21" i="31"/>
  <c r="F68" i="31"/>
  <c r="F66" i="31"/>
  <c r="F25" i="31"/>
  <c r="F52" i="31"/>
  <c r="F37" i="31"/>
  <c r="O36" i="31"/>
  <c r="O108" i="31"/>
  <c r="O76" i="31"/>
  <c r="O51" i="31"/>
  <c r="O56" i="31"/>
  <c r="F23" i="31"/>
  <c r="F27" i="31"/>
  <c r="F16" i="31"/>
  <c r="O121" i="31"/>
  <c r="F51" i="31"/>
  <c r="F42" i="31"/>
  <c r="O103" i="31"/>
  <c r="O82" i="31"/>
  <c r="O88" i="31"/>
  <c r="O55" i="31"/>
  <c r="O30" i="31"/>
  <c r="O87" i="31"/>
  <c r="O80" i="31"/>
  <c r="O37" i="31"/>
  <c r="O101" i="31"/>
  <c r="O12" i="31"/>
  <c r="O27" i="31"/>
  <c r="O113" i="31"/>
  <c r="O50" i="31"/>
  <c r="O89" i="31"/>
  <c r="O23" i="31"/>
  <c r="F15" i="31"/>
  <c r="F67" i="31"/>
  <c r="F44" i="31"/>
  <c r="F17" i="31"/>
  <c r="F32" i="31"/>
  <c r="F38" i="31"/>
  <c r="F31" i="31"/>
  <c r="O32" i="31"/>
  <c r="F24" i="31"/>
  <c r="F39" i="31"/>
  <c r="F50" i="31"/>
  <c r="F28" i="31"/>
  <c r="O93" i="31"/>
  <c r="O77" i="31"/>
  <c r="O18" i="31"/>
  <c r="O115" i="31"/>
  <c r="O105" i="31"/>
  <c r="O58" i="31"/>
  <c r="O61" i="31"/>
  <c r="O16" i="31"/>
  <c r="O81" i="31"/>
  <c r="O120" i="31"/>
  <c r="O118" i="31"/>
  <c r="O40" i="31"/>
  <c r="O44" i="31"/>
  <c r="O59" i="31"/>
  <c r="O13" i="31"/>
  <c r="O116" i="31"/>
  <c r="O114" i="31"/>
  <c r="O92" i="31"/>
  <c r="O21" i="31"/>
  <c r="O33" i="31"/>
  <c r="F34" i="31"/>
  <c r="F41" i="31"/>
  <c r="F65" i="31"/>
  <c r="F14" i="31"/>
  <c r="F35" i="31"/>
  <c r="P28" i="31"/>
  <c r="M117" i="31"/>
  <c r="P116" i="31"/>
  <c r="F107" i="31" l="1"/>
  <c r="F80" i="31"/>
  <c r="F81" i="31"/>
  <c r="F114" i="31"/>
  <c r="F82" i="31"/>
  <c r="F119" i="31"/>
  <c r="F76" i="31"/>
  <c r="F111" i="31"/>
  <c r="F88" i="31"/>
  <c r="F101" i="31"/>
  <c r="F116" i="31"/>
  <c r="F84" i="31"/>
  <c r="F102" i="31"/>
  <c r="F85" i="31"/>
  <c r="F115" i="31"/>
  <c r="F91" i="31"/>
  <c r="F86" i="31"/>
  <c r="F92" i="31"/>
  <c r="F90" i="31"/>
  <c r="F104" i="31"/>
  <c r="F108" i="31"/>
  <c r="F103" i="31"/>
  <c r="F87" i="31"/>
  <c r="F105" i="31"/>
  <c r="F77" i="31"/>
  <c r="F78" i="31"/>
  <c r="F89" i="31"/>
  <c r="F112" i="31"/>
  <c r="F117" i="31"/>
  <c r="F118" i="31"/>
  <c r="F109" i="31"/>
  <c r="F120" i="31"/>
  <c r="F106" i="31"/>
  <c r="F100" i="31"/>
  <c r="F79" i="31"/>
  <c r="F110" i="31"/>
  <c r="F113" i="31"/>
  <c r="F93" i="31"/>
  <c r="F121" i="31"/>
  <c r="F83" i="31"/>
  <c r="G34" i="31"/>
  <c r="G24" i="31"/>
  <c r="G15" i="31"/>
  <c r="G42" i="31"/>
  <c r="G21" i="31"/>
  <c r="G61" i="31"/>
  <c r="G12" i="31"/>
  <c r="G51" i="31"/>
  <c r="G54" i="31"/>
  <c r="G38" i="31"/>
  <c r="G16" i="31"/>
  <c r="G37" i="31"/>
  <c r="G26" i="31"/>
  <c r="G31" i="31"/>
  <c r="G35" i="31"/>
  <c r="G32" i="31"/>
  <c r="G27" i="31"/>
  <c r="G52" i="31"/>
  <c r="G53" i="31"/>
  <c r="G43" i="31"/>
  <c r="G56" i="31"/>
  <c r="G13" i="31"/>
  <c r="G14" i="31"/>
  <c r="G28" i="31"/>
  <c r="G17" i="31"/>
  <c r="G23" i="31"/>
  <c r="G25" i="31"/>
  <c r="G40" i="31"/>
  <c r="G30" i="31"/>
  <c r="G65" i="31"/>
  <c r="G50" i="31"/>
  <c r="G44" i="31"/>
  <c r="G66" i="31"/>
  <c r="G18" i="31"/>
  <c r="G36" i="31"/>
  <c r="G41" i="31"/>
  <c r="G39" i="31"/>
  <c r="G67" i="31"/>
  <c r="G68" i="31"/>
  <c r="G33" i="31"/>
  <c r="M30" i="31"/>
  <c r="P117" i="31"/>
  <c r="M118" i="31"/>
  <c r="C98" i="31" l="1"/>
  <c r="C96" i="31"/>
  <c r="C72" i="31"/>
  <c r="C74" i="31"/>
  <c r="R20" i="31"/>
  <c r="M31" i="31"/>
  <c r="M32" i="31" s="1"/>
  <c r="P32" i="31" s="1"/>
  <c r="P30" i="31"/>
  <c r="P118" i="31"/>
  <c r="M119" i="31"/>
  <c r="P31" i="31" l="1"/>
  <c r="M33" i="31"/>
  <c r="P119" i="31"/>
  <c r="M120" i="31"/>
  <c r="D96" i="31" l="1"/>
  <c r="D98" i="31"/>
  <c r="D72" i="31"/>
  <c r="D74" i="31"/>
  <c r="M34" i="31"/>
  <c r="P33" i="31"/>
  <c r="M121" i="31"/>
  <c r="P121" i="31" s="1"/>
  <c r="P120" i="31"/>
  <c r="M35" i="31" l="1"/>
  <c r="P34" i="31"/>
  <c r="M36" i="31" l="1"/>
  <c r="P35" i="31"/>
  <c r="P36" i="31" l="1"/>
  <c r="M37" i="31"/>
  <c r="P37" i="31" l="1"/>
  <c r="M38" i="31"/>
  <c r="P38" i="31" l="1"/>
  <c r="M39" i="31"/>
  <c r="M40" i="31" l="1"/>
  <c r="P39" i="31"/>
  <c r="P40" i="31" l="1"/>
  <c r="M41" i="31"/>
  <c r="M42" i="31" l="1"/>
  <c r="P41" i="31"/>
  <c r="P42" i="31" l="1"/>
  <c r="M43" i="31"/>
  <c r="M44" i="31" l="1"/>
  <c r="M45" i="31" s="1"/>
  <c r="P43" i="31"/>
  <c r="M46" i="31" l="1"/>
  <c r="P45" i="31"/>
  <c r="P44" i="31"/>
  <c r="M47" i="31" l="1"/>
  <c r="P46" i="31"/>
  <c r="M48" i="31" l="1"/>
  <c r="P47" i="31"/>
  <c r="M49" i="31" l="1"/>
  <c r="P48" i="31"/>
  <c r="P49" i="31" l="1"/>
  <c r="M50" i="31"/>
  <c r="P50" i="31" l="1"/>
  <c r="M51" i="31"/>
  <c r="M52" i="31" l="1"/>
  <c r="P51" i="31"/>
  <c r="P52" i="31" l="1"/>
  <c r="M53" i="31"/>
  <c r="M54" i="31" l="1"/>
  <c r="P53" i="31"/>
  <c r="P54" i="31" l="1"/>
  <c r="M55" i="31"/>
  <c r="M56" i="31" l="1"/>
  <c r="P55" i="31"/>
  <c r="P56" i="31" l="1"/>
  <c r="M57" i="31"/>
  <c r="M58" i="31" l="1"/>
  <c r="P57" i="31"/>
  <c r="P58" i="31" l="1"/>
  <c r="M59" i="31"/>
  <c r="M60" i="31" l="1"/>
  <c r="P59" i="31"/>
  <c r="P60" i="31" l="1"/>
  <c r="M61" i="31"/>
  <c r="M62" i="31" l="1"/>
  <c r="P61" i="31"/>
  <c r="M64" i="31" l="1"/>
  <c r="P62" i="31"/>
  <c r="P64" i="31" l="1"/>
  <c r="M65" i="31"/>
  <c r="P65" i="31" l="1"/>
  <c r="M66" i="31"/>
  <c r="M67" i="31" l="1"/>
  <c r="P66" i="31"/>
  <c r="P67" i="31" l="1"/>
  <c r="M68" i="31"/>
  <c r="P68" i="31" s="1"/>
</calcChain>
</file>

<file path=xl/sharedStrings.xml><?xml version="1.0" encoding="utf-8"?>
<sst xmlns="http://schemas.openxmlformats.org/spreadsheetml/2006/main" count="1795" uniqueCount="312">
  <si>
    <t>Resource Type</t>
  </si>
  <si>
    <t>Resource Category</t>
  </si>
  <si>
    <t>Description</t>
  </si>
  <si>
    <t xml:space="preserve">Customer-Facing? </t>
  </si>
  <si>
    <t>Renewable kWh</t>
  </si>
  <si>
    <t>Capacity</t>
  </si>
  <si>
    <t>Ownership</t>
  </si>
  <si>
    <t>PSE Community Solar</t>
  </si>
  <si>
    <t>Solar</t>
  </si>
  <si>
    <t>FOTM</t>
  </si>
  <si>
    <t>PSE</t>
  </si>
  <si>
    <t>Yes</t>
  </si>
  <si>
    <t>PSE Community Solar - Low Income</t>
  </si>
  <si>
    <t xml:space="preserve">Provides community solar access to low income customers by discounting their monthly subscription fee, resulting in cost savings. </t>
  </si>
  <si>
    <t>M</t>
  </si>
  <si>
    <t>H</t>
  </si>
  <si>
    <t>No</t>
  </si>
  <si>
    <t>n/a</t>
  </si>
  <si>
    <t>BTM</t>
  </si>
  <si>
    <t>New</t>
  </si>
  <si>
    <t>L</t>
  </si>
  <si>
    <t>Residential Roof-top Solar Leasing</t>
  </si>
  <si>
    <t>Multi-Family Unit Roof-top Solar Leasing</t>
  </si>
  <si>
    <t>Customer(s)</t>
  </si>
  <si>
    <t>3rd Party</t>
  </si>
  <si>
    <t>Residential Roof-top Solar Incentive</t>
  </si>
  <si>
    <t>Multi-Family Unit Roof-top Solar Incentive</t>
  </si>
  <si>
    <t>#</t>
  </si>
  <si>
    <t>Multi-Family Unit Battery Program</t>
  </si>
  <si>
    <t>Public Space Leasing for Batteries</t>
  </si>
  <si>
    <t>Residential Battery Install Incentive</t>
  </si>
  <si>
    <t>Consumer Mobile Batteries</t>
  </si>
  <si>
    <t>Battery</t>
  </si>
  <si>
    <t>3rd Party Distributed Residential Battery PPA</t>
  </si>
  <si>
    <t>PSE offers customers rental of batteries for temporary planned outages and other events.</t>
  </si>
  <si>
    <t>Under Development (in progress on Bainbridge)</t>
  </si>
  <si>
    <t>Under Development, In Operation, or New?</t>
  </si>
  <si>
    <t>Under Development</t>
  </si>
  <si>
    <t>Residential Solar+Storage Rate</t>
  </si>
  <si>
    <t>C&amp;I Solar+Storage Rate</t>
  </si>
  <si>
    <t>Reduce System Peak</t>
  </si>
  <si>
    <t>3rd Party (PPA)</t>
  </si>
  <si>
    <t>PSE Rate</t>
  </si>
  <si>
    <t>PSE Incentive</t>
  </si>
  <si>
    <t>Mechanism</t>
  </si>
  <si>
    <t>3rd Party Offering</t>
  </si>
  <si>
    <t>PSE Program</t>
  </si>
  <si>
    <t>PSE Program / 3rd Party Offering</t>
  </si>
  <si>
    <t>C&amp;I Roof-top Solar Leasing</t>
  </si>
  <si>
    <t>PSE offers to lease MFU building owner's roof-top space to install solar PV. Building owner receives monthly fee; PSE generates RE to supply the grid.</t>
  </si>
  <si>
    <t>PSE offers platform that can connect customers and provide the ability to subscribe to the output of solar panels on other C&amp;I/residential roof-tops.</t>
  </si>
  <si>
    <t>PSE Battery Share</t>
  </si>
  <si>
    <t>PSE Battery Share - Low Income</t>
  </si>
  <si>
    <t>C&amp;I Battery Install Incentive</t>
  </si>
  <si>
    <t>3rd Party Distributed C&amp;I Battery PPA</t>
  </si>
  <si>
    <t xml:space="preserve">PSE installs batteries at its substations that can help to integrate renewables, increase power quality and/or resiliency, and manage system or local peak. </t>
  </si>
  <si>
    <t>C&amp;I Space Leasing for Batteries</t>
  </si>
  <si>
    <t>PSE System Benefits</t>
  </si>
  <si>
    <t>FOTM or BTM</t>
  </si>
  <si>
    <t>Defer Dist. Upgrades</t>
  </si>
  <si>
    <t>Defer Transm. Upgrades</t>
  </si>
  <si>
    <t>Provide Dist. Volt Support</t>
  </si>
  <si>
    <t>Provide Freq Support</t>
  </si>
  <si>
    <t>Real-time Dispatch of Cust Resource</t>
  </si>
  <si>
    <t>Power Factor Correction</t>
  </si>
  <si>
    <t>Phase Balancing</t>
  </si>
  <si>
    <t>Increase RE Integration</t>
  </si>
  <si>
    <t>EIM Participation</t>
  </si>
  <si>
    <t>Achieve Clean  Energy Targets</t>
  </si>
  <si>
    <t>X</t>
  </si>
  <si>
    <t>NWA</t>
  </si>
  <si>
    <t xml:space="preserve">PSE Program </t>
  </si>
  <si>
    <t>PSE or PPA</t>
  </si>
  <si>
    <t xml:space="preserve">PSE offers to lease residential customers' roof-top space to install solar PV. Customer receives a monthly lease payment; PSE generates RE to supply grid. </t>
  </si>
  <si>
    <t>PSE targets local, small, or BIPOC-owned businesses to lease customers' roof-top space to install solar PV. Customer receives a monthly lease payment; PSE generates RE to supply to grid.</t>
  </si>
  <si>
    <t xml:space="preserve">PSE offers to lease commercial customers' roof-top space to install solar PV. Customer receives a monthly lease payment; PSE generates RE to supply grid. </t>
  </si>
  <si>
    <t>Multi-Family Solar Partnership</t>
  </si>
  <si>
    <t>Landlord</t>
  </si>
  <si>
    <t>Landlord or 3rd party</t>
  </si>
  <si>
    <t>3rd Party Distributed Solar PPA or Solar Lease</t>
  </si>
  <si>
    <t>Reg Feasibility (H/M/L)</t>
  </si>
  <si>
    <t>Cust Feasibility (H/M/L)</t>
  </si>
  <si>
    <t>IT/Grid Feasibility (H/M/L)</t>
  </si>
  <si>
    <t>Portfolio resource</t>
  </si>
  <si>
    <t>PSE Program or PSE Rate</t>
  </si>
  <si>
    <t>x</t>
  </si>
  <si>
    <t>C&amp;I BYO Battery</t>
  </si>
  <si>
    <t>Residential BYO Battery Offer</t>
  </si>
  <si>
    <t>PSE Mobile Batteries</t>
  </si>
  <si>
    <t>Consumer Peer-to-Peer Batteries</t>
  </si>
  <si>
    <t>PSE Pole-Mounted Batteries</t>
  </si>
  <si>
    <t>PSE Substation Batteries</t>
  </si>
  <si>
    <t>3rd Party Utility-scale Distributed Battery PPA</t>
  </si>
  <si>
    <t>PSE Utility-Scale Distributed Battery Stations</t>
  </si>
  <si>
    <t>Consumer Peer-to-Peer Solar</t>
  </si>
  <si>
    <t>C&amp;I Small &amp; Minority-owned Business Roof-top Solar Leasing</t>
  </si>
  <si>
    <t>PSE Small-scale Utility Solar PV Generation Stations</t>
  </si>
  <si>
    <t>3rd Party/Co-Op Community Solar</t>
  </si>
  <si>
    <t>C&amp;I Roof-top Solar Incentive</t>
  </si>
  <si>
    <t>Ops Feasibility (H/M/L)</t>
  </si>
  <si>
    <t xml:space="preserve">PSE offers customers the ability to subscribe to the output of solar panels deployed throughout the service territory. Customers pay a monthly fee and receive a monthly credit for generation. </t>
  </si>
  <si>
    <t xml:space="preserve">3rd party installs/provides roof-top solar panels to customers throughout service territory. PSE off-takes RE via PPA or net metering while the 3rd party is responsible for managing program and financing equipment. </t>
  </si>
  <si>
    <t>3rd party installs/provides solar panels to customers for subscription throughout service territory. PSE off-takes RE via PPA while 3rd party is responsible for managing program and financing equipment.</t>
  </si>
  <si>
    <t>PSE deploys small-scale solar PV within its service territories and/or within/along their ROWs that generates RE to supply grid.</t>
  </si>
  <si>
    <t xml:space="preserve">PSE facilitates installation of solar PV at MFU buildings by connecting with technology providers and/or billing support to share production across units. </t>
  </si>
  <si>
    <t>PSE installs batteries along feeders to help increase power quality and/or resiliency, as well as to help manage system/local peak.</t>
  </si>
  <si>
    <t xml:space="preserve">Provides battery storage access to low income customers by discounting their monthly subscription fee, resulting in cost savings, and potentially, backup power. </t>
  </si>
  <si>
    <t>PSE offers customers subscription to the output of batteries locally and/or across service territory that help to manage system/local peak. Customer receives a monthly credit based on savings from battery, and potentially, backup power.</t>
  </si>
  <si>
    <t>3rd Party installs/manages network of commercial batteries that provide backup power, demand charge reduction, and RE integration for customers. 3rd Party will aggregate network of batteries to respond to dispatch signal from PSE to help integrate renewables and manage system/local peak.</t>
  </si>
  <si>
    <t>3rd Party installs/manages network of residential batteries that provide backup power and RE integration for customers. 3rd Party will aggregate network of batteries to respond to dispatch signal from PSE to help integreate renewables and manage system or local peak.</t>
  </si>
  <si>
    <t>PSE offers upfront incentive to commercial customers, discounting their upfront cost to install and own distributed solar generation throughout service territory.</t>
  </si>
  <si>
    <t>PSE offers upfront incentive for residential customers, discounting their upfront cost to install and own distributed solar generation throughout service territory.</t>
  </si>
  <si>
    <t>Tariff targeted to existing/new commercial battery owners that encourages optimal load behavior, charge/discharge, and/or PSE access that helps PSE to manage system/local peak.</t>
  </si>
  <si>
    <t>Tariff targeted to existing/new residential battery owners that encourages optimal load behavior, charge/discharge, and/or PSE access that helps PSE to manage system/local peak.</t>
  </si>
  <si>
    <t>PSE offers upfront incentive to commercial customer to install their own BESS, with terms for operating modes that lead to optimal load behavior.</t>
  </si>
  <si>
    <t>PSE offers C&amp;I customers with enrollment to solar+storage rate that incentivizes specific load and charge/discharge that helps PSE manage system/local peak.</t>
  </si>
  <si>
    <t xml:space="preserve">PSE offers customers the ability to subscribe to the output of batteries installed at other C&amp;I/residential locations. Customers can share in savings from batteries that help PSE to manage system/local peak. </t>
  </si>
  <si>
    <t>PSE offers upfront incentive to residential customers to install their own BESS, with terms for operating modes that lead to optimal load behavior.</t>
  </si>
  <si>
    <t>PSE offers residential customers with enrollment to solar+storage rate that incentivizes specific load and charge/discharge that helps PSE manage system/local peak.</t>
  </si>
  <si>
    <t xml:space="preserve">PSE installs batteries in customer homes. Customers pay a monthly fee for backup power services; PSE uses battery to manage system/local peaks. </t>
  </si>
  <si>
    <t>PSE provides targeted deployment of batteries for low-income customers. Customers benefit from back-up power and PSE can use batteries to manage system/local peaks.</t>
  </si>
  <si>
    <t>PSE partners with MFU owner/developer to deploy battery program. MFU rentees benefit from back-up power and PSE uses batteries to help manage system/local peaks.</t>
  </si>
  <si>
    <t>PSE leases public/municipal space to deploy BESS to improve power quality and/or resiliency  and manage system/local peaks.</t>
  </si>
  <si>
    <t>PSE offers incentive to MFU building owners, discounting their upfront cost to install and own solar in PSE's service territory.</t>
  </si>
  <si>
    <t>N/A</t>
  </si>
  <si>
    <t>Q1</t>
  </si>
  <si>
    <t>Q2</t>
  </si>
  <si>
    <t>Q3</t>
  </si>
  <si>
    <t>Q4</t>
  </si>
  <si>
    <t>PSE deploys mobile batteries to support planned and (un-)planned outages, as well as to help manage system/local peak. Batteries can serve at distribution level.</t>
  </si>
  <si>
    <t>In Operation</t>
  </si>
  <si>
    <t>Voluntary customer program to install roof-top solar and state-regulated mandate for compensation on generated energy imported to grid.</t>
  </si>
  <si>
    <t>Feasibility</t>
  </si>
  <si>
    <t>Likely to define Q2+</t>
  </si>
  <si>
    <t>Defines Q1</t>
  </si>
  <si>
    <t>Strategic Fit</t>
  </si>
  <si>
    <t>System Benefit Score</t>
  </si>
  <si>
    <t>Overall Feasibility Score</t>
  </si>
  <si>
    <t xml:space="preserve">Weighted to reduce importance of Ops feasability. Presumption is PSE would be expected to adjust ops as needed </t>
  </si>
  <si>
    <t>Scalability</t>
  </si>
  <si>
    <t>Overall Scalability Score</t>
  </si>
  <si>
    <t>Reflects unchanged stakeholder scoring</t>
  </si>
  <si>
    <t xml:space="preserve">new potential subcategory </t>
  </si>
  <si>
    <t>Overall Strategic Characteristics Score</t>
  </si>
  <si>
    <t>Strategic Characteristics</t>
  </si>
  <si>
    <t>Total Points by Category</t>
  </si>
  <si>
    <t>Feasability</t>
  </si>
  <si>
    <t>Equity</t>
  </si>
  <si>
    <t>% of points awarded, by score</t>
  </si>
  <si>
    <t xml:space="preserve">New potential subcategories for consideration. </t>
  </si>
  <si>
    <t>Idependent score out of 100 Points</t>
  </si>
  <si>
    <r>
      <t>PSE leases space from/at C&amp;I customers to deploy BESS to improve power quality and/or resiliency and manage system/local pea</t>
    </r>
    <r>
      <rPr>
        <sz val="14"/>
        <rFont val="Calibri"/>
        <family val="2"/>
        <scheme val="minor"/>
      </rPr>
      <t>k. Backup power for host customer as additional integration.</t>
    </r>
  </si>
  <si>
    <t>Notes:</t>
  </si>
  <si>
    <t>Required to achieve IRP/CETA goals (in addition to System Peak Reduction)</t>
  </si>
  <si>
    <t>Internal Stakeholder Survey Score (H/M/L)</t>
  </si>
  <si>
    <t>H/M/L</t>
  </si>
  <si>
    <t>DER solution provider leverages local labor and/or meaningfully contributes to workforce development opportunities</t>
  </si>
  <si>
    <t>Provides Local Jobs</t>
  </si>
  <si>
    <t>Program or offering features the ability for customers to easily procure and benefit from DERs to alleviate arrearage</t>
  </si>
  <si>
    <t>Customer Assistance Incentives</t>
  </si>
  <si>
    <t>Enables tenants to make energy decisions that align with CETA targets</t>
  </si>
  <si>
    <t>Applicable to Renters</t>
  </si>
  <si>
    <t>Provides savings and benefits to customers and does not depend solely on savings to accrue over a given payback time</t>
  </si>
  <si>
    <t>Immediate Customer Savings</t>
  </si>
  <si>
    <t>Reduces barriers associated with customers needing up-front capital to particiate in programs</t>
  </si>
  <si>
    <t>Reduction in Upfront Participation Cost</t>
  </si>
  <si>
    <t>Equity Score</t>
  </si>
  <si>
    <t>Regulatory</t>
  </si>
  <si>
    <t>Customer</t>
  </si>
  <si>
    <t>IT/Grid Modernization</t>
  </si>
  <si>
    <t>Strategic Pilot</t>
  </si>
  <si>
    <t>Stakeholder Strategic Fit Score</t>
  </si>
  <si>
    <t>Cohesive PSE Customer Experience</t>
  </si>
  <si>
    <t>PSE Control of Devices</t>
  </si>
  <si>
    <t>Represents key features of PSE’s goal of becoming its customer’s clean energy partner of choice through an equal weighting of PSE’s ability to control DER devices to maximize learning and experience in operating DERs, cohesive customer experience, and position for strategic piloting, and feedback from internal stakeholders.</t>
  </si>
  <si>
    <t>Longer Term MW</t>
  </si>
  <si>
    <t>Near Term MW</t>
  </si>
  <si>
    <t>Qualitatively evaluates concepts to provide capacity in line with IRP goals in the short-term (within the 4-year CEIP timeframe) and/or over the long-term (4-10-year timeframe).</t>
  </si>
  <si>
    <t>Y/N</t>
  </si>
  <si>
    <t>Non-wire Alternative</t>
  </si>
  <si>
    <t>Reduced System Peak</t>
  </si>
  <si>
    <t>Contributes to clean kWh</t>
  </si>
  <si>
    <t xml:space="preserve">Scores the ability to contribute to clean kWh, system peak shaving, or deferral of capital expenditure using DER concepts. Concepts not contributing to any of these three system benefits are not directly aligned with meeting CETA targets. </t>
  </si>
  <si>
    <t>System Benefits</t>
  </si>
  <si>
    <t xml:space="preserve">Strategic Fit </t>
  </si>
  <si>
    <t>Scoring Mechanism</t>
  </si>
  <si>
    <t>Relative Weighting</t>
  </si>
  <si>
    <t>Subcategories</t>
  </si>
  <si>
    <t>Scoring Metric</t>
  </si>
  <si>
    <t>Additional Subcategories</t>
  </si>
  <si>
    <t>Short-term Potential MW (0-4 yrs)</t>
  </si>
  <si>
    <t>Long-Term Potential MW (4-10 years)</t>
  </si>
  <si>
    <t>Additional Subcatetory  Description</t>
  </si>
  <si>
    <t>Provides DER capacity that contribute to IRP targets within the next four years</t>
  </si>
  <si>
    <t>Provides DER capacity that contribute to IRP targets between four and ten years from now</t>
  </si>
  <si>
    <t>Enables PSE to control devices fully to learn and scale solutions through experience and/or allows PSE to use its low cost of capital to break down barriers to DER procurement by customers</t>
  </si>
  <si>
    <t>Description of High Score</t>
  </si>
  <si>
    <t>Provides at least some renewable energy that contributes to PSE's clean energy targets under CETA</t>
  </si>
  <si>
    <t>Resources minmizes the system peak in some way</t>
  </si>
  <si>
    <t>Resource is capanble of deferring previously discovered need to upgrad transmission and/or distribution infrastructure</t>
  </si>
  <si>
    <t>Customers have a seamless experience in navigativing energy options and understanding beneefits through PSE platforms and contracts</t>
  </si>
  <si>
    <t>Score based on survey data regarding the alingnment of programs with PSE strategy as seen through the lens of internal stakeholders</t>
  </si>
  <si>
    <t>Promising technology or operating modeling that aligns to PSE goals, but may not be at fully scalable potential at present</t>
  </si>
  <si>
    <t>Evaluates the level complexity and maturity of supporting technology required to enable to program</t>
  </si>
  <si>
    <t>Evaluates the practicality &amp; experience of participating from a customer’s point of view</t>
  </si>
  <si>
    <t xml:space="preserve">Evaluates the alignment to policy goals &amp; likelihood of receiving support/approval  </t>
  </si>
  <si>
    <t xml:space="preserve">Evaluates the level of complexity &amp; difficulty in operating the program, from the utility’s perspective. </t>
  </si>
  <si>
    <t>PSE Description</t>
  </si>
  <si>
    <t>N/A: Scored on a Y/N basis</t>
  </si>
  <si>
    <t xml:space="preserve">Program can operate according to design leveragin existing IT systems and grid technology </t>
  </si>
  <si>
    <t>Enrollment in program offerings presents few to no barriers to customer adoption</t>
  </si>
  <si>
    <t>Program aligns well to WA state regulatory environment and goals established by regulator mandates</t>
  </si>
  <si>
    <t>Operations</t>
  </si>
  <si>
    <t>Program can be stood up and rolled out to deliver its maximum potential benefits  with relatively little effort</t>
  </si>
  <si>
    <t xml:space="preserve">Customer costs to enroll in  programs are few to none. Where barriers are availble, PSE leverages its own low cost of capital to provide resources needed to enable particiaption </t>
  </si>
  <si>
    <t>Customer savings and benefits are immediate and apparent.  There is minimal lag time in bill credits or rebates where applicable</t>
  </si>
  <si>
    <t>Enables tenants to participate with minimal needs to interact with landlords and/or property owners</t>
  </si>
  <si>
    <t>Where additional devices or resources are required to enable participation by disadvantaged customers, PSE provides the needed resources to enable participation for customers</t>
  </si>
  <si>
    <t>PSE or solution partner exclusively leverage labor from disadvantged communities and/or always provide workforce training opportunities as part of their solution build</t>
  </si>
  <si>
    <t>PSE Control of Devices (H/M/L)</t>
  </si>
  <si>
    <t>Cohesive PSE Customer Experience (H/M/L)</t>
  </si>
  <si>
    <t>Strategic Pilot (H/M/L)</t>
  </si>
  <si>
    <t>Max</t>
  </si>
  <si>
    <t>Strategic Fit Summary Stats</t>
  </si>
  <si>
    <t>FeasibilityFit Summary Stats</t>
  </si>
  <si>
    <t>Min</t>
  </si>
  <si>
    <t>Median</t>
  </si>
  <si>
    <t>Std. Dev</t>
  </si>
  <si>
    <t>Vertical Boundary</t>
  </si>
  <si>
    <t>Horizontal Boundary</t>
  </si>
  <si>
    <t>Average</t>
  </si>
  <si>
    <t>Strategic Fit Rank</t>
  </si>
  <si>
    <t>Total  Count:</t>
  </si>
  <si>
    <t>Changed Quadrant</t>
  </si>
  <si>
    <t>Overall Strategic Fit Score</t>
  </si>
  <si>
    <t>Net Metering (Existing)</t>
  </si>
  <si>
    <t>Net Metering (Successor)</t>
  </si>
  <si>
    <t>Next iteration of voluntary customer program to install roof-top solar and state-regulated mandate for compensation, at a reduced rate from prior, on generated energy imported to grid.</t>
  </si>
  <si>
    <t>Did Priority Quadrant Change?</t>
  </si>
  <si>
    <t xml:space="preserve">PSE target's lease to low-income and/or impacted residential customers for access to roof-top space to install solar PV. Customer receives a monthly lease payment; PSE generates RE to supply grid. </t>
  </si>
  <si>
    <t>Residential PSE Battery Leasing</t>
  </si>
  <si>
    <t>Residential PSE Battery Leasing Pilot - Low Income</t>
  </si>
  <si>
    <t>3rd Party installs/manges single/network of batteries to respond to dispatch signal from PSE to help increase power quality and/or resiliency, as well as manage system/local peak. Battery through All Source.</t>
  </si>
  <si>
    <t>PSE leases space from/at C&amp;I customers to deploy BESS to improve power quality and/or resiliency and manage system/local peak. Backup power for host customer as additional integration.</t>
  </si>
  <si>
    <t>Residential Roof-top Solar Leasing (Low-Income)</t>
  </si>
  <si>
    <t>Stakeholder Collective Feasibility Scores</t>
  </si>
  <si>
    <t>DER Concept</t>
  </si>
  <si>
    <t>DER Concept Description</t>
  </si>
  <si>
    <t>Regulatory Feasibility</t>
  </si>
  <si>
    <t>IT/Grid Feasibility</t>
  </si>
  <si>
    <t>Customer Feasibility</t>
  </si>
  <si>
    <t>Did PSE's Priority Quadrant Change?</t>
  </si>
  <si>
    <t>Updated Q1 Concepts</t>
  </si>
  <si>
    <t>Updated Q2 Concepts</t>
  </si>
  <si>
    <t>Program Concept</t>
  </si>
  <si>
    <t>Program Description</t>
  </si>
  <si>
    <t>PSE enrolls customers through a monthly incentive program to host solar+storage systems with that can off-set customers' load from the grid in response to operating settings or dispatch signals from PSE</t>
  </si>
  <si>
    <t>Total</t>
  </si>
  <si>
    <t>PSE installs distributed batteries locally, communally, and/or in urban settings (i.e. outside of substations). Batteries help to improve power quality and/or resiliency, integrate renewables, or manage system/local peak.</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</si>
  <si>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</si>
  <si>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</si>
  <si>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3rd Party Distributed Solar PPA (or Solar Lease)</t>
  </si>
  <si>
    <t>Multi-Family Roof-top Solar Incentive</t>
  </si>
  <si>
    <t>PSE Customer-Sited Solar+Storage Offering</t>
  </si>
  <si>
    <t>Portfolio Resource</t>
  </si>
  <si>
    <t>Residential PSE Battery Leasing - Low Income</t>
  </si>
  <si>
    <t>Landlord or 3rd Party</t>
  </si>
  <si>
    <t>Residential Roof-top Solar Leasing - Low Income</t>
  </si>
  <si>
    <t>C&amp;I Battery BYO</t>
  </si>
  <si>
    <t>Strategic add on 4/23 to ensure comprehensive view on concept options potentially available to customers</t>
  </si>
  <si>
    <t>Solar+Battery</t>
  </si>
  <si>
    <t>Solar+BESS</t>
  </si>
  <si>
    <t xml:space="preserve">3rd party installs/provides roof-top solar panels to customers throughout service territory. PSE off-takes RE via PPA while the 3rd party is responsible for managing program and financing equipment. </t>
  </si>
  <si>
    <t>Original PSE Quadrant</t>
  </si>
  <si>
    <t>Updated PSE Quadrant</t>
  </si>
  <si>
    <t xml:space="preserve">Tab created by West Monroe, third party consultant and subject matter expert, in Q1 2021. Intent of tab to help with formulas and scoring documented in subsequent tabs. </t>
  </si>
  <si>
    <t>Ops Feasibility</t>
  </si>
  <si>
    <t>Basis/Notes</t>
  </si>
  <si>
    <t>Prioritized Program Concept for Cost &amp; Market</t>
  </si>
  <si>
    <t>Must take for preferred portfolio</t>
  </si>
  <si>
    <t>Integrated to C&amp;I Space Leasing for Batteries</t>
  </si>
  <si>
    <t>Combined with 3rd Party Distributed C&amp;I Battery PPA</t>
  </si>
  <si>
    <t>Low feasibility; noted for lack of industry benchmarks</t>
  </si>
  <si>
    <t>Combined with 3rd Party Distributed Residential Battery PPA</t>
  </si>
  <si>
    <t>Integrated with Community Solar</t>
  </si>
  <si>
    <t>Strategic add based on feasibility of design and alignment with customer incentive</t>
  </si>
  <si>
    <t>Defer to 'partnership' and 'incentive' program concepts</t>
  </si>
  <si>
    <t xml:space="preserve">3rd Party installs/manges single/network of batteries to respond to dispatch signal from PSE to help increase power quality and/or resiliency, as well as manage system/local peak. </t>
  </si>
  <si>
    <t>Integrated to C&amp;I Roof-top Solar Leasing</t>
  </si>
  <si>
    <t>Integrated to PSE Customer-sited Solar+Storage Offering</t>
  </si>
  <si>
    <t xml:space="preserve">Tab created by West Monroe, third party consultant and subject matter expert, in Q1 2021. </t>
  </si>
  <si>
    <t>Tab created by West Monroe, third party consultant and subject matter expert, in Q1 2021. Further updated and edited by the PSE DERs team.</t>
  </si>
  <si>
    <t>Original Q1 Concepts</t>
  </si>
  <si>
    <t>Original Q2 Concepts</t>
  </si>
  <si>
    <t>PSE stakeholder input completed in Q1 2021 and led by DER team with cross-functional representation of PSE subject matter experts.</t>
  </si>
  <si>
    <t>i</t>
  </si>
  <si>
    <t>ii</t>
  </si>
  <si>
    <t>iii</t>
  </si>
  <si>
    <t>iv</t>
  </si>
  <si>
    <t>v</t>
  </si>
  <si>
    <t>vi</t>
  </si>
  <si>
    <t>Updated assessment of quadrants with modeling/support by West Monroe. Assessment based on comparative strategic fit and feasibility scores for all DER program concepts.</t>
  </si>
  <si>
    <t>Scoring performed independently by West Monroe and serving as reference for PSE.</t>
  </si>
  <si>
    <t>Initial assessment of quadrants by PSE after leading cross-functional input from internal stakeholder and subject matter experts. Subsequent engagement with West Monroe as due dilligence to confirm prioritization.</t>
  </si>
  <si>
    <t xml:space="preserve">Scoring based on average between cross-functional input from PSE internal stakeholders and subject matter experts and West Monroe. Hybrid approach utilized to leverage West Monroe's outside perspective and experience on DER technology feasibility and industry trends. </t>
  </si>
  <si>
    <t>Refer to tab, "DER Prog Concept List" for full list of DER program concepts proceeding to cost and market potential assessment to be performed by third-party service provider and subject matter expert</t>
  </si>
  <si>
    <t>Scoring based on cross-functional input from PSE internal stakeholders and subject matter experts.</t>
  </si>
  <si>
    <t xml:space="preserve">List prepared by PSE in April 2021 as prioritized list of DER program concepts to proceed to cost and market potential assessment. PSE secured, via competitive RFP, the third-party consultant and subject matter expert, Black &amp; Veatch, to perform services. </t>
  </si>
  <si>
    <t>Tab originated by PSE and formatting updated by assistance from West Monroe, third party consultant and subject matter expert, in Q1 2021.</t>
  </si>
  <si>
    <t>Quandrants methodology originated by PSE and supported by West Monroe. Refer to Appendix D-5 for detail of methodology:</t>
  </si>
  <si>
    <t>Methodology for screening of "Strategic Fit" and "Feasibility" developed by PSE and supported by assistance from West Monroe. Refer to Appendix D-5 for details.</t>
  </si>
  <si>
    <t>Refer to Appendix K for details of methdology and assessment for cost and market potential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</si>
</sst>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7"/>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sz val="11"/>
      <color theme="1"/>
      <name val="Calibri"/>
      <family val="2"/>
      <scheme val="minor"/>
    </font>
    <font>
      <b/>
      <sz val="16"/>
      <color theme="1"/>
      <name val="Calibri"/>
      <family val="2"/>
      <scheme val="minor"/>
    </font>
    <font>
      <b/>
      <sz val="18"/>
      <color theme="1"/>
      <name val="Calibri"/>
      <family val="2"/>
      <scheme val="minor"/>
    </font>
    <font>
      <b/>
      <sz val="18"/>
      <color theme="0"/>
      <name val="Calibri"/>
      <family val="2"/>
      <scheme val="minor"/>
    </font>
    <font>
      <b/>
      <sz val="18"/>
      <color theme="2" tint="-0.749992370372631"/>
      <name val="Calibri"/>
      <family val="2"/>
      <scheme val="minor"/>
    </font>
    <font>
      <b/>
      <i/>
      <sz val="28"/>
      <color theme="0"/>
      <name val="Calibri"/>
      <family val="2"/>
      <scheme val="minor"/>
    </font>
    <font>
      <sz val="14"/>
      <color theme="1"/>
      <name val="Calibri"/>
      <family val="2"/>
      <scheme val="minor"/>
    </font>
    <font>
      <b/>
      <i/>
      <u/>
      <sz val="20"/>
      <color theme="1"/>
      <name val="Calibri"/>
      <family val="2"/>
      <scheme val="minor"/>
    </font>
    <font>
      <sz val="14"/>
      <name val="Calibri"/>
      <family val="2"/>
      <scheme val="minor"/>
    </font>
    <font>
      <b/>
      <sz val="16"/>
      <name val="Calibri"/>
      <family val="2"/>
      <scheme val="minor"/>
    </font>
    <font>
      <b/>
      <i/>
      <sz val="26"/>
      <color theme="0"/>
      <name val="Calibri"/>
      <family val="2"/>
      <scheme val="minor"/>
    </font>
    <font>
      <b/>
      <i/>
      <sz val="14"/>
      <color theme="1"/>
      <name val="Calibri"/>
      <family val="2"/>
      <scheme val="minor"/>
    </font>
    <font>
      <b/>
      <i/>
      <sz val="18"/>
      <color theme="1"/>
      <name val="Calibri"/>
      <family val="2"/>
      <scheme val="minor"/>
    </font>
    <font>
      <sz val="15"/>
      <color theme="1"/>
      <name val="Calibri"/>
      <family val="2"/>
      <scheme val="minor"/>
    </font>
    <font>
      <b/>
      <sz val="14"/>
      <color theme="1"/>
      <name val="Calibri"/>
      <family val="2"/>
      <scheme val="minor"/>
    </font>
    <font>
      <b/>
      <sz val="20"/>
      <color theme="1"/>
      <name val="Calibri"/>
      <family val="2"/>
      <scheme val="minor"/>
    </font>
    <font>
      <b/>
      <i/>
      <sz val="20"/>
      <color theme="1"/>
      <name val="Calibri"/>
      <family val="2"/>
      <scheme val="minor"/>
    </font>
    <font>
      <sz val="9"/>
      <color theme="1"/>
      <name val="Calibri"/>
      <family val="2"/>
      <scheme val="minor"/>
    </font>
    <font>
      <i/>
      <sz val="9"/>
      <color theme="1"/>
      <name val="Calibri"/>
      <family val="2"/>
      <scheme val="minor"/>
    </font>
    <font>
      <b/>
      <sz val="16"/>
      <color theme="0"/>
      <name val="Calibri"/>
      <family val="2"/>
      <scheme val="minor"/>
    </font>
    <font>
      <b/>
      <sz val="9"/>
      <color theme="1"/>
      <name val="Calibri"/>
      <family val="2"/>
      <scheme val="minor"/>
    </font>
    <font>
      <i/>
      <sz val="8"/>
      <color rgb="FF000000"/>
      <name val="Calibri"/>
      <family val="2"/>
    </font>
    <font>
      <sz val="5"/>
      <color theme="1"/>
      <name val="Calibri"/>
      <family val="2"/>
      <scheme val="minor"/>
    </font>
    <font>
      <i/>
      <sz val="9"/>
      <color rgb="FF000000"/>
      <name val="Calibri"/>
      <family val="2"/>
    </font>
    <font>
      <b/>
      <i/>
      <sz val="12"/>
      <color theme="1"/>
      <name val="Calibri"/>
      <family val="2"/>
      <scheme val="minor"/>
    </font>
    <font>
      <b/>
      <i/>
      <sz val="14"/>
      <color theme="0"/>
      <name val="Calibri"/>
      <family val="2"/>
      <scheme val="minor"/>
    </font>
    <font>
      <b/>
      <i/>
      <sz val="28"/>
      <color theme="1"/>
      <name val="Calibri"/>
      <family val="2"/>
      <scheme val="minor"/>
    </font>
    <font>
      <b/>
      <i/>
      <sz val="11"/>
      <color theme="1"/>
      <name val="Calibri"/>
      <family val="2"/>
      <scheme val="minor"/>
    </font>
    <font>
      <sz val="24"/>
      <color rgb="FFFF0000"/>
      <name val="Calibri"/>
      <family val="2"/>
      <scheme val="minor"/>
    </font>
    <font>
      <sz val="24"/>
      <color theme="1"/>
      <name val="Calibri"/>
      <family val="2"/>
      <scheme val="minor"/>
    </font>
    <font>
      <b/>
      <sz val="11"/>
      <color theme="0"/>
      <name val="Calibri"/>
      <family val="2"/>
      <scheme val="minor"/>
    </font>
    <font>
      <b/>
      <i/>
      <sz val="11"/>
      <color theme="0"/>
      <name val="Calibri"/>
      <family val="2"/>
      <scheme val="minor"/>
    </font>
    <font>
      <sz val="8"/>
      <color theme="1"/>
      <name val="Calibri"/>
      <family val="2"/>
      <scheme val="minor"/>
    </font>
    <font>
      <i/>
      <sz val="11"/>
      <color rgb="FF0070C0"/>
      <name val="Calibri"/>
      <family val="2"/>
      <scheme val="minor"/>
    </font>
    <font>
      <i/>
      <sz val="10"/>
      <color rgb="FF0070C0"/>
      <name val="Calibri"/>
      <family val="2"/>
      <scheme val="minor"/>
    </font>
    <font>
      <sz val="11"/>
      <color rgb="FFFF0000"/>
      <name val="Calibri"/>
      <family val="2"/>
      <scheme val="minor"/>
    </font>
    <font>
      <u/>
      <sz val="11"/>
      <color theme="10"/>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rgb="FF006666"/>
        <bgColor indexed="64"/>
      </patternFill>
    </fill>
    <fill>
      <patternFill patternType="solid">
        <fgColor theme="7" tint="0.79998168889431442"/>
        <bgColor indexed="64"/>
      </patternFill>
    </fill>
    <fill>
      <patternFill patternType="solid">
        <fgColor theme="7"/>
        <bgColor indexed="64"/>
      </patternFill>
    </fill>
    <fill>
      <patternFill patternType="solid">
        <fgColor rgb="FFCCFFFF"/>
        <bgColor indexed="64"/>
      </patternFill>
    </fill>
    <fill>
      <patternFill patternType="solid">
        <fgColor rgb="FF008080"/>
        <bgColor indexed="64"/>
      </patternFill>
    </fill>
    <fill>
      <patternFill patternType="solid">
        <fgColor rgb="FFFFF2CC"/>
        <bgColor indexed="64"/>
      </pattern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FFC000"/>
      </left>
      <right style="medium">
        <color rgb="FFFFC000"/>
      </right>
      <top/>
      <bottom style="medium">
        <color rgb="FFFFC000"/>
      </bottom>
      <diagonal/>
    </border>
    <border>
      <left/>
      <right/>
      <top/>
      <bottom style="medium">
        <color rgb="FFFFC000"/>
      </bottom>
      <diagonal/>
    </border>
    <border>
      <left style="medium">
        <color rgb="FFFFC000"/>
      </left>
      <right style="medium">
        <color rgb="FFFFC000"/>
      </right>
      <top/>
      <bottom/>
      <diagonal/>
    </border>
    <border>
      <left style="medium">
        <color rgb="FFFFC000"/>
      </left>
      <right style="medium">
        <color rgb="FFFFC000"/>
      </right>
      <top style="thin">
        <color rgb="FFFFC000"/>
      </top>
      <bottom style="thin">
        <color rgb="FFFFC000"/>
      </bottom>
      <diagonal/>
    </border>
    <border>
      <left style="medium">
        <color rgb="FFFFC000"/>
      </left>
      <right style="medium">
        <color rgb="FFFFC000"/>
      </right>
      <top/>
      <bottom style="thin">
        <color rgb="FFFFC000"/>
      </bottom>
      <diagonal/>
    </border>
    <border>
      <left style="medium">
        <color rgb="FFFFC000"/>
      </left>
      <right style="medium">
        <color rgb="FFFFC000"/>
      </right>
      <top style="medium">
        <color rgb="FFFFC000"/>
      </top>
      <bottom style="thin">
        <color rgb="FFFFC000"/>
      </bottom>
      <diagonal/>
    </border>
    <border>
      <left style="medium">
        <color rgb="FFFFC000"/>
      </left>
      <right style="medium">
        <color rgb="FFFFC000"/>
      </right>
      <top style="medium">
        <color rgb="FFFFC000"/>
      </top>
      <bottom/>
      <diagonal/>
    </border>
    <border>
      <left/>
      <right style="medium">
        <color rgb="FFFFC000"/>
      </right>
      <top/>
      <bottom style="medium">
        <color rgb="FFFFC000"/>
      </bottom>
      <diagonal/>
    </border>
    <border>
      <left style="medium">
        <color rgb="FFFFC000"/>
      </left>
      <right/>
      <top/>
      <bottom style="medium">
        <color rgb="FFFFC000"/>
      </bottom>
      <diagonal/>
    </border>
    <border>
      <left style="medium">
        <color rgb="FFFFC000"/>
      </left>
      <right/>
      <top/>
      <bottom style="thin">
        <color rgb="FFFFC000"/>
      </bottom>
      <diagonal/>
    </border>
    <border>
      <left style="medium">
        <color rgb="FFFFC000"/>
      </left>
      <right/>
      <top/>
      <bottom/>
      <diagonal/>
    </border>
    <border>
      <left style="medium">
        <color rgb="FFFFC000"/>
      </left>
      <right style="medium">
        <color rgb="FFFFC000"/>
      </right>
      <top style="thin">
        <color rgb="FFFFC000"/>
      </top>
      <bottom/>
      <diagonal/>
    </border>
    <border>
      <left style="medium">
        <color rgb="FFFFC000"/>
      </left>
      <right/>
      <top style="thin">
        <color rgb="FFFFC000"/>
      </top>
      <bottom/>
      <diagonal/>
    </border>
    <border>
      <left style="medium">
        <color rgb="FFFFC000"/>
      </left>
      <right/>
      <top style="medium">
        <color rgb="FFFFC000"/>
      </top>
      <bottom/>
      <diagonal/>
    </border>
    <border>
      <left style="medium">
        <color rgb="FFFFC000"/>
      </left>
      <right style="medium">
        <color rgb="FFFFC000"/>
      </right>
      <top style="medium">
        <color rgb="FFFFC000"/>
      </top>
      <bottom style="medium">
        <color rgb="FFFFC000"/>
      </bottom>
      <diagonal/>
    </border>
    <border>
      <left/>
      <right/>
      <top style="medium">
        <color rgb="FFFFC000"/>
      </top>
      <bottom style="medium">
        <color rgb="FFFFC000"/>
      </bottom>
      <diagonal/>
    </border>
    <border>
      <left/>
      <right/>
      <top/>
      <bottom style="thin">
        <color rgb="FFFFC000"/>
      </bottom>
      <diagonal/>
    </border>
    <border>
      <left/>
      <right style="thin">
        <color rgb="FFFFC000"/>
      </right>
      <top style="thin">
        <color rgb="FFFFC000"/>
      </top>
      <bottom style="thin">
        <color rgb="FFFFC000"/>
      </bottom>
      <diagonal/>
    </border>
    <border>
      <left/>
      <right style="medium">
        <color rgb="FFFFC000"/>
      </right>
      <top style="medium">
        <color rgb="FFFFC000"/>
      </top>
      <bottom style="thin">
        <color rgb="FFFFC000"/>
      </bottom>
      <diagonal/>
    </border>
    <border>
      <left/>
      <right style="medium">
        <color rgb="FFFFC000"/>
      </right>
      <top style="thin">
        <color rgb="FFFFC000"/>
      </top>
      <bottom style="thin">
        <color rgb="FFFFC000"/>
      </bottom>
      <diagonal/>
    </border>
    <border>
      <left/>
      <right style="medium">
        <color rgb="FFFFC000"/>
      </right>
      <top/>
      <bottom style="thin">
        <color rgb="FFFFC000"/>
      </bottom>
      <diagonal/>
    </border>
    <border>
      <left style="medium">
        <color rgb="FFFFC000"/>
      </left>
      <right style="medium">
        <color rgb="FFFFC000"/>
      </right>
      <top style="thin">
        <color rgb="FFFFC000"/>
      </top>
      <bottom style="medium">
        <color rgb="FFFFC000"/>
      </bottom>
      <diagonal/>
    </border>
    <border>
      <left style="thin">
        <color rgb="FFFFC000"/>
      </left>
      <right style="medium">
        <color rgb="FFFFC000"/>
      </right>
      <top style="medium">
        <color rgb="FFFFC000"/>
      </top>
      <bottom style="thin">
        <color rgb="FFFFC000"/>
      </bottom>
      <diagonal/>
    </border>
    <border>
      <left style="thin">
        <color rgb="FFFFC000"/>
      </left>
      <right style="medium">
        <color rgb="FFFFC000"/>
      </right>
      <top style="thin">
        <color rgb="FFFFC000"/>
      </top>
      <bottom style="thin">
        <color rgb="FFFFC000"/>
      </bottom>
      <diagonal/>
    </border>
    <border>
      <left style="thin">
        <color rgb="FFFFC000"/>
      </left>
      <right style="medium">
        <color rgb="FFFFC000"/>
      </right>
      <top style="thin">
        <color rgb="FFFFC000"/>
      </top>
      <bottom style="medium">
        <color rgb="FFFFC000"/>
      </bottom>
      <diagonal/>
    </border>
    <border>
      <left style="medium">
        <color rgb="FFFFC000"/>
      </left>
      <right style="medium">
        <color rgb="FFFFC000"/>
      </right>
      <top style="medium">
        <color rgb="FFFFC000"/>
      </top>
      <bottom style="thin">
        <color theme="7"/>
      </bottom>
      <diagonal/>
    </border>
    <border>
      <left style="medium">
        <color rgb="FFFFC000"/>
      </left>
      <right style="medium">
        <color rgb="FFFFC000"/>
      </right>
      <top style="thin">
        <color theme="7"/>
      </top>
      <bottom style="thin">
        <color theme="7"/>
      </bottom>
      <diagonal/>
    </border>
    <border>
      <left style="medium">
        <color rgb="FFFFC000"/>
      </left>
      <right style="medium">
        <color rgb="FFFFC000"/>
      </right>
      <top style="thin">
        <color rgb="FFFFC000"/>
      </top>
      <bottom style="thin">
        <color theme="7"/>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9" fillId="0" borderId="0" applyFont="0" applyFill="0" applyBorder="0" applyAlignment="0" applyProtection="0"/>
    <xf numFmtId="0" fontId="45" fillId="0" borderId="0" applyNumberFormat="0" applyFill="0" applyBorder="0" applyAlignment="0" applyProtection="0"/>
  </cellStyleXfs>
  <cellXfs count="327">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0" xfId="0" applyAlignment="1">
      <alignment wrapText="1"/>
    </xf>
    <xf numFmtId="0" fontId="2" fillId="0" borderId="30" xfId="0" applyFont="1" applyBorder="1"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2" fillId="4" borderId="0" xfId="0" applyFont="1" applyFill="1" applyAlignment="1">
      <alignment vertical="center" wrapText="1"/>
    </xf>
    <xf numFmtId="0" fontId="5" fillId="0" borderId="0"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1" fillId="2" borderId="3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2" fillId="0" borderId="24" xfId="0" applyFont="1" applyBorder="1" applyAlignment="1">
      <alignment horizontal="center" vertical="center" wrapText="1"/>
    </xf>
    <xf numFmtId="9" fontId="0" fillId="0" borderId="0" xfId="0" applyNumberFormat="1"/>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2" fillId="5" borderId="31" xfId="0" applyFont="1" applyFill="1" applyBorder="1" applyAlignment="1">
      <alignment vertical="center" wrapText="1"/>
    </xf>
    <xf numFmtId="0" fontId="2" fillId="5" borderId="0" xfId="0" applyFont="1" applyFill="1" applyBorder="1" applyAlignment="1">
      <alignment vertical="center" wrapText="1"/>
    </xf>
    <xf numFmtId="0" fontId="2" fillId="5" borderId="32" xfId="0" applyFont="1" applyFill="1" applyBorder="1" applyAlignment="1">
      <alignment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3" xfId="0" applyFont="1" applyBorder="1" applyAlignment="1">
      <alignment horizontal="center" vertical="center" wrapText="1"/>
    </xf>
    <xf numFmtId="0" fontId="16" fillId="0" borderId="0" xfId="0" applyFont="1" applyAlignment="1">
      <alignment horizontal="right" vertical="center" wrapText="1"/>
    </xf>
    <xf numFmtId="0" fontId="1" fillId="0" borderId="0" xfId="0" applyFont="1" applyAlignment="1">
      <alignment horizontal="center"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5" fillId="0" borderId="17" xfId="0" applyFont="1" applyBorder="1" applyAlignment="1">
      <alignment vertical="center" wrapText="1"/>
    </xf>
    <xf numFmtId="0" fontId="17" fillId="0" borderId="1" xfId="0" applyFont="1" applyFill="1" applyBorder="1" applyAlignment="1">
      <alignment vertical="center" wrapText="1"/>
    </xf>
    <xf numFmtId="0" fontId="15" fillId="0" borderId="5" xfId="0" applyFont="1" applyBorder="1" applyAlignment="1">
      <alignment vertical="center" wrapText="1"/>
    </xf>
    <xf numFmtId="0" fontId="15" fillId="0" borderId="5" xfId="0" applyFont="1" applyFill="1" applyBorder="1" applyAlignment="1">
      <alignment vertical="center" wrapText="1"/>
    </xf>
    <xf numFmtId="0" fontId="10" fillId="0" borderId="17" xfId="0" applyFont="1" applyBorder="1" applyAlignment="1">
      <alignment vertical="center" wrapText="1"/>
    </xf>
    <xf numFmtId="0" fontId="10" fillId="0" borderId="1" xfId="0" applyFont="1" applyBorder="1" applyAlignment="1">
      <alignment vertical="center" wrapText="1"/>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Border="1" applyAlignment="1">
      <alignment horizontal="center" vertical="center" wrapText="1"/>
    </xf>
    <xf numFmtId="0" fontId="3" fillId="0" borderId="0" xfId="0" applyFont="1" applyBorder="1" applyAlignment="1">
      <alignment vertical="center" wrapText="1"/>
    </xf>
    <xf numFmtId="0" fontId="1" fillId="3" borderId="13" xfId="0" applyFont="1" applyFill="1" applyBorder="1" applyAlignment="1">
      <alignment horizontal="center" vertical="center" wrapText="1"/>
    </xf>
    <xf numFmtId="0" fontId="2" fillId="0" borderId="54" xfId="0" applyFont="1" applyBorder="1" applyAlignment="1">
      <alignment horizontal="center" vertical="center" wrapText="1"/>
    </xf>
    <xf numFmtId="9" fontId="20" fillId="0" borderId="22" xfId="0" applyNumberFormat="1" applyFont="1" applyBorder="1" applyAlignment="1">
      <alignment horizontal="center" vertical="center" wrapText="1"/>
    </xf>
    <xf numFmtId="9" fontId="20" fillId="0" borderId="23" xfId="0" applyNumberFormat="1" applyFont="1" applyBorder="1" applyAlignment="1">
      <alignment horizontal="center" vertical="center" wrapText="1"/>
    </xf>
    <xf numFmtId="9" fontId="21" fillId="0" borderId="23" xfId="0" applyNumberFormat="1" applyFont="1" applyBorder="1" applyAlignment="1">
      <alignment horizontal="center" vertical="center" wrapText="1"/>
    </xf>
    <xf numFmtId="0" fontId="21" fillId="0" borderId="23" xfId="0" applyFont="1" applyBorder="1" applyAlignment="1">
      <alignment horizontal="center" vertical="center" wrapText="1"/>
    </xf>
    <xf numFmtId="9" fontId="21" fillId="0" borderId="24" xfId="0" applyNumberFormat="1" applyFont="1" applyBorder="1" applyAlignment="1">
      <alignment horizontal="center" vertical="center" wrapText="1"/>
    </xf>
    <xf numFmtId="0" fontId="11" fillId="0" borderId="0" xfId="0" applyFont="1" applyBorder="1" applyAlignment="1">
      <alignment horizontal="center" vertical="center" wrapText="1"/>
    </xf>
    <xf numFmtId="9" fontId="21" fillId="0" borderId="22" xfId="0" applyNumberFormat="1" applyFont="1" applyBorder="1" applyAlignment="1">
      <alignment horizontal="center" vertical="center" wrapText="1"/>
    </xf>
    <xf numFmtId="0" fontId="21"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50" xfId="0" applyFont="1" applyBorder="1" applyAlignment="1">
      <alignment horizontal="center" vertical="center" wrapText="1"/>
    </xf>
    <xf numFmtId="9" fontId="25" fillId="0" borderId="6" xfId="1" applyFont="1" applyBorder="1" applyAlignment="1">
      <alignment horizontal="center" vertical="center" wrapText="1"/>
    </xf>
    <xf numFmtId="9" fontId="25" fillId="0" borderId="1" xfId="1" applyFont="1" applyBorder="1" applyAlignment="1">
      <alignment horizontal="center" vertical="center" wrapText="1"/>
    </xf>
    <xf numFmtId="9" fontId="25" fillId="0" borderId="5" xfId="1" applyFont="1" applyBorder="1" applyAlignment="1">
      <alignment horizontal="center" vertical="center" wrapText="1"/>
    </xf>
    <xf numFmtId="0" fontId="0" fillId="6" borderId="55" xfId="0" applyFill="1" applyBorder="1" applyAlignment="1">
      <alignment horizontal="center" vertical="center"/>
    </xf>
    <xf numFmtId="0" fontId="27" fillId="6" borderId="55" xfId="0" applyFont="1" applyFill="1" applyBorder="1" applyAlignment="1">
      <alignment wrapText="1"/>
    </xf>
    <xf numFmtId="0" fontId="27" fillId="6" borderId="58" xfId="0" applyFont="1" applyFill="1" applyBorder="1" applyAlignment="1">
      <alignment wrapText="1"/>
    </xf>
    <xf numFmtId="0" fontId="27" fillId="6" borderId="60" xfId="0" applyFont="1" applyFill="1" applyBorder="1" applyAlignment="1">
      <alignment wrapText="1"/>
    </xf>
    <xf numFmtId="0" fontId="0" fillId="6" borderId="59" xfId="0" applyFill="1" applyBorder="1" applyAlignment="1">
      <alignment horizontal="center" vertical="center"/>
    </xf>
    <xf numFmtId="9" fontId="0" fillId="6" borderId="57" xfId="0" applyNumberFormat="1" applyFill="1" applyBorder="1" applyAlignment="1">
      <alignment horizontal="center" vertical="center"/>
    </xf>
    <xf numFmtId="9" fontId="0" fillId="6" borderId="59" xfId="0" applyNumberFormat="1" applyFill="1" applyBorder="1" applyAlignment="1">
      <alignment horizontal="center" vertical="center"/>
    </xf>
    <xf numFmtId="9" fontId="0" fillId="6" borderId="66" xfId="0" applyNumberFormat="1" applyFill="1" applyBorder="1" applyAlignment="1">
      <alignment horizontal="center" vertical="center"/>
    </xf>
    <xf numFmtId="9" fontId="0" fillId="6" borderId="61" xfId="0" applyNumberFormat="1" applyFill="1" applyBorder="1" applyAlignment="1">
      <alignment horizontal="center" vertical="center"/>
    </xf>
    <xf numFmtId="9" fontId="23" fillId="6" borderId="61" xfId="0" applyNumberFormat="1" applyFont="1" applyFill="1" applyBorder="1" applyAlignment="1">
      <alignment horizontal="center" vertical="center"/>
    </xf>
    <xf numFmtId="9" fontId="23" fillId="6" borderId="57" xfId="0" applyNumberFormat="1" applyFont="1" applyFill="1" applyBorder="1" applyAlignment="1">
      <alignment horizontal="center" vertical="center"/>
    </xf>
    <xf numFmtId="9" fontId="23" fillId="6" borderId="59" xfId="0" applyNumberFormat="1" applyFont="1" applyFill="1" applyBorder="1" applyAlignment="1">
      <alignment horizontal="center" vertical="center"/>
    </xf>
    <xf numFmtId="9" fontId="23" fillId="6" borderId="66" xfId="0" applyNumberFormat="1" applyFont="1" applyFill="1" applyBorder="1" applyAlignment="1">
      <alignment horizontal="center" vertical="center"/>
    </xf>
    <xf numFmtId="9" fontId="23" fillId="6" borderId="60" xfId="0" applyNumberFormat="1" applyFont="1" applyFill="1" applyBorder="1" applyAlignment="1">
      <alignment horizontal="center" vertical="center"/>
    </xf>
    <xf numFmtId="9" fontId="23" fillId="6" borderId="58" xfId="0" applyNumberFormat="1" applyFont="1" applyFill="1" applyBorder="1" applyAlignment="1">
      <alignment horizontal="center" vertical="center"/>
    </xf>
    <xf numFmtId="9" fontId="23" fillId="6" borderId="55" xfId="0" applyNumberFormat="1" applyFont="1" applyFill="1" applyBorder="1" applyAlignment="1">
      <alignment horizontal="center" vertical="center"/>
    </xf>
    <xf numFmtId="0" fontId="23" fillId="8" borderId="72" xfId="0" applyFont="1" applyFill="1" applyBorder="1" applyAlignment="1">
      <alignment horizontal="center" vertical="center"/>
    </xf>
    <xf numFmtId="0" fontId="23" fillId="8" borderId="71" xfId="0" applyFont="1" applyFill="1" applyBorder="1" applyAlignment="1">
      <alignment horizontal="center" vertical="center"/>
    </xf>
    <xf numFmtId="0" fontId="23" fillId="8" borderId="56" xfId="0" applyFont="1" applyFill="1" applyBorder="1" applyAlignment="1">
      <alignment horizontal="center" vertical="center"/>
    </xf>
    <xf numFmtId="0" fontId="23" fillId="8" borderId="73" xfId="0" applyFont="1" applyFill="1" applyBorder="1" applyAlignment="1">
      <alignment horizontal="center" vertical="center"/>
    </xf>
    <xf numFmtId="0" fontId="23" fillId="8" borderId="74" xfId="0" applyFont="1" applyFill="1" applyBorder="1" applyAlignment="1">
      <alignment horizontal="center" vertical="center"/>
    </xf>
    <xf numFmtId="0" fontId="23" fillId="8" borderId="75" xfId="0" applyFont="1" applyFill="1" applyBorder="1" applyAlignment="1">
      <alignment horizontal="center" vertical="center"/>
    </xf>
    <xf numFmtId="0" fontId="29" fillId="6" borderId="59" xfId="0" applyFont="1" applyFill="1" applyBorder="1" applyAlignment="1">
      <alignment horizontal="center" vertical="center"/>
    </xf>
    <xf numFmtId="0" fontId="29" fillId="6" borderId="58" xfId="0" applyFont="1" applyFill="1" applyBorder="1" applyAlignment="1">
      <alignment horizontal="center" vertical="center"/>
    </xf>
    <xf numFmtId="0" fontId="29" fillId="6" borderId="60" xfId="0" applyFont="1" applyFill="1" applyBorder="1" applyAlignment="1">
      <alignment horizontal="center" vertical="center"/>
    </xf>
    <xf numFmtId="0" fontId="3" fillId="0" borderId="5" xfId="0" applyFont="1" applyBorder="1" applyAlignment="1">
      <alignment horizontal="center" vertical="center" wrapText="1"/>
    </xf>
    <xf numFmtId="0" fontId="26" fillId="6" borderId="56" xfId="0" applyFont="1" applyFill="1" applyBorder="1" applyAlignment="1">
      <alignment vertical="center"/>
    </xf>
    <xf numFmtId="0" fontId="26" fillId="6" borderId="0" xfId="0" applyFont="1" applyFill="1" applyBorder="1" applyAlignment="1">
      <alignment vertical="center"/>
    </xf>
    <xf numFmtId="0" fontId="29" fillId="6" borderId="55" xfId="0" applyFont="1" applyFill="1" applyBorder="1" applyAlignment="1">
      <alignment horizontal="center" vertical="center"/>
    </xf>
    <xf numFmtId="9" fontId="0" fillId="6" borderId="55" xfId="0" applyNumberFormat="1" applyFill="1" applyBorder="1" applyAlignment="1">
      <alignment horizontal="center" vertical="center"/>
    </xf>
    <xf numFmtId="0" fontId="27" fillId="6" borderId="60" xfId="0" applyFont="1" applyFill="1" applyBorder="1" applyAlignment="1">
      <alignment horizontal="left" vertical="center" wrapText="1"/>
    </xf>
    <xf numFmtId="0" fontId="27" fillId="6" borderId="59" xfId="0" applyFont="1" applyFill="1" applyBorder="1" applyAlignment="1">
      <alignment horizontal="left" vertical="center" wrapText="1"/>
    </xf>
    <xf numFmtId="0" fontId="27" fillId="6" borderId="66" xfId="0" applyFont="1" applyFill="1" applyBorder="1" applyAlignment="1">
      <alignment horizontal="left" vertical="center" wrapText="1"/>
    </xf>
    <xf numFmtId="0" fontId="27" fillId="6" borderId="58" xfId="0" applyFont="1" applyFill="1" applyBorder="1" applyAlignment="1">
      <alignment horizontal="left" vertical="center" wrapText="1"/>
    </xf>
    <xf numFmtId="0" fontId="27" fillId="6" borderId="55" xfId="0" applyFont="1" applyFill="1" applyBorder="1" applyAlignment="1">
      <alignment horizontal="left" vertical="center" wrapText="1"/>
    </xf>
    <xf numFmtId="0" fontId="2" fillId="0" borderId="17" xfId="0" quotePrefix="1" applyFont="1" applyBorder="1" applyAlignment="1">
      <alignment horizontal="center" vertical="center" wrapText="1"/>
    </xf>
    <xf numFmtId="0" fontId="30" fillId="10" borderId="77" xfId="0" applyFont="1" applyFill="1" applyBorder="1" applyAlignment="1">
      <alignment horizontal="left" vertical="center" wrapText="1" readingOrder="1"/>
    </xf>
    <xf numFmtId="0" fontId="30" fillId="10" borderId="78" xfId="0" applyFont="1" applyFill="1" applyBorder="1" applyAlignment="1">
      <alignment horizontal="left" vertical="center" wrapText="1" readingOrder="1"/>
    </xf>
    <xf numFmtId="0" fontId="30" fillId="10" borderId="79" xfId="0" applyFont="1" applyFill="1" applyBorder="1" applyAlignment="1">
      <alignment horizontal="left" vertical="center" wrapText="1" readingOrder="1"/>
    </xf>
    <xf numFmtId="0" fontId="6" fillId="0" borderId="0" xfId="0" applyFont="1"/>
    <xf numFmtId="0" fontId="31" fillId="0" borderId="0" xfId="0" applyFont="1" applyAlignment="1">
      <alignment vertical="center" wrapText="1"/>
    </xf>
    <xf numFmtId="0" fontId="6" fillId="0" borderId="0" xfId="0" applyFont="1" applyAlignment="1">
      <alignment horizontal="center"/>
    </xf>
    <xf numFmtId="0" fontId="27" fillId="6" borderId="59"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xf>
    <xf numFmtId="0" fontId="0" fillId="0" borderId="0" xfId="0" applyFont="1" applyAlignment="1">
      <alignment horizontal="center" vertical="center" wrapText="1"/>
    </xf>
    <xf numFmtId="0" fontId="18" fillId="0" borderId="41" xfId="0" applyFont="1" applyBorder="1" applyAlignment="1">
      <alignment vertical="center" wrapText="1"/>
    </xf>
    <xf numFmtId="0" fontId="15" fillId="0" borderId="44" xfId="0" applyFont="1" applyBorder="1" applyAlignment="1">
      <alignment vertical="center" wrapText="1"/>
    </xf>
    <xf numFmtId="0" fontId="2" fillId="0" borderId="53" xfId="0" applyFont="1" applyBorder="1" applyAlignment="1">
      <alignment horizontal="center" vertical="center" wrapText="1"/>
    </xf>
    <xf numFmtId="0" fontId="32" fillId="10" borderId="77" xfId="0" applyFont="1" applyFill="1" applyBorder="1" applyAlignment="1">
      <alignment horizontal="left" vertical="center" wrapText="1" readingOrder="1"/>
    </xf>
    <xf numFmtId="0" fontId="32" fillId="10" borderId="78" xfId="0" applyFont="1" applyFill="1" applyBorder="1" applyAlignment="1">
      <alignment horizontal="left" vertical="center" wrapText="1" readingOrder="1"/>
    </xf>
    <xf numFmtId="0" fontId="32" fillId="10" borderId="79" xfId="0" applyFont="1" applyFill="1" applyBorder="1" applyAlignment="1">
      <alignment horizontal="left" vertical="center" wrapText="1" readingOrder="1"/>
    </xf>
    <xf numFmtId="0" fontId="32" fillId="10" borderId="60" xfId="0" applyFont="1" applyFill="1" applyBorder="1" applyAlignment="1">
      <alignment horizontal="left" wrapText="1" readingOrder="1"/>
    </xf>
    <xf numFmtId="0" fontId="32" fillId="10" borderId="58" xfId="0" applyFont="1" applyFill="1" applyBorder="1" applyAlignment="1">
      <alignment horizontal="left" wrapText="1" readingOrder="1"/>
    </xf>
    <xf numFmtId="0" fontId="32" fillId="10" borderId="76" xfId="0" applyFont="1" applyFill="1" applyBorder="1" applyAlignment="1">
      <alignment horizontal="left" wrapText="1" readingOrder="1"/>
    </xf>
    <xf numFmtId="0" fontId="27" fillId="6" borderId="80" xfId="0" applyFont="1" applyFill="1" applyBorder="1" applyAlignment="1">
      <alignment vertical="center" wrapText="1"/>
    </xf>
    <xf numFmtId="0" fontId="27" fillId="6" borderId="81" xfId="0" applyFont="1" applyFill="1" applyBorder="1" applyAlignment="1">
      <alignment vertical="center" wrapText="1"/>
    </xf>
    <xf numFmtId="0" fontId="27" fillId="6" borderId="62" xfId="0" applyFont="1" applyFill="1" applyBorder="1" applyAlignment="1">
      <alignment vertical="center" wrapText="1"/>
    </xf>
    <xf numFmtId="0" fontId="27" fillId="6" borderId="80" xfId="0" applyFont="1" applyFill="1" applyBorder="1" applyAlignment="1">
      <alignment horizontal="left" vertical="center" wrapText="1"/>
    </xf>
    <xf numFmtId="0" fontId="27" fillId="6" borderId="81" xfId="0" applyFont="1" applyFill="1" applyBorder="1" applyAlignment="1">
      <alignment horizontal="left" vertical="center" wrapText="1"/>
    </xf>
    <xf numFmtId="9" fontId="21" fillId="0" borderId="15" xfId="0" applyNumberFormat="1" applyFont="1" applyBorder="1" applyAlignment="1">
      <alignment horizontal="center" vertical="center" wrapText="1"/>
    </xf>
    <xf numFmtId="9" fontId="21" fillId="0" borderId="13" xfId="0" applyNumberFormat="1" applyFont="1" applyBorder="1" applyAlignment="1">
      <alignment horizontal="center" vertical="center" wrapText="1"/>
    </xf>
    <xf numFmtId="0" fontId="0" fillId="6" borderId="82" xfId="0"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6" fillId="0" borderId="0" xfId="0" applyFont="1" applyAlignment="1">
      <alignment horizontal="center" vertical="top"/>
    </xf>
    <xf numFmtId="9" fontId="11" fillId="0" borderId="4" xfId="0" applyNumberFormat="1" applyFont="1" applyBorder="1" applyAlignment="1">
      <alignment vertical="center" wrapText="1"/>
    </xf>
    <xf numFmtId="0" fontId="6" fillId="0" borderId="0" xfId="0" applyFont="1" applyAlignment="1">
      <alignment horizontal="center" wrapText="1"/>
    </xf>
    <xf numFmtId="0" fontId="34" fillId="9" borderId="0" xfId="0" applyFont="1" applyFill="1" applyAlignment="1">
      <alignment horizontal="center" vertical="center" wrapText="1"/>
    </xf>
    <xf numFmtId="0" fontId="0" fillId="0" borderId="1" xfId="0" applyFont="1" applyBorder="1" applyAlignment="1">
      <alignment horizontal="center" vertical="top" wrapText="1"/>
    </xf>
    <xf numFmtId="0" fontId="0" fillId="0" borderId="1" xfId="0" applyFont="1" applyBorder="1" applyAlignment="1">
      <alignment horizontal="center" vertical="center" wrapText="1"/>
    </xf>
    <xf numFmtId="0" fontId="0" fillId="0" borderId="9" xfId="0" applyFont="1" applyBorder="1" applyAlignment="1">
      <alignment horizontal="center" vertical="top" wrapText="1"/>
    </xf>
    <xf numFmtId="0" fontId="0" fillId="0" borderId="48" xfId="0" applyFont="1" applyBorder="1" applyAlignment="1">
      <alignment horizontal="center" vertical="center" wrapText="1"/>
    </xf>
    <xf numFmtId="0" fontId="36" fillId="0" borderId="1" xfId="0" applyFont="1" applyBorder="1"/>
    <xf numFmtId="0" fontId="0" fillId="0" borderId="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4" fillId="9" borderId="14" xfId="0" applyFont="1" applyFill="1" applyBorder="1" applyAlignment="1">
      <alignment horizontal="center" vertical="center" wrapText="1"/>
    </xf>
    <xf numFmtId="0" fontId="34" fillId="9" borderId="12" xfId="0" applyFont="1" applyFill="1" applyBorder="1" applyAlignment="1">
      <alignment horizontal="center" vertical="center" wrapText="1"/>
    </xf>
    <xf numFmtId="0" fontId="6" fillId="0" borderId="13" xfId="0" applyFont="1" applyBorder="1" applyAlignment="1">
      <alignment horizontal="center"/>
    </xf>
    <xf numFmtId="0" fontId="34" fillId="9" borderId="13"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9" xfId="0" applyFont="1" applyBorder="1" applyAlignment="1">
      <alignment horizontal="left" vertical="top" wrapText="1"/>
    </xf>
    <xf numFmtId="0" fontId="7" fillId="6" borderId="44" xfId="0" applyFont="1" applyFill="1" applyBorder="1" applyAlignment="1">
      <alignment horizontal="center"/>
    </xf>
    <xf numFmtId="0" fontId="7" fillId="6" borderId="46" xfId="0" applyFont="1" applyFill="1" applyBorder="1" applyAlignment="1">
      <alignment horizontal="center"/>
    </xf>
    <xf numFmtId="0" fontId="7" fillId="6" borderId="19" xfId="0" applyFont="1" applyFill="1" applyBorder="1" applyAlignment="1">
      <alignment horizontal="center"/>
    </xf>
    <xf numFmtId="0" fontId="33" fillId="11" borderId="69" xfId="0" applyFont="1" applyFill="1" applyBorder="1" applyAlignment="1">
      <alignment horizontal="center" vertical="center"/>
    </xf>
    <xf numFmtId="0" fontId="33" fillId="11" borderId="70" xfId="0" applyFont="1" applyFill="1" applyBorder="1" applyAlignment="1">
      <alignment horizontal="center" vertical="center"/>
    </xf>
    <xf numFmtId="9" fontId="33" fillId="11" borderId="69" xfId="1" applyFont="1" applyFill="1" applyBorder="1" applyAlignment="1">
      <alignment horizontal="center" vertical="center"/>
    </xf>
    <xf numFmtId="0" fontId="37" fillId="0" borderId="2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7" xfId="0" applyFont="1" applyBorder="1" applyAlignment="1">
      <alignment horizontal="center" vertical="center" wrapText="1"/>
    </xf>
    <xf numFmtId="0" fontId="6" fillId="0" borderId="1" xfId="0" applyFont="1" applyBorder="1" applyAlignment="1">
      <alignment horizontal="center"/>
    </xf>
    <xf numFmtId="0" fontId="31" fillId="0" borderId="1" xfId="0" applyFont="1" applyBorder="1" applyAlignment="1">
      <alignment vertical="center" wrapText="1"/>
    </xf>
    <xf numFmtId="0" fontId="38" fillId="0" borderId="5"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35" fillId="0" borderId="0" xfId="0" applyFont="1" applyFill="1" applyBorder="1" applyAlignment="1">
      <alignment horizontal="center" vertical="center" textRotation="90"/>
    </xf>
    <xf numFmtId="0" fontId="0" fillId="0" borderId="0" xfId="0" applyFont="1" applyAlignment="1">
      <alignment horizontal="center"/>
    </xf>
    <xf numFmtId="0" fontId="40" fillId="9" borderId="37" xfId="0" applyFont="1" applyFill="1" applyBorder="1" applyAlignment="1">
      <alignment horizontal="center" vertical="top" wrapText="1"/>
    </xf>
    <xf numFmtId="0" fontId="39" fillId="9" borderId="37" xfId="0" applyFont="1" applyFill="1" applyBorder="1" applyAlignment="1">
      <alignment horizontal="center" vertical="top" wrapText="1"/>
    </xf>
    <xf numFmtId="0" fontId="6" fillId="0" borderId="11" xfId="0" applyFont="1" applyBorder="1"/>
    <xf numFmtId="0" fontId="41" fillId="0" borderId="11" xfId="0" applyFont="1" applyBorder="1" applyAlignment="1">
      <alignment wrapText="1"/>
    </xf>
    <xf numFmtId="0" fontId="0" fillId="0" borderId="47" xfId="0" applyBorder="1"/>
    <xf numFmtId="0" fontId="6" fillId="0" borderId="48" xfId="0" applyFont="1" applyBorder="1" applyAlignment="1">
      <alignment wrapText="1"/>
    </xf>
    <xf numFmtId="0" fontId="6" fillId="0" borderId="49" xfId="0" applyFont="1" applyBorder="1" applyAlignment="1">
      <alignment wrapText="1"/>
    </xf>
    <xf numFmtId="9" fontId="0" fillId="0" borderId="1" xfId="1" applyFont="1" applyBorder="1" applyAlignment="1">
      <alignment horizontal="center"/>
    </xf>
    <xf numFmtId="9" fontId="0" fillId="0" borderId="7" xfId="1" applyFont="1" applyBorder="1" applyAlignment="1">
      <alignment horizontal="center"/>
    </xf>
    <xf numFmtId="9" fontId="0" fillId="0" borderId="9" xfId="1" applyFont="1" applyBorder="1" applyAlignment="1">
      <alignment horizontal="center"/>
    </xf>
    <xf numFmtId="9" fontId="0" fillId="0" borderId="10" xfId="1" applyFont="1" applyBorder="1" applyAlignment="1">
      <alignment horizontal="center"/>
    </xf>
    <xf numFmtId="0" fontId="0" fillId="0" borderId="0" xfId="0" applyAlignment="1">
      <alignment horizontal="right"/>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Fill="1" applyAlignment="1">
      <alignment vertical="center"/>
    </xf>
    <xf numFmtId="0" fontId="8" fillId="0" borderId="0" xfId="0" applyFont="1" applyAlignment="1">
      <alignment vertical="center"/>
    </xf>
    <xf numFmtId="0" fontId="13" fillId="3" borderId="37" xfId="0" applyFont="1" applyFill="1" applyBorder="1" applyAlignment="1">
      <alignment horizontal="center" vertical="center" wrapText="1"/>
    </xf>
    <xf numFmtId="0" fontId="13" fillId="0" borderId="29" xfId="0" applyFont="1" applyFill="1" applyBorder="1" applyAlignment="1">
      <alignment vertical="center" wrapText="1"/>
    </xf>
    <xf numFmtId="0" fontId="2" fillId="0" borderId="0" xfId="0" applyFont="1"/>
    <xf numFmtId="0" fontId="42" fillId="0" borderId="0" xfId="0" applyFont="1"/>
    <xf numFmtId="0" fontId="0" fillId="0" borderId="0" xfId="0" applyAlignment="1">
      <alignment horizontal="center"/>
    </xf>
    <xf numFmtId="0" fontId="43" fillId="0" borderId="0" xfId="0" applyFont="1"/>
    <xf numFmtId="0" fontId="0" fillId="0" borderId="0" xfId="0" applyBorder="1" applyAlignment="1">
      <alignment horizontal="center"/>
    </xf>
    <xf numFmtId="0" fontId="34" fillId="0" borderId="0" xfId="0" applyFont="1" applyFill="1" applyAlignment="1">
      <alignment horizontal="center" vertical="center" wrapText="1"/>
    </xf>
    <xf numFmtId="0" fontId="0" fillId="0" borderId="0" xfId="0" applyBorder="1" applyAlignment="1">
      <alignment horizontal="center" vertical="center"/>
    </xf>
    <xf numFmtId="0" fontId="36" fillId="0" borderId="1" xfId="0" applyFont="1" applyBorder="1" applyAlignment="1">
      <alignment wrapText="1"/>
    </xf>
    <xf numFmtId="0" fontId="0" fillId="0" borderId="0" xfId="0" applyAlignment="1">
      <alignment horizontal="center" wrapText="1"/>
    </xf>
    <xf numFmtId="0" fontId="36" fillId="0" borderId="1" xfId="0" applyFont="1" applyBorder="1" applyAlignment="1">
      <alignment vertical="top" wrapText="1"/>
    </xf>
    <xf numFmtId="0" fontId="36" fillId="0" borderId="9" xfId="0" applyFont="1" applyBorder="1" applyAlignment="1">
      <alignment vertical="top" wrapText="1"/>
    </xf>
    <xf numFmtId="0" fontId="36" fillId="0" borderId="0" xfId="0" applyFont="1" applyBorder="1" applyAlignment="1">
      <alignment vertical="top" wrapText="1"/>
    </xf>
    <xf numFmtId="0" fontId="0" fillId="0" borderId="0" xfId="0" applyFont="1" applyAlignment="1">
      <alignment horizontal="center" wrapText="1"/>
    </xf>
    <xf numFmtId="0" fontId="0" fillId="0" borderId="0" xfId="0" applyFont="1" applyFill="1" applyBorder="1" applyAlignment="1">
      <alignment horizontal="center" vertical="top" wrapText="1"/>
    </xf>
    <xf numFmtId="0" fontId="6" fillId="0" borderId="0" xfId="0" applyFont="1" applyAlignment="1">
      <alignment wrapText="1"/>
    </xf>
    <xf numFmtId="0" fontId="0" fillId="0" borderId="0" xfId="0" applyBorder="1" applyAlignment="1">
      <alignment horizontal="left" vertical="center" wrapText="1"/>
    </xf>
    <xf numFmtId="0" fontId="34" fillId="0" borderId="0" xfId="0" applyFont="1" applyFill="1" applyBorder="1" applyAlignment="1">
      <alignment horizontal="center" vertical="center" wrapText="1"/>
    </xf>
    <xf numFmtId="0" fontId="6" fillId="0" borderId="0" xfId="0" applyFont="1" applyBorder="1" applyAlignment="1">
      <alignment horizontal="left" vertical="top" wrapText="1"/>
    </xf>
    <xf numFmtId="0" fontId="0" fillId="0" borderId="0" xfId="0"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17" xfId="0" applyFont="1" applyBorder="1" applyAlignment="1">
      <alignment horizontal="center" vertical="center" wrapText="1"/>
    </xf>
    <xf numFmtId="0" fontId="6" fillId="0" borderId="47" xfId="0" applyFont="1" applyBorder="1" applyAlignment="1">
      <alignment horizontal="center" vertical="center"/>
    </xf>
    <xf numFmtId="0" fontId="36" fillId="0" borderId="48" xfId="0" applyFont="1" applyBorder="1" applyAlignment="1">
      <alignment vertical="top" wrapText="1"/>
    </xf>
    <xf numFmtId="0" fontId="0" fillId="0" borderId="48" xfId="0" applyFont="1" applyBorder="1" applyAlignment="1">
      <alignment horizontal="center" vertical="top" wrapText="1"/>
    </xf>
    <xf numFmtId="0" fontId="0" fillId="0" borderId="84" xfId="0" applyFont="1" applyBorder="1" applyAlignment="1">
      <alignment horizontal="center" vertical="center" wrapText="1"/>
    </xf>
    <xf numFmtId="0" fontId="0" fillId="0" borderId="47" xfId="0" applyFont="1" applyBorder="1" applyAlignment="1">
      <alignment horizontal="center" vertical="top" wrapText="1"/>
    </xf>
    <xf numFmtId="0" fontId="0" fillId="0" borderId="49" xfId="0" applyFont="1" applyBorder="1" applyAlignment="1">
      <alignment horizontal="center" vertical="top" wrapText="1"/>
    </xf>
    <xf numFmtId="0" fontId="0" fillId="0" borderId="16" xfId="0" applyFont="1" applyBorder="1" applyAlignment="1">
      <alignment horizontal="center" vertical="top" wrapText="1"/>
    </xf>
    <xf numFmtId="0" fontId="0" fillId="0" borderId="18" xfId="0" applyFont="1" applyBorder="1" applyAlignment="1">
      <alignment horizontal="center" vertical="top" wrapText="1"/>
    </xf>
    <xf numFmtId="0" fontId="0" fillId="0" borderId="38" xfId="0" applyFont="1" applyBorder="1" applyAlignment="1">
      <alignment horizontal="center" vertical="top" wrapText="1"/>
    </xf>
    <xf numFmtId="0" fontId="0" fillId="0" borderId="85" xfId="0" applyFont="1" applyBorder="1" applyAlignment="1">
      <alignment horizontal="center" vertical="top" wrapText="1"/>
    </xf>
    <xf numFmtId="0" fontId="0" fillId="0" borderId="48" xfId="0" applyFont="1" applyBorder="1" applyAlignment="1">
      <alignment horizontal="left" vertical="top" wrapText="1"/>
    </xf>
    <xf numFmtId="0" fontId="44" fillId="0" borderId="0" xfId="0" applyFont="1" applyAlignment="1">
      <alignment horizontal="center" vertical="center"/>
    </xf>
    <xf numFmtId="0" fontId="2" fillId="4" borderId="0" xfId="0" applyFont="1" applyFill="1" applyAlignment="1">
      <alignment vertical="center"/>
    </xf>
    <xf numFmtId="0" fontId="45" fillId="0" borderId="0" xfId="2" applyFont="1"/>
    <xf numFmtId="0" fontId="45" fillId="4" borderId="0" xfId="2" applyFill="1" applyAlignment="1">
      <alignment vertical="center"/>
    </xf>
    <xf numFmtId="0" fontId="0" fillId="0" borderId="8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1" fillId="0" borderId="14"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3" fillId="3" borderId="37"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24" fillId="0" borderId="31" xfId="0" applyNumberFormat="1" applyFont="1" applyBorder="1" applyAlignment="1">
      <alignment horizontal="center" vertical="center" wrapText="1"/>
    </xf>
    <xf numFmtId="9" fontId="24" fillId="0" borderId="0" xfId="0" applyNumberFormat="1" applyFont="1" applyBorder="1" applyAlignment="1">
      <alignment horizontal="center" vertical="center" wrapText="1"/>
    </xf>
    <xf numFmtId="9" fontId="24" fillId="0" borderId="32"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35" fillId="3" borderId="2" xfId="0" applyFont="1" applyFill="1" applyBorder="1" applyAlignment="1">
      <alignment horizontal="center" vertical="center" textRotation="90"/>
    </xf>
    <xf numFmtId="0" fontId="35" fillId="3" borderId="31" xfId="0" applyFont="1" applyFill="1" applyBorder="1" applyAlignment="1">
      <alignment horizontal="center" vertical="center" textRotation="90"/>
    </xf>
    <xf numFmtId="0" fontId="35" fillId="3" borderId="33" xfId="0" applyFont="1" applyFill="1" applyBorder="1" applyAlignment="1">
      <alignment horizontal="center" vertical="center" textRotation="90"/>
    </xf>
    <xf numFmtId="0" fontId="6" fillId="3" borderId="34" xfId="0" applyFont="1" applyFill="1" applyBorder="1" applyAlignment="1">
      <alignment horizontal="center"/>
    </xf>
    <xf numFmtId="0" fontId="39" fillId="9" borderId="14" xfId="0" applyFont="1" applyFill="1" applyBorder="1" applyAlignment="1">
      <alignment horizontal="center" vertical="center"/>
    </xf>
    <xf numFmtId="0" fontId="39" fillId="9" borderId="12" xfId="0" applyFont="1" applyFill="1" applyBorder="1" applyAlignment="1">
      <alignment horizontal="center" vertical="center"/>
    </xf>
    <xf numFmtId="0" fontId="39" fillId="9" borderId="13" xfId="0" applyFont="1" applyFill="1" applyBorder="1" applyAlignment="1">
      <alignment horizontal="center" vertical="center"/>
    </xf>
    <xf numFmtId="0" fontId="26" fillId="6" borderId="61" xfId="0" applyFont="1" applyFill="1" applyBorder="1" applyAlignment="1">
      <alignment horizontal="center" vertical="center" wrapText="1"/>
    </xf>
    <xf numFmtId="0" fontId="26" fillId="6" borderId="57" xfId="0" applyFont="1" applyFill="1" applyBorder="1" applyAlignment="1">
      <alignment horizontal="center" vertical="center" wrapText="1"/>
    </xf>
    <xf numFmtId="0" fontId="26" fillId="6" borderId="55" xfId="0" applyFont="1" applyFill="1" applyBorder="1" applyAlignment="1">
      <alignment horizontal="center" vertical="center" wrapText="1"/>
    </xf>
    <xf numFmtId="0" fontId="26" fillId="6" borderId="61" xfId="0" applyFont="1" applyFill="1" applyBorder="1" applyAlignment="1">
      <alignment horizontal="center" vertical="center"/>
    </xf>
    <xf numFmtId="0" fontId="26" fillId="6" borderId="57" xfId="0" applyFont="1" applyFill="1" applyBorder="1" applyAlignment="1">
      <alignment horizontal="center" vertical="center"/>
    </xf>
    <xf numFmtId="0" fontId="26" fillId="6" borderId="55" xfId="0" applyFont="1" applyFill="1" applyBorder="1" applyAlignment="1">
      <alignment horizontal="center" vertical="center"/>
    </xf>
    <xf numFmtId="0" fontId="28" fillId="9" borderId="6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5" xfId="0" applyFont="1" applyFill="1" applyBorder="1" applyAlignment="1">
      <alignment horizontal="center" vertical="center"/>
    </xf>
    <xf numFmtId="0" fontId="23" fillId="8" borderId="68" xfId="0" applyFont="1" applyFill="1" applyBorder="1" applyAlignment="1">
      <alignment horizontal="center" vertical="center"/>
    </xf>
    <xf numFmtId="0" fontId="23" fillId="8" borderId="65" xfId="0" applyFont="1" applyFill="1" applyBorder="1" applyAlignment="1">
      <alignment horizontal="center" vertical="center"/>
    </xf>
    <xf numFmtId="0" fontId="23" fillId="8" borderId="64" xfId="0" applyFont="1" applyFill="1" applyBorder="1" applyAlignment="1">
      <alignment horizontal="center" vertical="center"/>
    </xf>
    <xf numFmtId="0" fontId="23" fillId="8" borderId="67" xfId="0" applyFont="1" applyFill="1" applyBorder="1" applyAlignment="1">
      <alignment horizontal="center" vertical="center"/>
    </xf>
    <xf numFmtId="0" fontId="23" fillId="8" borderId="63" xfId="0" applyFont="1" applyFill="1" applyBorder="1" applyAlignment="1">
      <alignment horizontal="center" vertical="center"/>
    </xf>
    <xf numFmtId="0" fontId="27" fillId="6" borderId="61" xfId="0" applyFont="1" applyFill="1" applyBorder="1" applyAlignment="1">
      <alignment horizontal="left" vertical="center" wrapText="1"/>
    </xf>
    <xf numFmtId="0" fontId="27" fillId="6" borderId="57" xfId="0" applyFont="1" applyFill="1" applyBorder="1" applyAlignment="1">
      <alignment horizontal="left" vertical="center" wrapText="1"/>
    </xf>
    <xf numFmtId="0" fontId="27" fillId="6" borderId="59" xfId="0" applyFont="1" applyFill="1" applyBorder="1" applyAlignment="1">
      <alignment horizontal="left" vertical="center" wrapText="1"/>
    </xf>
    <xf numFmtId="0" fontId="27" fillId="6" borderId="66" xfId="0" applyFont="1" applyFill="1" applyBorder="1" applyAlignment="1">
      <alignment horizontal="left" vertical="center" wrapText="1"/>
    </xf>
    <xf numFmtId="0" fontId="27" fillId="6" borderId="55" xfId="0" applyFont="1" applyFill="1" applyBorder="1" applyAlignment="1">
      <alignment horizontal="left" vertical="center" wrapText="1"/>
    </xf>
    <xf numFmtId="0" fontId="0" fillId="0" borderId="0" xfId="0" applyAlignment="1">
      <alignment horizontal="center"/>
    </xf>
  </cellXfs>
  <cellStyles count="3">
    <cellStyle name="Hyperlink" xfId="2" builtinId="8"/>
    <cellStyle name="Normal" xfId="0" builtinId="0"/>
    <cellStyle name="Percent" xfId="1" builtinId="5"/>
  </cellStyles>
  <dxfs count="6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34"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sharedStrings" Target="sharedStrings.xml"/><Relationship Id="rId33"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36"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405518575116336E-2"/>
          <c:y val="1.432135504081203E-2"/>
          <c:w val="0.97167974287048609"/>
          <c:h val="0.96314688932501358"/>
        </c:manualLayout>
      </c:layout>
      <c:scatterChart>
        <c:scatterStyle val="lineMarker"/>
        <c:varyColors val="0"/>
        <c:ser>
          <c:idx val="0"/>
          <c:order val="0"/>
          <c:tx>
            <c:strRef>
              <c:f>'PSE-Fit &amp; Feas. Mapping'!$H$3</c:f>
              <c:strCache>
                <c:ptCount val="1"/>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246D3CE8-B35E-4925-85EE-33A483E962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B29-4797-B367-A1DFD60FFD27}"/>
                </c:ext>
              </c:extLst>
            </c:dLbl>
            <c:dLbl>
              <c:idx val="1"/>
              <c:layout/>
              <c:tx>
                <c:rich>
                  <a:bodyPr/>
                  <a:lstStyle/>
                  <a:p>
                    <a:fld id="{98A85CAB-7867-4A94-A866-0F03FB599F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B29-4797-B367-A1DFD60FFD27}"/>
                </c:ext>
              </c:extLst>
            </c:dLbl>
            <c:dLbl>
              <c:idx val="2"/>
              <c:layout>
                <c:manualLayout>
                  <c:x val="0"/>
                  <c:y val="2.5055360251648114E-2"/>
                </c:manualLayout>
              </c:layout>
              <c:tx>
                <c:rich>
                  <a:bodyPr/>
                  <a:lstStyle/>
                  <a:p>
                    <a:fld id="{974B3714-117A-4BFE-B0C1-6995071BC4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B29-4797-B367-A1DFD60FFD27}"/>
                </c:ext>
              </c:extLst>
            </c:dLbl>
            <c:dLbl>
              <c:idx val="3"/>
              <c:layout/>
              <c:tx>
                <c:rich>
                  <a:bodyPr/>
                  <a:lstStyle/>
                  <a:p>
                    <a:fld id="{91325EF3-F586-423B-9249-DC643780F3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B29-4797-B367-A1DFD60FFD27}"/>
                </c:ext>
              </c:extLst>
            </c:dLbl>
            <c:dLbl>
              <c:idx val="4"/>
              <c:layout/>
              <c:tx>
                <c:rich>
                  <a:bodyPr/>
                  <a:lstStyle/>
                  <a:p>
                    <a:fld id="{09D98216-14D4-4293-AC4B-96AD4A079F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6B29-4797-B367-A1DFD60FFD27}"/>
                </c:ext>
              </c:extLst>
            </c:dLbl>
            <c:dLbl>
              <c:idx val="5"/>
              <c:layout/>
              <c:tx>
                <c:rich>
                  <a:bodyPr/>
                  <a:lstStyle/>
                  <a:p>
                    <a:fld id="{7279CCC2-72DB-475B-8E8E-7779229074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B29-4797-B367-A1DFD60FFD27}"/>
                </c:ext>
              </c:extLst>
            </c:dLbl>
            <c:dLbl>
              <c:idx val="6"/>
              <c:layout/>
              <c:tx>
                <c:rich>
                  <a:bodyPr/>
                  <a:lstStyle/>
                  <a:p>
                    <a:fld id="{D485EBE7-8C14-442D-8F7D-460E9E8402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6B29-4797-B367-A1DFD60FFD27}"/>
                </c:ext>
              </c:extLst>
            </c:dLbl>
            <c:dLbl>
              <c:idx val="7"/>
              <c:layout/>
              <c:tx>
                <c:rich>
                  <a:bodyPr/>
                  <a:lstStyle/>
                  <a:p>
                    <a:fld id="{6E3693DD-E36E-481D-AC12-A3EDFC0158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6B29-4797-B367-A1DFD60FFD27}"/>
                </c:ext>
              </c:extLst>
            </c:dLbl>
            <c:dLbl>
              <c:idx val="8"/>
              <c:layout/>
              <c:tx>
                <c:rich>
                  <a:bodyPr/>
                  <a:lstStyle/>
                  <a:p>
                    <a:fld id="{0A0DB439-3A59-41AC-885D-16D678AC1D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6B29-4797-B367-A1DFD60FFD27}"/>
                </c:ext>
              </c:extLst>
            </c:dLbl>
            <c:dLbl>
              <c:idx val="9"/>
              <c:layout/>
              <c:tx>
                <c:rich>
                  <a:bodyPr/>
                  <a:lstStyle/>
                  <a:p>
                    <a:fld id="{ACDD2B07-CF26-4C85-80EA-C7075CA02B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6B29-4797-B367-A1DFD60FFD27}"/>
                </c:ext>
              </c:extLst>
            </c:dLbl>
            <c:dLbl>
              <c:idx val="10"/>
              <c:layout/>
              <c:tx>
                <c:rich>
                  <a:bodyPr/>
                  <a:lstStyle/>
                  <a:p>
                    <a:fld id="{5ED25B27-B7FC-4AAC-8A61-C52F2D7184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6B29-4797-B367-A1DFD60FFD27}"/>
                </c:ext>
              </c:extLst>
            </c:dLbl>
            <c:dLbl>
              <c:idx val="11"/>
              <c:layout/>
              <c:tx>
                <c:rich>
                  <a:bodyPr/>
                  <a:lstStyle/>
                  <a:p>
                    <a:fld id="{553E2445-C19B-4F95-B8C3-DE2870353B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6B29-4797-B367-A1DFD60FFD27}"/>
                </c:ext>
              </c:extLst>
            </c:dLbl>
            <c:dLbl>
              <c:idx val="12"/>
              <c:layout/>
              <c:tx>
                <c:rich>
                  <a:bodyPr/>
                  <a:lstStyle/>
                  <a:p>
                    <a:fld id="{063288E4-1B24-4B67-B964-CEAE81C1E7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6B29-4797-B367-A1DFD60FFD27}"/>
                </c:ext>
              </c:extLst>
            </c:dLbl>
            <c:dLbl>
              <c:idx val="13"/>
              <c:layout/>
              <c:tx>
                <c:rich>
                  <a:bodyPr/>
                  <a:lstStyle/>
                  <a:p>
                    <a:fld id="{47C72EDF-39FE-4786-BC68-B8D7246BD2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6B29-4797-B367-A1DFD60FFD27}"/>
                </c:ext>
              </c:extLst>
            </c:dLbl>
            <c:dLbl>
              <c:idx val="14"/>
              <c:layout/>
              <c:tx>
                <c:rich>
                  <a:bodyPr/>
                  <a:lstStyle/>
                  <a:p>
                    <a:fld id="{AEC0F47F-13BC-45C5-83B2-C37FCEBD3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6B29-4797-B367-A1DFD60FFD27}"/>
                </c:ext>
              </c:extLst>
            </c:dLbl>
            <c:dLbl>
              <c:idx val="15"/>
              <c:layout>
                <c:manualLayout>
                  <c:x val="0"/>
                  <c:y val="-1.9608542805637692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B29-4797-B367-A1DFD60FFD27}"/>
                </c:ext>
              </c:extLst>
            </c:dLbl>
            <c:dLbl>
              <c:idx val="16"/>
              <c:layout/>
              <c:tx>
                <c:rich>
                  <a:bodyPr/>
                  <a:lstStyle/>
                  <a:p>
                    <a:fld id="{F65A89BA-1FCD-4A3C-BB6F-A12E7C39A0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6B29-4797-B367-A1DFD60FFD27}"/>
                </c:ext>
              </c:extLst>
            </c:dLbl>
            <c:dLbl>
              <c:idx val="17"/>
              <c:layout/>
              <c:tx>
                <c:rich>
                  <a:bodyPr/>
                  <a:lstStyle/>
                  <a:p>
                    <a:fld id="{E8CA9489-28FA-4120-98FC-0A6A877F67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6B29-4797-B367-A1DFD60FFD27}"/>
                </c:ext>
              </c:extLst>
            </c:dLbl>
            <c:dLbl>
              <c:idx val="18"/>
              <c:layout/>
              <c:tx>
                <c:rich>
                  <a:bodyPr/>
                  <a:lstStyle/>
                  <a:p>
                    <a:fld id="{8E28DB09-D4C7-4B36-89CF-652C857D5E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6B29-4797-B367-A1DFD60FFD27}"/>
                </c:ext>
              </c:extLst>
            </c:dLbl>
            <c:dLbl>
              <c:idx val="19"/>
              <c:layout/>
              <c:tx>
                <c:rich>
                  <a:bodyPr/>
                  <a:lstStyle/>
                  <a:p>
                    <a:fld id="{9367296A-0715-437A-B0BD-0357FE7349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6B29-4797-B367-A1DFD60FFD27}"/>
                </c:ext>
              </c:extLst>
            </c:dLbl>
            <c:dLbl>
              <c:idx val="20"/>
              <c:layout/>
              <c:tx>
                <c:rich>
                  <a:bodyPr/>
                  <a:lstStyle/>
                  <a:p>
                    <a:fld id="{019FB35A-6D9E-4E60-979E-7B4AC3E13A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6B29-4797-B367-A1DFD60FFD27}"/>
                </c:ext>
              </c:extLst>
            </c:dLbl>
            <c:dLbl>
              <c:idx val="21"/>
              <c:layout>
                <c:manualLayout>
                  <c:x val="-6.4953932062994672E-4"/>
                  <c:y val="-4.3574539568083676E-3"/>
                </c:manualLayout>
              </c:layout>
              <c:tx>
                <c:rich>
                  <a:bodyPr/>
                  <a:lstStyle/>
                  <a:p>
                    <a:fld id="{F4488E8B-3F53-4270-A1E2-62815D319D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6B29-4797-B367-A1DFD60FFD27}"/>
                </c:ext>
              </c:extLst>
            </c:dLbl>
            <c:dLbl>
              <c:idx val="22"/>
              <c:layout/>
              <c:tx>
                <c:rich>
                  <a:bodyPr/>
                  <a:lstStyle/>
                  <a:p>
                    <a:fld id="{BCEAB5A5-A1DC-431B-97D8-5FA6EF7F2E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6B29-4797-B367-A1DFD60FFD27}"/>
                </c:ext>
              </c:extLst>
            </c:dLbl>
            <c:dLbl>
              <c:idx val="23"/>
              <c:layout/>
              <c:tx>
                <c:rich>
                  <a:bodyPr/>
                  <a:lstStyle/>
                  <a:p>
                    <a:fld id="{971CC4AC-9814-4D88-8182-43E56D8D7E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6B29-4797-B367-A1DFD60FFD27}"/>
                </c:ext>
              </c:extLst>
            </c:dLbl>
            <c:dLbl>
              <c:idx val="24"/>
              <c:layout>
                <c:manualLayout>
                  <c:x val="-3.8972359237796806E-3"/>
                  <c:y val="1.9608542805637653E-2"/>
                </c:manualLayout>
              </c:layout>
              <c:tx>
                <c:rich>
                  <a:bodyPr/>
                  <a:lstStyle/>
                  <a:p>
                    <a:fld id="{1B535C2F-9D4C-4329-9B36-58AD0458DA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6B29-4797-B367-A1DFD60FFD27}"/>
                </c:ext>
              </c:extLst>
            </c:dLbl>
            <c:dLbl>
              <c:idx val="25"/>
              <c:layout/>
              <c:tx>
                <c:rich>
                  <a:bodyPr/>
                  <a:lstStyle/>
                  <a:p>
                    <a:fld id="{4380935D-45CC-437B-AD02-E95535296F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D-6B29-4797-B367-A1DFD60FFD27}"/>
                </c:ext>
              </c:extLst>
            </c:dLbl>
            <c:dLbl>
              <c:idx val="26"/>
              <c:layout/>
              <c:tx>
                <c:rich>
                  <a:bodyPr/>
                  <a:lstStyle/>
                  <a:p>
                    <a:fld id="{B9D3441E-8367-4EE4-AF37-3EB95B7535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6B29-4797-B367-A1DFD60FFD27}"/>
                </c:ext>
              </c:extLst>
            </c:dLbl>
            <c:dLbl>
              <c:idx val="27"/>
              <c:layout/>
              <c:tx>
                <c:rich>
                  <a:bodyPr/>
                  <a:lstStyle/>
                  <a:p>
                    <a:fld id="{46107718-1827-4FA4-A9EF-C367C860F9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F-6B29-4797-B367-A1DFD60FFD27}"/>
                </c:ext>
              </c:extLst>
            </c:dLbl>
            <c:dLbl>
              <c:idx val="28"/>
              <c:layout/>
              <c:tx>
                <c:rich>
                  <a:bodyPr/>
                  <a:lstStyle/>
                  <a:p>
                    <a:fld id="{9C775A23-A42E-4D2B-9298-E269913C74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6B29-4797-B367-A1DFD60FFD27}"/>
                </c:ext>
              </c:extLst>
            </c:dLbl>
            <c:dLbl>
              <c:idx val="29"/>
              <c:layout>
                <c:manualLayout>
                  <c:x val="6.4953932062994672E-4"/>
                  <c:y val="1.7429815827233509E-2"/>
                </c:manualLayout>
              </c:layout>
              <c:tx>
                <c:rich>
                  <a:bodyPr/>
                  <a:lstStyle/>
                  <a:p>
                    <a:fld id="{A50BBB76-2E56-4BF3-923D-4C9A4F8973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6B29-4797-B367-A1DFD60FFD27}"/>
                </c:ext>
              </c:extLst>
            </c:dLbl>
            <c:dLbl>
              <c:idx val="30"/>
              <c:layout>
                <c:manualLayout>
                  <c:x val="-9.5264666520168631E-17"/>
                  <c:y val="-1.6340452338031417E-2"/>
                </c:manualLayout>
              </c:layout>
              <c:tx>
                <c:rich>
                  <a:bodyPr/>
                  <a:lstStyle/>
                  <a:p>
                    <a:fld id="{A0607B19-B3B4-4F7D-B813-0868D3CAA8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6B29-4797-B367-A1DFD60FFD27}"/>
                </c:ext>
              </c:extLst>
            </c:dLbl>
            <c:dLbl>
              <c:idx val="31"/>
              <c:layout/>
              <c:tx>
                <c:rich>
                  <a:bodyPr/>
                  <a:lstStyle/>
                  <a:p>
                    <a:fld id="{3E1B3CCC-784B-4E5F-A69B-1C845F9AC7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6B29-4797-B367-A1DFD60FFD27}"/>
                </c:ext>
              </c:extLst>
            </c:dLbl>
            <c:dLbl>
              <c:idx val="32"/>
              <c:layout/>
              <c:tx>
                <c:rich>
                  <a:bodyPr/>
                  <a:lstStyle/>
                  <a:p>
                    <a:fld id="{288786FC-1CFF-4555-9083-93E09E4942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4-6B29-4797-B367-A1DFD60FFD27}"/>
                </c:ext>
              </c:extLst>
            </c:dLbl>
            <c:dLbl>
              <c:idx val="33"/>
              <c:layout/>
              <c:tx>
                <c:rich>
                  <a:bodyPr/>
                  <a:lstStyle/>
                  <a:p>
                    <a:fld id="{C45A0CD9-0174-4C96-9545-76EA8DA1B0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6B29-4797-B367-A1DFD60FFD27}"/>
                </c:ext>
              </c:extLst>
            </c:dLbl>
            <c:dLbl>
              <c:idx val="34"/>
              <c:layout/>
              <c:tx>
                <c:rich>
                  <a:bodyPr/>
                  <a:lstStyle/>
                  <a:p>
                    <a:fld id="{B1683A48-3225-45BA-8BFE-24551F4E4B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6B29-4797-B367-A1DFD60FFD27}"/>
                </c:ext>
              </c:extLst>
            </c:dLbl>
            <c:dLbl>
              <c:idx val="35"/>
              <c:layout/>
              <c:tx>
                <c:rich>
                  <a:bodyPr/>
                  <a:lstStyle/>
                  <a:p>
                    <a:fld id="{844348B3-6B6E-47FF-9A73-BFBBA56D3E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6B29-4797-B367-A1DFD60FFD27}"/>
                </c:ext>
              </c:extLst>
            </c:dLbl>
            <c:dLbl>
              <c:idx val="36"/>
              <c:layout/>
              <c:tx>
                <c:rich>
                  <a:bodyPr/>
                  <a:lstStyle/>
                  <a:p>
                    <a:fld id="{18E7DE38-AD29-4F65-BC78-8A985064A0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6B29-4797-B367-A1DFD60FFD27}"/>
                </c:ext>
              </c:extLst>
            </c:dLbl>
            <c:dLbl>
              <c:idx val="37"/>
              <c:layout/>
              <c:tx>
                <c:rich>
                  <a:bodyPr/>
                  <a:lstStyle/>
                  <a:p>
                    <a:fld id="{05295BCF-2D2C-462E-96E5-CC44C83CF6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6B29-4797-B367-A1DFD60FFD27}"/>
                </c:ext>
              </c:extLst>
            </c:dLbl>
            <c:dLbl>
              <c:idx val="38"/>
              <c:layout/>
              <c:tx>
                <c:rich>
                  <a:bodyPr/>
                  <a:lstStyle/>
                  <a:p>
                    <a:fld id="{0D0C34F1-1379-4F7A-ABB9-1BFAAC78A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6B29-4797-B367-A1DFD60FFD27}"/>
                </c:ext>
              </c:extLst>
            </c:dLbl>
            <c:dLbl>
              <c:idx val="39"/>
              <c:layout/>
              <c:tx>
                <c:rich>
                  <a:bodyPr/>
                  <a:lstStyle/>
                  <a:p>
                    <a:fld id="{E59229A8-5C75-4437-BAF2-3F5DEC1008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EBC-401A-AA26-185D5CE0C7C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Mapping'!$H$12:$H$68</c:f>
              <c:numCache>
                <c:formatCode>General</c:formatCode>
                <c:ptCount val="40"/>
                <c:pt idx="0">
                  <c:v>70</c:v>
                </c:pt>
                <c:pt idx="1">
                  <c:v>70</c:v>
                </c:pt>
                <c:pt idx="2">
                  <c:v>70</c:v>
                </c:pt>
                <c:pt idx="3">
                  <c:v>67.5</c:v>
                </c:pt>
                <c:pt idx="4">
                  <c:v>62.5</c:v>
                </c:pt>
                <c:pt idx="5">
                  <c:v>62.5</c:v>
                </c:pt>
                <c:pt idx="6">
                  <c:v>62.5</c:v>
                </c:pt>
                <c:pt idx="7">
                  <c:v>60</c:v>
                </c:pt>
                <c:pt idx="8">
                  <c:v>55</c:v>
                </c:pt>
                <c:pt idx="9">
                  <c:v>55</c:v>
                </c:pt>
                <c:pt idx="10">
                  <c:v>55</c:v>
                </c:pt>
                <c:pt idx="11">
                  <c:v>55</c:v>
                </c:pt>
                <c:pt idx="12">
                  <c:v>52.5</c:v>
                </c:pt>
                <c:pt idx="13">
                  <c:v>52.5</c:v>
                </c:pt>
                <c:pt idx="14">
                  <c:v>52.5</c:v>
                </c:pt>
                <c:pt idx="15">
                  <c:v>92.5</c:v>
                </c:pt>
                <c:pt idx="16">
                  <c:v>67.5</c:v>
                </c:pt>
                <c:pt idx="17">
                  <c:v>62.5</c:v>
                </c:pt>
                <c:pt idx="18">
                  <c:v>62.5</c:v>
                </c:pt>
                <c:pt idx="19">
                  <c:v>60</c:v>
                </c:pt>
                <c:pt idx="20">
                  <c:v>55</c:v>
                </c:pt>
                <c:pt idx="21">
                  <c:v>55</c:v>
                </c:pt>
                <c:pt idx="22">
                  <c:v>52.5</c:v>
                </c:pt>
                <c:pt idx="23">
                  <c:v>52.5</c:v>
                </c:pt>
                <c:pt idx="24">
                  <c:v>52.5</c:v>
                </c:pt>
                <c:pt idx="25">
                  <c:v>52.5</c:v>
                </c:pt>
                <c:pt idx="26">
                  <c:v>52.5</c:v>
                </c:pt>
                <c:pt idx="27">
                  <c:v>47.5</c:v>
                </c:pt>
                <c:pt idx="28">
                  <c:v>47.5</c:v>
                </c:pt>
                <c:pt idx="29">
                  <c:v>47.5</c:v>
                </c:pt>
                <c:pt idx="30">
                  <c:v>42.5</c:v>
                </c:pt>
                <c:pt idx="31">
                  <c:v>40</c:v>
                </c:pt>
                <c:pt idx="32">
                  <c:v>37.5</c:v>
                </c:pt>
                <c:pt idx="33">
                  <c:v>27.5</c:v>
                </c:pt>
                <c:pt idx="34">
                  <c:v>47.5</c:v>
                </c:pt>
                <c:pt idx="35">
                  <c:v>47.5</c:v>
                </c:pt>
                <c:pt idx="36">
                  <c:v>22.5</c:v>
                </c:pt>
                <c:pt idx="37">
                  <c:v>22.5</c:v>
                </c:pt>
                <c:pt idx="38">
                  <c:v>20</c:v>
                </c:pt>
                <c:pt idx="39">
                  <c:v>5</c:v>
                </c:pt>
              </c:numCache>
            </c:numRef>
          </c:xVal>
          <c:yVal>
            <c:numRef>
              <c:f>'PSE-Fit &amp; Feas. Mapping'!$I$12:$I$68</c:f>
              <c:numCache>
                <c:formatCode>General</c:formatCode>
                <c:ptCount val="40"/>
                <c:pt idx="0">
                  <c:v>100</c:v>
                </c:pt>
                <c:pt idx="1">
                  <c:v>100</c:v>
                </c:pt>
                <c:pt idx="2">
                  <c:v>60</c:v>
                </c:pt>
                <c:pt idx="3">
                  <c:v>75</c:v>
                </c:pt>
                <c:pt idx="4">
                  <c:v>100</c:v>
                </c:pt>
                <c:pt idx="5">
                  <c:v>100</c:v>
                </c:pt>
                <c:pt idx="6">
                  <c:v>65</c:v>
                </c:pt>
                <c:pt idx="7">
                  <c:v>75</c:v>
                </c:pt>
                <c:pt idx="8">
                  <c:v>100</c:v>
                </c:pt>
                <c:pt idx="9">
                  <c:v>90</c:v>
                </c:pt>
                <c:pt idx="10">
                  <c:v>100</c:v>
                </c:pt>
                <c:pt idx="11">
                  <c:v>70</c:v>
                </c:pt>
                <c:pt idx="12">
                  <c:v>80</c:v>
                </c:pt>
                <c:pt idx="13">
                  <c:v>75</c:v>
                </c:pt>
                <c:pt idx="14">
                  <c:v>70</c:v>
                </c:pt>
                <c:pt idx="15">
                  <c:v>55</c:v>
                </c:pt>
                <c:pt idx="16">
                  <c:v>60</c:v>
                </c:pt>
                <c:pt idx="17">
                  <c:v>50</c:v>
                </c:pt>
                <c:pt idx="18">
                  <c:v>50</c:v>
                </c:pt>
                <c:pt idx="19">
                  <c:v>45</c:v>
                </c:pt>
                <c:pt idx="20">
                  <c:v>75</c:v>
                </c:pt>
                <c:pt idx="21">
                  <c:v>50</c:v>
                </c:pt>
                <c:pt idx="22">
                  <c:v>50</c:v>
                </c:pt>
                <c:pt idx="23">
                  <c:v>55</c:v>
                </c:pt>
                <c:pt idx="24">
                  <c:v>55</c:v>
                </c:pt>
                <c:pt idx="25">
                  <c:v>55</c:v>
                </c:pt>
                <c:pt idx="26">
                  <c:v>25</c:v>
                </c:pt>
                <c:pt idx="27">
                  <c:v>100</c:v>
                </c:pt>
                <c:pt idx="28">
                  <c:v>60</c:v>
                </c:pt>
                <c:pt idx="29">
                  <c:v>50</c:v>
                </c:pt>
                <c:pt idx="30">
                  <c:v>70</c:v>
                </c:pt>
                <c:pt idx="31">
                  <c:v>80</c:v>
                </c:pt>
                <c:pt idx="32">
                  <c:v>80</c:v>
                </c:pt>
                <c:pt idx="33">
                  <c:v>90</c:v>
                </c:pt>
                <c:pt idx="34">
                  <c:v>55</c:v>
                </c:pt>
                <c:pt idx="35">
                  <c:v>25</c:v>
                </c:pt>
                <c:pt idx="36">
                  <c:v>70</c:v>
                </c:pt>
                <c:pt idx="37">
                  <c:v>30</c:v>
                </c:pt>
                <c:pt idx="38">
                  <c:v>0</c:v>
                </c:pt>
                <c:pt idx="39">
                  <c:v>35</c:v>
                </c:pt>
              </c:numCache>
            </c:numRef>
          </c:yVal>
          <c:smooth val="0"/>
          <c:extLst>
            <c:ext xmlns:c15="http://schemas.microsoft.com/office/drawing/2012/chart" uri="{02D57815-91ED-43cb-92C2-25804820EDAC}">
              <c15:datalabelsRange>
                <c15:f>'PSE-Fit &amp; Feas. Mapping'!$C$12:$C$68</c15:f>
                <c15:dlblRangeCache>
                  <c:ptCount val="40"/>
                  <c:pt idx="0">
                    <c:v>PSE Community Solar</c:v>
                  </c:pt>
                  <c:pt idx="1">
                    <c:v>PSE Substation Batteries</c:v>
                  </c:pt>
                  <c:pt idx="2">
                    <c:v>Multi-Family Unit Roof-top Solar Leasing</c:v>
                  </c:pt>
                  <c:pt idx="3">
                    <c:v>C&amp;I Roof-top Solar Leasing</c:v>
                  </c:pt>
                  <c:pt idx="4">
                    <c:v>PSE Utility-Scale Distributed Battery Stations</c:v>
                  </c:pt>
                  <c:pt idx="5">
                    <c:v>PSE Community Solar - Low Income</c:v>
                  </c:pt>
                  <c:pt idx="6">
                    <c:v>Public Space Leasing for Batteries</c:v>
                  </c:pt>
                  <c:pt idx="7">
                    <c:v>C&amp;I Small &amp; Minority-owned Business Roof-top Solar Leasing</c:v>
                  </c:pt>
                  <c:pt idx="8">
                    <c:v>Net Metering (Existing)</c:v>
                  </c:pt>
                  <c:pt idx="9">
                    <c:v>C&amp;I Roof-top Solar Incentive</c:v>
                  </c:pt>
                  <c:pt idx="10">
                    <c:v>Net Metering (Successor)</c:v>
                  </c:pt>
                  <c:pt idx="11">
                    <c:v>PSE Mobile Batteries</c:v>
                  </c:pt>
                  <c:pt idx="12">
                    <c:v>3rd Party Utility-scale Distributed Battery PPA</c:v>
                  </c:pt>
                  <c:pt idx="13">
                    <c:v>Residential PSE Battery Leasing Pilot - Low Income</c:v>
                  </c:pt>
                  <c:pt idx="14">
                    <c:v>3rd Party Distributed Solar PPA or Solar Lease</c:v>
                  </c:pt>
                  <c:pt idx="15">
                    <c:v>PSE Customer-Sited Solar+Storage Offering</c:v>
                  </c:pt>
                  <c:pt idx="16">
                    <c:v>Residential PSE Battery Leasing</c:v>
                  </c:pt>
                  <c:pt idx="17">
                    <c:v>Residential Roof-top Solar Leasing</c:v>
                  </c:pt>
                  <c:pt idx="18">
                    <c:v>C&amp;I Space Leasing for Batteries</c:v>
                  </c:pt>
                  <c:pt idx="19">
                    <c:v>Multi-Family Solar Partnership</c:v>
                  </c:pt>
                  <c:pt idx="20">
                    <c:v>Multi-Family Unit Battery Program</c:v>
                  </c:pt>
                  <c:pt idx="21">
                    <c:v>Multi-Family Unit Roof-top Solar Incentive</c:v>
                  </c:pt>
                  <c:pt idx="22">
                    <c:v>Residential Roof-top Solar Leasing (Low-Income)</c:v>
                  </c:pt>
                  <c:pt idx="23">
                    <c:v>C&amp;I BYO Battery</c:v>
                  </c:pt>
                  <c:pt idx="24">
                    <c:v>C&amp;I Solar+Storage Rate</c:v>
                  </c:pt>
                  <c:pt idx="25">
                    <c:v>3rd Party Distributed Residential Battery PPA</c:v>
                  </c:pt>
                  <c:pt idx="26">
                    <c:v>PSE Battery Share</c:v>
                  </c:pt>
                  <c:pt idx="27">
                    <c:v>Residential Battery Install Incentive</c:v>
                  </c:pt>
                  <c:pt idx="28">
                    <c:v>3rd Party Distributed C&amp;I Battery PPA</c:v>
                  </c:pt>
                  <c:pt idx="29">
                    <c:v>Residential Solar+Storage Rate</c:v>
                  </c:pt>
                  <c:pt idx="30">
                    <c:v>3rd Party/Co-Op Community Solar</c:v>
                  </c:pt>
                  <c:pt idx="31">
                    <c:v>Residential Roof-top Solar Incentive</c:v>
                  </c:pt>
                  <c:pt idx="32">
                    <c:v>PSE Small-scale Utility Solar PV Generation Stations</c:v>
                  </c:pt>
                  <c:pt idx="33">
                    <c:v>Residential BYO Battery Offer</c:v>
                  </c:pt>
                  <c:pt idx="34">
                    <c:v>C&amp;I Battery Install Incentive</c:v>
                  </c:pt>
                  <c:pt idx="35">
                    <c:v>PSE Battery Share - Low Income</c:v>
                  </c:pt>
                  <c:pt idx="36">
                    <c:v>PSE Pole-Mounted Batteries</c:v>
                  </c:pt>
                  <c:pt idx="37">
                    <c:v>Consumer Peer-to-Peer Batteries</c:v>
                  </c:pt>
                  <c:pt idx="38">
                    <c:v>Consumer Peer-to-Peer Solar</c:v>
                  </c:pt>
                  <c:pt idx="39">
                    <c:v>Consumer Mobile Batteries</c:v>
                  </c:pt>
                </c15:dlblRangeCache>
              </c15:datalabelsRange>
            </c:ext>
            <c:ext xmlns:c16="http://schemas.microsoft.com/office/drawing/2014/chart" uri="{C3380CC4-5D6E-409C-BE32-E72D297353CC}">
              <c16:uniqueId val="{00000000-6B29-4797-B367-A1DFD60FFD27}"/>
            </c:ext>
          </c:extLst>
        </c:ser>
        <c:ser>
          <c:idx val="1"/>
          <c:order val="1"/>
          <c:tx>
            <c:strRef>
              <c:f>'PSE-Fit &amp; Feas. Mapping'!$M$11</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Mapping'!$M$12:$M$70</c:f>
              <c:numCache>
                <c:formatCode>0.00</c:formatCode>
                <c:ptCount val="40"/>
                <c:pt idx="0">
                  <c:v>0</c:v>
                </c:pt>
                <c:pt idx="1">
                  <c:v>1.8518518518518519</c:v>
                </c:pt>
                <c:pt idx="2">
                  <c:v>3.7037037037037037</c:v>
                </c:pt>
                <c:pt idx="3">
                  <c:v>5.5555555555555554</c:v>
                </c:pt>
                <c:pt idx="4">
                  <c:v>5.5555555555555554</c:v>
                </c:pt>
                <c:pt idx="5">
                  <c:v>7.4074074074074074</c:v>
                </c:pt>
                <c:pt idx="6">
                  <c:v>9.2592592592592595</c:v>
                </c:pt>
                <c:pt idx="7">
                  <c:v>14.814814814814813</c:v>
                </c:pt>
                <c:pt idx="8">
                  <c:v>18.518518518518515</c:v>
                </c:pt>
                <c:pt idx="9">
                  <c:v>20.370370370370367</c:v>
                </c:pt>
                <c:pt idx="10">
                  <c:v>22.222222222222218</c:v>
                </c:pt>
                <c:pt idx="11">
                  <c:v>24.074074074074069</c:v>
                </c:pt>
                <c:pt idx="12">
                  <c:v>25.92592592592592</c:v>
                </c:pt>
                <c:pt idx="13">
                  <c:v>27.777777777777771</c:v>
                </c:pt>
                <c:pt idx="14">
                  <c:v>31.481481481481474</c:v>
                </c:pt>
                <c:pt idx="15">
                  <c:v>33.333333333333329</c:v>
                </c:pt>
                <c:pt idx="16">
                  <c:v>35.185185185185183</c:v>
                </c:pt>
                <c:pt idx="17">
                  <c:v>35.185185185185183</c:v>
                </c:pt>
                <c:pt idx="18">
                  <c:v>37.037037037037038</c:v>
                </c:pt>
                <c:pt idx="19">
                  <c:v>38.888888888888893</c:v>
                </c:pt>
                <c:pt idx="20">
                  <c:v>40.740740740740748</c:v>
                </c:pt>
                <c:pt idx="21">
                  <c:v>42.592592592592602</c:v>
                </c:pt>
                <c:pt idx="22">
                  <c:v>44.444444444444457</c:v>
                </c:pt>
                <c:pt idx="23">
                  <c:v>46.296296296296312</c:v>
                </c:pt>
                <c:pt idx="24">
                  <c:v>48.148148148148167</c:v>
                </c:pt>
                <c:pt idx="25">
                  <c:v>50.000000000000021</c:v>
                </c:pt>
                <c:pt idx="26">
                  <c:v>51.851851851851876</c:v>
                </c:pt>
                <c:pt idx="27">
                  <c:v>53.703703703703731</c:v>
                </c:pt>
                <c:pt idx="28">
                  <c:v>55.555555555555586</c:v>
                </c:pt>
                <c:pt idx="29">
                  <c:v>66.6666666666667</c:v>
                </c:pt>
                <c:pt idx="30">
                  <c:v>68.518518518518547</c:v>
                </c:pt>
                <c:pt idx="31">
                  <c:v>70.370370370370395</c:v>
                </c:pt>
                <c:pt idx="32">
                  <c:v>72.222222222222243</c:v>
                </c:pt>
                <c:pt idx="33">
                  <c:v>74.07407407407409</c:v>
                </c:pt>
                <c:pt idx="34">
                  <c:v>77.777777777777786</c:v>
                </c:pt>
                <c:pt idx="35">
                  <c:v>87.037037037037024</c:v>
                </c:pt>
                <c:pt idx="36">
                  <c:v>92.592592592592567</c:v>
                </c:pt>
                <c:pt idx="37">
                  <c:v>94.444444444444414</c:v>
                </c:pt>
                <c:pt idx="38">
                  <c:v>96.296296296296262</c:v>
                </c:pt>
                <c:pt idx="39">
                  <c:v>98.14814814814811</c:v>
                </c:pt>
              </c:numCache>
            </c:numRef>
          </c:xVal>
          <c:yVal>
            <c:numRef>
              <c:f>'PSE-Fit &amp; Feas. Mapping'!$N$12:$N$71</c:f>
              <c:numCache>
                <c:formatCode>0.00</c:formatCode>
                <c:ptCount val="40"/>
                <c:pt idx="0">
                  <c:v>67.5</c:v>
                </c:pt>
                <c:pt idx="1">
                  <c:v>67.5</c:v>
                </c:pt>
                <c:pt idx="2">
                  <c:v>67.5</c:v>
                </c:pt>
                <c:pt idx="3">
                  <c:v>67.5</c:v>
                </c:pt>
                <c:pt idx="4">
                  <c:v>67.5</c:v>
                </c:pt>
                <c:pt idx="5">
                  <c:v>67.5</c:v>
                </c:pt>
                <c:pt idx="6">
                  <c:v>67.5</c:v>
                </c:pt>
                <c:pt idx="7">
                  <c:v>67.5</c:v>
                </c:pt>
                <c:pt idx="8">
                  <c:v>67.5</c:v>
                </c:pt>
                <c:pt idx="9">
                  <c:v>67.5</c:v>
                </c:pt>
                <c:pt idx="10">
                  <c:v>67.5</c:v>
                </c:pt>
                <c:pt idx="11">
                  <c:v>67.5</c:v>
                </c:pt>
                <c:pt idx="12">
                  <c:v>67.5</c:v>
                </c:pt>
                <c:pt idx="13">
                  <c:v>67.5</c:v>
                </c:pt>
                <c:pt idx="14">
                  <c:v>67.5</c:v>
                </c:pt>
                <c:pt idx="15">
                  <c:v>67.5</c:v>
                </c:pt>
                <c:pt idx="16">
                  <c:v>67.5</c:v>
                </c:pt>
                <c:pt idx="17">
                  <c:v>67.5</c:v>
                </c:pt>
                <c:pt idx="18">
                  <c:v>67.5</c:v>
                </c:pt>
                <c:pt idx="19">
                  <c:v>67.5</c:v>
                </c:pt>
                <c:pt idx="20">
                  <c:v>67.5</c:v>
                </c:pt>
                <c:pt idx="21">
                  <c:v>67.5</c:v>
                </c:pt>
                <c:pt idx="22">
                  <c:v>67.5</c:v>
                </c:pt>
                <c:pt idx="23">
                  <c:v>67.5</c:v>
                </c:pt>
                <c:pt idx="24">
                  <c:v>67.5</c:v>
                </c:pt>
                <c:pt idx="25">
                  <c:v>67.5</c:v>
                </c:pt>
                <c:pt idx="26">
                  <c:v>67.5</c:v>
                </c:pt>
                <c:pt idx="27">
                  <c:v>67.5</c:v>
                </c:pt>
                <c:pt idx="28">
                  <c:v>67.5</c:v>
                </c:pt>
                <c:pt idx="29">
                  <c:v>67.5</c:v>
                </c:pt>
                <c:pt idx="30">
                  <c:v>67.5</c:v>
                </c:pt>
                <c:pt idx="31">
                  <c:v>67.5</c:v>
                </c:pt>
                <c:pt idx="32">
                  <c:v>67.5</c:v>
                </c:pt>
                <c:pt idx="33">
                  <c:v>67.5</c:v>
                </c:pt>
                <c:pt idx="34">
                  <c:v>67.5</c:v>
                </c:pt>
                <c:pt idx="35">
                  <c:v>67.5</c:v>
                </c:pt>
                <c:pt idx="36">
                  <c:v>67.5</c:v>
                </c:pt>
                <c:pt idx="37">
                  <c:v>67.5</c:v>
                </c:pt>
                <c:pt idx="38">
                  <c:v>67.5</c:v>
                </c:pt>
                <c:pt idx="39">
                  <c:v>67.5</c:v>
                </c:pt>
              </c:numCache>
            </c:numRef>
          </c:yVal>
          <c:smooth val="0"/>
          <c:extLst>
            <c:ext xmlns:c16="http://schemas.microsoft.com/office/drawing/2014/chart" uri="{C3380CC4-5D6E-409C-BE32-E72D297353CC}">
              <c16:uniqueId val="{00000002-6B29-4797-B367-A1DFD60FFD27}"/>
            </c:ext>
          </c:extLst>
        </c:ser>
        <c:ser>
          <c:idx val="2"/>
          <c:order val="2"/>
          <c:tx>
            <c:strRef>
              <c:f>'PSE-Fit &amp; Feas. Mapping'!$O$11</c:f>
              <c:strCache>
                <c:ptCount val="1"/>
                <c:pt idx="0">
                  <c:v>Vertical Boundary</c:v>
                </c:pt>
              </c:strCache>
            </c:strRef>
          </c:tx>
          <c:spPr>
            <a:ln w="25400" cap="rnd">
              <a:noFill/>
              <a:round/>
            </a:ln>
            <a:effectLst/>
          </c:spPr>
          <c:marker>
            <c:symbol val="circle"/>
            <c:size val="5"/>
            <c:spPr>
              <a:solidFill>
                <a:schemeClr val="accent2"/>
              </a:solidFill>
              <a:ln w="9525">
                <a:noFill/>
              </a:ln>
              <a:effectLst/>
            </c:spPr>
          </c:marker>
          <c:xVal>
            <c:numRef>
              <c:f>'PSE-Fit &amp; Feas. Mapping'!$O$12:$O$70</c:f>
              <c:numCache>
                <c:formatCode>0.00</c:formatCode>
                <c:ptCount val="40"/>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pt idx="22">
                  <c:v>52.5</c:v>
                </c:pt>
                <c:pt idx="23">
                  <c:v>52.5</c:v>
                </c:pt>
                <c:pt idx="24">
                  <c:v>52.5</c:v>
                </c:pt>
                <c:pt idx="25">
                  <c:v>52.5</c:v>
                </c:pt>
                <c:pt idx="26">
                  <c:v>52.5</c:v>
                </c:pt>
                <c:pt idx="27">
                  <c:v>52.5</c:v>
                </c:pt>
                <c:pt idx="28">
                  <c:v>52.5</c:v>
                </c:pt>
                <c:pt idx="29">
                  <c:v>52.5</c:v>
                </c:pt>
                <c:pt idx="30">
                  <c:v>52.5</c:v>
                </c:pt>
                <c:pt idx="31">
                  <c:v>52.5</c:v>
                </c:pt>
                <c:pt idx="32">
                  <c:v>52.5</c:v>
                </c:pt>
                <c:pt idx="33">
                  <c:v>52.5</c:v>
                </c:pt>
                <c:pt idx="34">
                  <c:v>52.5</c:v>
                </c:pt>
                <c:pt idx="35">
                  <c:v>52.5</c:v>
                </c:pt>
                <c:pt idx="36">
                  <c:v>52.5</c:v>
                </c:pt>
                <c:pt idx="37">
                  <c:v>52.5</c:v>
                </c:pt>
                <c:pt idx="38">
                  <c:v>52.5</c:v>
                </c:pt>
                <c:pt idx="39">
                  <c:v>52.5</c:v>
                </c:pt>
              </c:numCache>
            </c:numRef>
          </c:xVal>
          <c:yVal>
            <c:numRef>
              <c:f>'PSE-Fit &amp; Feas. Mapping'!$P$12:$P$70</c:f>
              <c:numCache>
                <c:formatCode>0.00</c:formatCode>
                <c:ptCount val="40"/>
                <c:pt idx="0">
                  <c:v>0</c:v>
                </c:pt>
                <c:pt idx="1">
                  <c:v>1.8518518518518519</c:v>
                </c:pt>
                <c:pt idx="2">
                  <c:v>3.7037037037037037</c:v>
                </c:pt>
                <c:pt idx="3">
                  <c:v>5.5555555555555554</c:v>
                </c:pt>
                <c:pt idx="4">
                  <c:v>5.5555555555555554</c:v>
                </c:pt>
                <c:pt idx="5">
                  <c:v>7.4074074074074074</c:v>
                </c:pt>
                <c:pt idx="6">
                  <c:v>9.2592592592592595</c:v>
                </c:pt>
                <c:pt idx="7">
                  <c:v>14.814814814814813</c:v>
                </c:pt>
                <c:pt idx="8">
                  <c:v>18.518518518518515</c:v>
                </c:pt>
                <c:pt idx="9">
                  <c:v>20.370370370370367</c:v>
                </c:pt>
                <c:pt idx="10">
                  <c:v>22.222222222222218</c:v>
                </c:pt>
                <c:pt idx="11">
                  <c:v>24.074074074074069</c:v>
                </c:pt>
                <c:pt idx="12">
                  <c:v>25.92592592592592</c:v>
                </c:pt>
                <c:pt idx="13">
                  <c:v>27.777777777777771</c:v>
                </c:pt>
                <c:pt idx="14">
                  <c:v>31.481481481481474</c:v>
                </c:pt>
                <c:pt idx="15">
                  <c:v>33.333333333333329</c:v>
                </c:pt>
                <c:pt idx="16">
                  <c:v>35.185185185185183</c:v>
                </c:pt>
                <c:pt idx="17">
                  <c:v>35.185185185185183</c:v>
                </c:pt>
                <c:pt idx="18">
                  <c:v>37.037037037037038</c:v>
                </c:pt>
                <c:pt idx="19">
                  <c:v>38.888888888888893</c:v>
                </c:pt>
                <c:pt idx="20">
                  <c:v>40.740740740740748</c:v>
                </c:pt>
                <c:pt idx="21">
                  <c:v>42.592592592592602</c:v>
                </c:pt>
                <c:pt idx="22">
                  <c:v>44.444444444444457</c:v>
                </c:pt>
                <c:pt idx="23">
                  <c:v>46.296296296296312</c:v>
                </c:pt>
                <c:pt idx="24">
                  <c:v>48.148148148148167</c:v>
                </c:pt>
                <c:pt idx="25">
                  <c:v>50.000000000000021</c:v>
                </c:pt>
                <c:pt idx="26">
                  <c:v>51.851851851851876</c:v>
                </c:pt>
                <c:pt idx="27">
                  <c:v>53.703703703703731</c:v>
                </c:pt>
                <c:pt idx="28">
                  <c:v>55.555555555555586</c:v>
                </c:pt>
                <c:pt idx="29">
                  <c:v>66.6666666666667</c:v>
                </c:pt>
                <c:pt idx="30">
                  <c:v>68.518518518518547</c:v>
                </c:pt>
                <c:pt idx="31">
                  <c:v>70.370370370370395</c:v>
                </c:pt>
                <c:pt idx="32">
                  <c:v>72.222222222222243</c:v>
                </c:pt>
                <c:pt idx="33">
                  <c:v>74.07407407407409</c:v>
                </c:pt>
                <c:pt idx="34">
                  <c:v>77.777777777777786</c:v>
                </c:pt>
                <c:pt idx="35">
                  <c:v>87.037037037037024</c:v>
                </c:pt>
                <c:pt idx="36">
                  <c:v>92.592592592592567</c:v>
                </c:pt>
                <c:pt idx="37">
                  <c:v>94.444444444444414</c:v>
                </c:pt>
                <c:pt idx="38">
                  <c:v>96.296296296296262</c:v>
                </c:pt>
                <c:pt idx="39">
                  <c:v>98.14814814814811</c:v>
                </c:pt>
              </c:numCache>
            </c:numRef>
          </c:yVal>
          <c:smooth val="0"/>
          <c:extLst>
            <c:ext xmlns:c16="http://schemas.microsoft.com/office/drawing/2014/chart" uri="{C3380CC4-5D6E-409C-BE32-E72D297353CC}">
              <c16:uniqueId val="{00000003-6B29-4797-B367-A1DFD60FFD27}"/>
            </c:ext>
          </c:extLst>
        </c:ser>
        <c:dLbls>
          <c:showLegendKey val="0"/>
          <c:showVal val="0"/>
          <c:showCatName val="0"/>
          <c:showSerName val="0"/>
          <c:showPercent val="0"/>
          <c:showBubbleSize val="0"/>
        </c:dLbls>
        <c:axId val="627910000"/>
        <c:axId val="627907504"/>
      </c:scatterChart>
      <c:valAx>
        <c:axId val="6279100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907504"/>
        <c:crosses val="autoZero"/>
        <c:crossBetween val="midCat"/>
      </c:valAx>
      <c:valAx>
        <c:axId val="62790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91000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705127359429E-2"/>
          <c:y val="1.1276006679295602E-2"/>
          <c:w val="0.96085938302256924"/>
          <c:h val="0.9537680018428164"/>
        </c:manualLayout>
      </c:layout>
      <c:scatterChart>
        <c:scatterStyle val="lineMarker"/>
        <c:varyColors val="0"/>
        <c:ser>
          <c:idx val="0"/>
          <c:order val="0"/>
          <c:tx>
            <c:strRef>
              <c:f>'PSE-Fit &amp; Feas. Mapping'!$I$75</c:f>
              <c:strCache>
                <c:ptCount val="1"/>
                <c:pt idx="0">
                  <c:v>Feasibility</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9.2450218667598453E-3"/>
                  <c:y val="1.6294033315310815E-2"/>
                </c:manualLayout>
              </c:layout>
              <c:tx>
                <c:rich>
                  <a:bodyPr/>
                  <a:lstStyle/>
                  <a:p>
                    <a:fld id="{3C135DA4-CF7E-4AD6-9B6D-4A6ECBCD78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75E-404B-A9A3-5F34D9AC820B}"/>
                </c:ext>
              </c:extLst>
            </c:dLbl>
            <c:dLbl>
              <c:idx val="1"/>
              <c:layout>
                <c:manualLayout>
                  <c:x val="-1.6809130666836081E-2"/>
                  <c:y val="2.579888608257546E-2"/>
                </c:manualLayout>
              </c:layout>
              <c:tx>
                <c:rich>
                  <a:bodyPr/>
                  <a:lstStyle/>
                  <a:p>
                    <a:fld id="{A41A2E50-BF5C-4E71-B9F3-78126E8F5E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75E-404B-A9A3-5F34D9AC820B}"/>
                </c:ext>
              </c:extLst>
            </c:dLbl>
            <c:dLbl>
              <c:idx val="2"/>
              <c:layout>
                <c:manualLayout>
                  <c:x val="6.7236522667344324E-3"/>
                  <c:y val="4.3450755507495518E-2"/>
                </c:manualLayout>
              </c:layout>
              <c:tx>
                <c:rich>
                  <a:bodyPr/>
                  <a:lstStyle/>
                  <a:p>
                    <a:fld id="{DD01A0B4-2B76-47BD-9B0E-9F22D553B5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75E-404B-A9A3-5F34D9AC820B}"/>
                </c:ext>
              </c:extLst>
            </c:dLbl>
            <c:dLbl>
              <c:idx val="3"/>
              <c:layout>
                <c:manualLayout>
                  <c:x val="2.5996234540840806E-2"/>
                  <c:y val="-3.6415838481132654E-2"/>
                </c:manualLayout>
              </c:layout>
              <c:tx>
                <c:rich>
                  <a:bodyPr/>
                  <a:lstStyle/>
                  <a:p>
                    <a:fld id="{98128739-E782-4B64-97F9-1B26B66189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75E-404B-A9A3-5F34D9AC820B}"/>
                </c:ext>
              </c:extLst>
            </c:dLbl>
            <c:dLbl>
              <c:idx val="4"/>
              <c:layout/>
              <c:tx>
                <c:rich>
                  <a:bodyPr/>
                  <a:lstStyle/>
                  <a:p>
                    <a:fld id="{AAEBB36B-042B-4036-A718-2CB9E47ECF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E75E-404B-A9A3-5F34D9AC820B}"/>
                </c:ext>
              </c:extLst>
            </c:dLbl>
            <c:dLbl>
              <c:idx val="5"/>
              <c:layout/>
              <c:tx>
                <c:rich>
                  <a:bodyPr/>
                  <a:lstStyle/>
                  <a:p>
                    <a:fld id="{CB6D429E-971C-4490-8167-BAC3297D14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E75E-404B-A9A3-5F34D9AC820B}"/>
                </c:ext>
              </c:extLst>
            </c:dLbl>
            <c:dLbl>
              <c:idx val="6"/>
              <c:layout>
                <c:manualLayout>
                  <c:x val="-6.3732704035610085E-2"/>
                  <c:y val="-3.6415838481132654E-2"/>
                </c:manualLayout>
              </c:layout>
              <c:tx>
                <c:rich>
                  <a:bodyPr/>
                  <a:lstStyle/>
                  <a:p>
                    <a:fld id="{3C5CC36C-5FED-4EF5-9461-CA6D77F0E6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75E-404B-A9A3-5F34D9AC820B}"/>
                </c:ext>
              </c:extLst>
            </c:dLbl>
            <c:dLbl>
              <c:idx val="7"/>
              <c:layout>
                <c:manualLayout>
                  <c:x val="-7.6311527200533052E-2"/>
                  <c:y val="3.277425463301939E-2"/>
                </c:manualLayout>
              </c:layout>
              <c:tx>
                <c:rich>
                  <a:bodyPr/>
                  <a:lstStyle/>
                  <a:p>
                    <a:fld id="{BAC86232-DC2D-4B8C-B592-497B85BAA9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75E-404B-A9A3-5F34D9AC820B}"/>
                </c:ext>
              </c:extLst>
            </c:dLbl>
            <c:dLbl>
              <c:idx val="8"/>
              <c:layout/>
              <c:tx>
                <c:rich>
                  <a:bodyPr/>
                  <a:lstStyle/>
                  <a:p>
                    <a:fld id="{97DFE4DA-2778-48E5-A3A7-38D3E4901F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E75E-404B-A9A3-5F34D9AC820B}"/>
                </c:ext>
              </c:extLst>
            </c:dLbl>
            <c:dLbl>
              <c:idx val="9"/>
              <c:layout>
                <c:manualLayout>
                  <c:x val="0"/>
                  <c:y val="-4.1878214253302549E-2"/>
                </c:manualLayout>
              </c:layout>
              <c:tx>
                <c:rich>
                  <a:bodyPr/>
                  <a:lstStyle/>
                  <a:p>
                    <a:fld id="{ECFAC409-88D3-488A-BF6D-EABE79EEFE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75E-404B-A9A3-5F34D9AC820B}"/>
                </c:ext>
              </c:extLst>
            </c:dLbl>
            <c:dLbl>
              <c:idx val="10"/>
              <c:layout/>
              <c:tx>
                <c:rich>
                  <a:bodyPr/>
                  <a:lstStyle/>
                  <a:p>
                    <a:fld id="{E12D5A7C-D45A-45E4-B8DB-3BB58EB329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E75E-404B-A9A3-5F34D9AC820B}"/>
                </c:ext>
              </c:extLst>
            </c:dLbl>
            <c:dLbl>
              <c:idx val="11"/>
              <c:layout/>
              <c:tx>
                <c:rich>
                  <a:bodyPr/>
                  <a:lstStyle/>
                  <a:p>
                    <a:fld id="{6CB9E016-C581-4C4A-8EC5-CB345C6667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E75E-404B-A9A3-5F34D9AC820B}"/>
                </c:ext>
              </c:extLst>
            </c:dLbl>
            <c:dLbl>
              <c:idx val="1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5E-404B-A9A3-5F34D9AC820B}"/>
                </c:ext>
              </c:extLst>
            </c:dLbl>
            <c:dLbl>
              <c:idx val="13"/>
              <c:layout/>
              <c:tx>
                <c:rich>
                  <a:bodyPr/>
                  <a:lstStyle/>
                  <a:p>
                    <a:fld id="{2975441F-C170-41F9-879E-FCE0EA590F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E75E-404B-A9A3-5F34D9AC820B}"/>
                </c:ext>
              </c:extLst>
            </c:dLbl>
            <c:dLbl>
              <c:idx val="14"/>
              <c:layout>
                <c:manualLayout>
                  <c:x val="-8.3858821099486874E-4"/>
                  <c:y val="-4.556127690393403E-2"/>
                </c:manualLayout>
              </c:layout>
              <c:tx>
                <c:rich>
                  <a:bodyPr/>
                  <a:lstStyle/>
                  <a:p>
                    <a:fld id="{05D46084-BDBE-4690-B034-CA05A81CCA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E75E-404B-A9A3-5F34D9AC820B}"/>
                </c:ext>
              </c:extLst>
            </c:dLbl>
            <c:dLbl>
              <c:idx val="15"/>
              <c:layout>
                <c:manualLayout>
                  <c:x val="-3.1027763806810264E-2"/>
                  <c:y val="-4.3699006177359216E-2"/>
                </c:manualLayout>
              </c:layout>
              <c:tx>
                <c:rich>
                  <a:bodyPr/>
                  <a:lstStyle/>
                  <a:p>
                    <a:fld id="{E0A67065-CBC5-4FB2-9B96-F12FF73BDF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E75E-404B-A9A3-5F34D9AC820B}"/>
                </c:ext>
              </c:extLst>
            </c:dLbl>
            <c:dLbl>
              <c:idx val="16"/>
              <c:layout>
                <c:manualLayout>
                  <c:x val="-5.6185410136656268E-2"/>
                  <c:y val="3.1009806899998524E-2"/>
                </c:manualLayout>
              </c:layout>
              <c:tx>
                <c:rich>
                  <a:bodyPr/>
                  <a:lstStyle/>
                  <a:p>
                    <a:fld id="{8D0F1187-F602-4D6D-97D9-2FA0C2ED03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580-4AD8-B33C-645ED2950091}"/>
                </c:ext>
              </c:extLst>
            </c:dLbl>
            <c:dLbl>
              <c:idx val="1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79-4D87-9E08-580388945F7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Mapping'!$H$76:$H$93</c:f>
              <c:numCache>
                <c:formatCode>General</c:formatCode>
                <c:ptCount val="18"/>
                <c:pt idx="0">
                  <c:v>70</c:v>
                </c:pt>
                <c:pt idx="1">
                  <c:v>62.5</c:v>
                </c:pt>
                <c:pt idx="2">
                  <c:v>55</c:v>
                </c:pt>
                <c:pt idx="3">
                  <c:v>52.5</c:v>
                </c:pt>
                <c:pt idx="4">
                  <c:v>55</c:v>
                </c:pt>
                <c:pt idx="5">
                  <c:v>67.5</c:v>
                </c:pt>
                <c:pt idx="6">
                  <c:v>60</c:v>
                </c:pt>
                <c:pt idx="7">
                  <c:v>62.5</c:v>
                </c:pt>
                <c:pt idx="8">
                  <c:v>52.5</c:v>
                </c:pt>
                <c:pt idx="9">
                  <c:v>55</c:v>
                </c:pt>
                <c:pt idx="10">
                  <c:v>60</c:v>
                </c:pt>
                <c:pt idx="11">
                  <c:v>70</c:v>
                </c:pt>
                <c:pt idx="12">
                  <c:v>92.5</c:v>
                </c:pt>
                <c:pt idx="13">
                  <c:v>55</c:v>
                </c:pt>
                <c:pt idx="14">
                  <c:v>37.5</c:v>
                </c:pt>
                <c:pt idx="15">
                  <c:v>42.5</c:v>
                </c:pt>
                <c:pt idx="16">
                  <c:v>40</c:v>
                </c:pt>
                <c:pt idx="17">
                  <c:v>20</c:v>
                </c:pt>
              </c:numCache>
            </c:numRef>
          </c:xVal>
          <c:yVal>
            <c:numRef>
              <c:f>'PSE-Fit &amp; Feas. Mapping'!$I$76:$I$93</c:f>
              <c:numCache>
                <c:formatCode>General</c:formatCode>
                <c:ptCount val="18"/>
                <c:pt idx="0">
                  <c:v>100</c:v>
                </c:pt>
                <c:pt idx="1">
                  <c:v>100</c:v>
                </c:pt>
                <c:pt idx="2">
                  <c:v>100</c:v>
                </c:pt>
                <c:pt idx="3">
                  <c:v>70</c:v>
                </c:pt>
                <c:pt idx="4">
                  <c:v>90</c:v>
                </c:pt>
                <c:pt idx="5">
                  <c:v>75</c:v>
                </c:pt>
                <c:pt idx="6">
                  <c:v>75</c:v>
                </c:pt>
                <c:pt idx="7">
                  <c:v>50</c:v>
                </c:pt>
                <c:pt idx="8">
                  <c:v>50</c:v>
                </c:pt>
                <c:pt idx="9">
                  <c:v>50</c:v>
                </c:pt>
                <c:pt idx="10">
                  <c:v>45</c:v>
                </c:pt>
                <c:pt idx="11">
                  <c:v>60</c:v>
                </c:pt>
                <c:pt idx="12">
                  <c:v>55</c:v>
                </c:pt>
                <c:pt idx="13">
                  <c:v>100</c:v>
                </c:pt>
                <c:pt idx="14">
                  <c:v>80</c:v>
                </c:pt>
                <c:pt idx="15">
                  <c:v>70</c:v>
                </c:pt>
                <c:pt idx="16">
                  <c:v>80</c:v>
                </c:pt>
                <c:pt idx="17">
                  <c:v>0</c:v>
                </c:pt>
              </c:numCache>
            </c:numRef>
          </c:yVal>
          <c:smooth val="0"/>
          <c:extLst>
            <c:ext xmlns:c15="http://schemas.microsoft.com/office/drawing/2012/chart" uri="{02D57815-91ED-43cb-92C2-25804820EDAC}">
              <c15:datalabelsRange>
                <c15:f>'PSE-Fit &amp; Feas. Mapping'!$C$77:$C$93</c15:f>
                <c15:dlblRangeCache>
                  <c:ptCount val="17"/>
                  <c:pt idx="0">
                    <c:v>PSE Community Solar - Low Income</c:v>
                  </c:pt>
                  <c:pt idx="1">
                    <c:v>Net Metering (Existing)</c:v>
                  </c:pt>
                  <c:pt idx="2">
                    <c:v>3rd Party Distributed Solar PPA or Solar Lease</c:v>
                  </c:pt>
                  <c:pt idx="3">
                    <c:v>C&amp;I Roof-top Solar Incentive</c:v>
                  </c:pt>
                  <c:pt idx="4">
                    <c:v>C&amp;I Roof-top Solar Leasing</c:v>
                  </c:pt>
                  <c:pt idx="5">
                    <c:v>C&amp;I Small &amp; Minority-owned Business Roof-top Solar Leasing</c:v>
                  </c:pt>
                  <c:pt idx="6">
                    <c:v>Residential Roof-top Solar Leasing</c:v>
                  </c:pt>
                  <c:pt idx="7">
                    <c:v>Residential Roof-top Solar Leasing (Low-Income)</c:v>
                  </c:pt>
                  <c:pt idx="8">
                    <c:v>Multi-Family Unit Roof-top Solar Incentive</c:v>
                  </c:pt>
                  <c:pt idx="9">
                    <c:v>Multi-Family Solar Partnership</c:v>
                  </c:pt>
                  <c:pt idx="10">
                    <c:v>Multi-Family Unit Roof-top Solar Leasing</c:v>
                  </c:pt>
                  <c:pt idx="11">
                    <c:v>PSE Customer-Sited Solar+Storage Offering</c:v>
                  </c:pt>
                  <c:pt idx="12">
                    <c:v>Net Metering (Successor)</c:v>
                  </c:pt>
                  <c:pt idx="13">
                    <c:v>PSE Small-scale Utility Solar PV Generation Stations</c:v>
                  </c:pt>
                  <c:pt idx="14">
                    <c:v>3rd Party/Co-Op Community Solar</c:v>
                  </c:pt>
                  <c:pt idx="15">
                    <c:v>Residential Roof-top Solar Incentive</c:v>
                  </c:pt>
                  <c:pt idx="16">
                    <c:v>Consumer Peer-to-Peer Solar</c:v>
                  </c:pt>
                </c15:dlblRangeCache>
              </c15:datalabelsRange>
            </c:ext>
            <c:ext xmlns:c16="http://schemas.microsoft.com/office/drawing/2014/chart" uri="{C3380CC4-5D6E-409C-BE32-E72D297353CC}">
              <c16:uniqueId val="{00000000-E75E-404B-A9A3-5F34D9AC820B}"/>
            </c:ext>
          </c:extLst>
        </c:ser>
        <c:ser>
          <c:idx val="1"/>
          <c:order val="1"/>
          <c:tx>
            <c:strRef>
              <c:f>'PSE-Fit &amp; Feas. Mapping'!$M$75</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Mapping'!$M$76:$M$93</c:f>
              <c:numCache>
                <c:formatCode>0.00</c:formatCode>
                <c:ptCount val="18"/>
                <c:pt idx="0">
                  <c:v>0</c:v>
                </c:pt>
                <c:pt idx="1">
                  <c:v>5.5555555555555554</c:v>
                </c:pt>
                <c:pt idx="2">
                  <c:v>11.111111111111111</c:v>
                </c:pt>
                <c:pt idx="4">
                  <c:v>16.666666666666664</c:v>
                </c:pt>
                <c:pt idx="5">
                  <c:v>22.222222222222221</c:v>
                </c:pt>
                <c:pt idx="6">
                  <c:v>27.777777777777779</c:v>
                </c:pt>
                <c:pt idx="7">
                  <c:v>33.333333333333336</c:v>
                </c:pt>
                <c:pt idx="9">
                  <c:v>38.888888888888893</c:v>
                </c:pt>
                <c:pt idx="10">
                  <c:v>44.44444444444445</c:v>
                </c:pt>
                <c:pt idx="11">
                  <c:v>50.000000000000007</c:v>
                </c:pt>
                <c:pt idx="12">
                  <c:v>55.555555555555564</c:v>
                </c:pt>
                <c:pt idx="13">
                  <c:v>61.111111111111121</c:v>
                </c:pt>
                <c:pt idx="14">
                  <c:v>66.666666666666671</c:v>
                </c:pt>
                <c:pt idx="15">
                  <c:v>72.222222222222229</c:v>
                </c:pt>
                <c:pt idx="16">
                  <c:v>77.777777777777786</c:v>
                </c:pt>
                <c:pt idx="17">
                  <c:v>83.333333333333343</c:v>
                </c:pt>
              </c:numCache>
            </c:numRef>
          </c:xVal>
          <c:yVal>
            <c:numRef>
              <c:f>'PSE-Fit &amp; Feas. Mapping'!$N$76:$N$93</c:f>
              <c:numCache>
                <c:formatCode>0.00</c:formatCode>
                <c:ptCount val="18"/>
                <c:pt idx="0">
                  <c:v>67.5</c:v>
                </c:pt>
                <c:pt idx="1">
                  <c:v>67.5</c:v>
                </c:pt>
                <c:pt idx="2">
                  <c:v>67.5</c:v>
                </c:pt>
                <c:pt idx="4">
                  <c:v>67.5</c:v>
                </c:pt>
                <c:pt idx="5">
                  <c:v>67.5</c:v>
                </c:pt>
                <c:pt idx="6">
                  <c:v>67.5</c:v>
                </c:pt>
                <c:pt idx="7">
                  <c:v>67.5</c:v>
                </c:pt>
                <c:pt idx="9">
                  <c:v>67.5</c:v>
                </c:pt>
                <c:pt idx="10">
                  <c:v>67.5</c:v>
                </c:pt>
                <c:pt idx="11">
                  <c:v>67.5</c:v>
                </c:pt>
                <c:pt idx="12">
                  <c:v>67.5</c:v>
                </c:pt>
                <c:pt idx="13">
                  <c:v>67.5</c:v>
                </c:pt>
                <c:pt idx="14">
                  <c:v>67.5</c:v>
                </c:pt>
                <c:pt idx="15">
                  <c:v>67.5</c:v>
                </c:pt>
                <c:pt idx="16">
                  <c:v>67.5</c:v>
                </c:pt>
                <c:pt idx="17">
                  <c:v>67.5</c:v>
                </c:pt>
              </c:numCache>
            </c:numRef>
          </c:yVal>
          <c:smooth val="0"/>
          <c:extLst>
            <c:ext xmlns:c16="http://schemas.microsoft.com/office/drawing/2014/chart" uri="{C3380CC4-5D6E-409C-BE32-E72D297353CC}">
              <c16:uniqueId val="{00000002-E75E-404B-A9A3-5F34D9AC820B}"/>
            </c:ext>
          </c:extLst>
        </c:ser>
        <c:ser>
          <c:idx val="2"/>
          <c:order val="2"/>
          <c:tx>
            <c:strRef>
              <c:f>'PSE-Fit &amp; Feas. Mapping'!$O$75</c:f>
              <c:strCache>
                <c:ptCount val="1"/>
                <c:pt idx="0">
                  <c:v>Vertical Boundary</c:v>
                </c:pt>
              </c:strCache>
            </c:strRef>
          </c:tx>
          <c:spPr>
            <a:ln w="25400" cap="rnd">
              <a:noFill/>
              <a:round/>
            </a:ln>
            <a:effectLst/>
          </c:spPr>
          <c:marker>
            <c:symbol val="circle"/>
            <c:size val="5"/>
            <c:spPr>
              <a:solidFill>
                <a:schemeClr val="accent2"/>
              </a:solidFill>
              <a:ln w="9525">
                <a:solidFill>
                  <a:schemeClr val="accent3"/>
                </a:solidFill>
              </a:ln>
              <a:effectLst/>
            </c:spPr>
          </c:marker>
          <c:xVal>
            <c:numRef>
              <c:f>'PSE-Fit &amp; Feas. Mapping'!$O$76:$O$93</c:f>
              <c:numCache>
                <c:formatCode>0.00</c:formatCode>
                <c:ptCount val="18"/>
                <c:pt idx="0">
                  <c:v>52.5</c:v>
                </c:pt>
                <c:pt idx="1">
                  <c:v>52.5</c:v>
                </c:pt>
                <c:pt idx="2">
                  <c:v>52.5</c:v>
                </c:pt>
                <c:pt idx="4">
                  <c:v>52.5</c:v>
                </c:pt>
                <c:pt idx="5">
                  <c:v>52.5</c:v>
                </c:pt>
                <c:pt idx="6">
                  <c:v>52.5</c:v>
                </c:pt>
                <c:pt idx="7">
                  <c:v>52.5</c:v>
                </c:pt>
                <c:pt idx="9">
                  <c:v>52.5</c:v>
                </c:pt>
                <c:pt idx="10">
                  <c:v>52.5</c:v>
                </c:pt>
                <c:pt idx="11">
                  <c:v>52.5</c:v>
                </c:pt>
                <c:pt idx="12">
                  <c:v>52.5</c:v>
                </c:pt>
                <c:pt idx="13">
                  <c:v>52.5</c:v>
                </c:pt>
                <c:pt idx="14">
                  <c:v>52.5</c:v>
                </c:pt>
                <c:pt idx="15">
                  <c:v>52.5</c:v>
                </c:pt>
                <c:pt idx="16">
                  <c:v>52.5</c:v>
                </c:pt>
                <c:pt idx="17">
                  <c:v>52.5</c:v>
                </c:pt>
              </c:numCache>
            </c:numRef>
          </c:xVal>
          <c:yVal>
            <c:numRef>
              <c:f>'PSE-Fit &amp; Feas. Mapping'!$P$76:$P$93</c:f>
              <c:numCache>
                <c:formatCode>0.00</c:formatCode>
                <c:ptCount val="18"/>
                <c:pt idx="0">
                  <c:v>0</c:v>
                </c:pt>
                <c:pt idx="1">
                  <c:v>5.5555555555555554</c:v>
                </c:pt>
                <c:pt idx="2">
                  <c:v>11.111111111111111</c:v>
                </c:pt>
                <c:pt idx="4">
                  <c:v>16.666666666666664</c:v>
                </c:pt>
                <c:pt idx="5">
                  <c:v>22.222222222222221</c:v>
                </c:pt>
                <c:pt idx="6">
                  <c:v>27.777777777777779</c:v>
                </c:pt>
                <c:pt idx="7">
                  <c:v>33.333333333333336</c:v>
                </c:pt>
                <c:pt idx="9">
                  <c:v>38.888888888888893</c:v>
                </c:pt>
                <c:pt idx="10">
                  <c:v>44.44444444444445</c:v>
                </c:pt>
                <c:pt idx="11">
                  <c:v>50.000000000000007</c:v>
                </c:pt>
                <c:pt idx="12">
                  <c:v>55.555555555555564</c:v>
                </c:pt>
                <c:pt idx="13">
                  <c:v>61.111111111111121</c:v>
                </c:pt>
                <c:pt idx="14">
                  <c:v>66.666666666666671</c:v>
                </c:pt>
                <c:pt idx="15">
                  <c:v>72.222222222222229</c:v>
                </c:pt>
                <c:pt idx="16">
                  <c:v>77.777777777777786</c:v>
                </c:pt>
                <c:pt idx="17">
                  <c:v>83.333333333333343</c:v>
                </c:pt>
              </c:numCache>
            </c:numRef>
          </c:yVal>
          <c:smooth val="0"/>
          <c:extLst>
            <c:ext xmlns:c16="http://schemas.microsoft.com/office/drawing/2014/chart" uri="{C3380CC4-5D6E-409C-BE32-E72D297353CC}">
              <c16:uniqueId val="{00000003-E75E-404B-A9A3-5F34D9AC820B}"/>
            </c:ext>
          </c:extLst>
        </c:ser>
        <c:dLbls>
          <c:showLegendKey val="0"/>
          <c:showVal val="0"/>
          <c:showCatName val="0"/>
          <c:showSerName val="0"/>
          <c:showPercent val="0"/>
          <c:showBubbleSize val="0"/>
        </c:dLbls>
        <c:axId val="991170848"/>
        <c:axId val="991171680"/>
      </c:scatterChart>
      <c:valAx>
        <c:axId val="991170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171680"/>
        <c:crosses val="autoZero"/>
        <c:crossBetween val="midCat"/>
      </c:valAx>
      <c:valAx>
        <c:axId val="991171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17084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'PSE-Fit &amp; Feas. Mapping'!$I$99</c:f>
              <c:strCache>
                <c:ptCount val="1"/>
                <c:pt idx="0">
                  <c:v>Feasibility</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D99ABEB9-7EDC-4E16-AEE1-ACC7E816BB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DE20-4782-ACCE-735DD9ED3D25}"/>
                </c:ext>
              </c:extLst>
            </c:dLbl>
            <c:dLbl>
              <c:idx val="1"/>
              <c:layout/>
              <c:tx>
                <c:rich>
                  <a:bodyPr/>
                  <a:lstStyle/>
                  <a:p>
                    <a:fld id="{A3862442-E67D-4E87-92C9-CAA185EAEE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E20-4782-ACCE-735DD9ED3D25}"/>
                </c:ext>
              </c:extLst>
            </c:dLbl>
            <c:dLbl>
              <c:idx val="2"/>
              <c:layout/>
              <c:tx>
                <c:rich>
                  <a:bodyPr/>
                  <a:lstStyle/>
                  <a:p>
                    <a:fld id="{A526793C-2A5B-46DE-A36B-2410B6B6D3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E20-4782-ACCE-735DD9ED3D25}"/>
                </c:ext>
              </c:extLst>
            </c:dLbl>
            <c:dLbl>
              <c:idx val="3"/>
              <c:layout/>
              <c:tx>
                <c:rich>
                  <a:bodyPr/>
                  <a:lstStyle/>
                  <a:p>
                    <a:fld id="{E074721C-3850-4AD1-A397-370593F0FF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E20-4782-ACCE-735DD9ED3D25}"/>
                </c:ext>
              </c:extLst>
            </c:dLbl>
            <c:dLbl>
              <c:idx val="4"/>
              <c:layout/>
              <c:tx>
                <c:rich>
                  <a:bodyPr/>
                  <a:lstStyle/>
                  <a:p>
                    <a:fld id="{89D8FC31-5644-4285-91F1-3A362299C2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DE20-4782-ACCE-735DD9ED3D25}"/>
                </c:ext>
              </c:extLst>
            </c:dLbl>
            <c:dLbl>
              <c:idx val="5"/>
              <c:layout/>
              <c:tx>
                <c:rich>
                  <a:bodyPr/>
                  <a:lstStyle/>
                  <a:p>
                    <a:fld id="{AAA490C4-4AAD-4700-8A0F-1E3118802F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DE20-4782-ACCE-735DD9ED3D25}"/>
                </c:ext>
              </c:extLst>
            </c:dLbl>
            <c:dLbl>
              <c:idx val="6"/>
              <c:layout/>
              <c:tx>
                <c:rich>
                  <a:bodyPr/>
                  <a:lstStyle/>
                  <a:p>
                    <a:fld id="{83463670-8232-434B-AB28-D8E9EB72CD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DE20-4782-ACCE-735DD9ED3D25}"/>
                </c:ext>
              </c:extLst>
            </c:dLbl>
            <c:dLbl>
              <c:idx val="7"/>
              <c:layout/>
              <c:tx>
                <c:rich>
                  <a:bodyPr/>
                  <a:lstStyle/>
                  <a:p>
                    <a:fld id="{6F872602-9D7E-4226-87BC-67BBC0FA74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E20-4782-ACCE-735DD9ED3D25}"/>
                </c:ext>
              </c:extLst>
            </c:dLbl>
            <c:dLbl>
              <c:idx val="8"/>
              <c:layout/>
              <c:tx>
                <c:rich>
                  <a:bodyPr/>
                  <a:lstStyle/>
                  <a:p>
                    <a:fld id="{6405DA35-9B5F-4257-91B2-303F643652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E20-4782-ACCE-735DD9ED3D25}"/>
                </c:ext>
              </c:extLst>
            </c:dLbl>
            <c:dLbl>
              <c:idx val="9"/>
              <c:layout/>
              <c:tx>
                <c:rich>
                  <a:bodyPr/>
                  <a:lstStyle/>
                  <a:p>
                    <a:fld id="{85EFD858-6768-4851-BF81-05E71F6AF9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DE20-4782-ACCE-735DD9ED3D25}"/>
                </c:ext>
              </c:extLst>
            </c:dLbl>
            <c:dLbl>
              <c:idx val="10"/>
              <c:layout/>
              <c:tx>
                <c:rich>
                  <a:bodyPr/>
                  <a:lstStyle/>
                  <a:p>
                    <a:fld id="{2F10CA06-BAA7-4515-81CA-4FF6E5AB39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DE20-4782-ACCE-735DD9ED3D25}"/>
                </c:ext>
              </c:extLst>
            </c:dLbl>
            <c:dLbl>
              <c:idx val="11"/>
              <c:layout/>
              <c:tx>
                <c:rich>
                  <a:bodyPr/>
                  <a:lstStyle/>
                  <a:p>
                    <a:fld id="{DE2B6502-B5DF-4685-BE9E-CCC5FEE5A3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DE20-4782-ACCE-735DD9ED3D25}"/>
                </c:ext>
              </c:extLst>
            </c:dLbl>
            <c:dLbl>
              <c:idx val="12"/>
              <c:layout/>
              <c:tx>
                <c:rich>
                  <a:bodyPr/>
                  <a:lstStyle/>
                  <a:p>
                    <a:fld id="{BC0FE5FC-6FAE-4B59-B980-31D6049895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DE20-4782-ACCE-735DD9ED3D25}"/>
                </c:ext>
              </c:extLst>
            </c:dLbl>
            <c:dLbl>
              <c:idx val="13"/>
              <c:layout/>
              <c:tx>
                <c:rich>
                  <a:bodyPr/>
                  <a:lstStyle/>
                  <a:p>
                    <a:fld id="{C3214B7B-2820-45A7-97C1-E72AEED1FD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DE20-4782-ACCE-735DD9ED3D25}"/>
                </c:ext>
              </c:extLst>
            </c:dLbl>
            <c:dLbl>
              <c:idx val="14"/>
              <c:layout/>
              <c:tx>
                <c:rich>
                  <a:bodyPr/>
                  <a:lstStyle/>
                  <a:p>
                    <a:fld id="{563B6444-59C6-4C51-9D83-0BA3876A89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DE20-4782-ACCE-735DD9ED3D25}"/>
                </c:ext>
              </c:extLst>
            </c:dLbl>
            <c:dLbl>
              <c:idx val="15"/>
              <c:layout/>
              <c:tx>
                <c:rich>
                  <a:bodyPr/>
                  <a:lstStyle/>
                  <a:p>
                    <a:fld id="{3885A467-0A2D-46BC-81AC-230BBB2707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DE20-4782-ACCE-735DD9ED3D25}"/>
                </c:ext>
              </c:extLst>
            </c:dLbl>
            <c:dLbl>
              <c:idx val="16"/>
              <c:layout/>
              <c:tx>
                <c:rich>
                  <a:bodyPr/>
                  <a:lstStyle/>
                  <a:p>
                    <a:fld id="{098346FA-73D5-4407-8439-BC3CC930FE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DE20-4782-ACCE-735DD9ED3D25}"/>
                </c:ext>
              </c:extLst>
            </c:dLbl>
            <c:dLbl>
              <c:idx val="17"/>
              <c:layout/>
              <c:tx>
                <c:rich>
                  <a:bodyPr/>
                  <a:lstStyle/>
                  <a:p>
                    <a:fld id="{643F54FF-320C-4E8E-B541-C507B0D259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DE20-4782-ACCE-735DD9ED3D25}"/>
                </c:ext>
              </c:extLst>
            </c:dLbl>
            <c:dLbl>
              <c:idx val="18"/>
              <c:layout/>
              <c:tx>
                <c:rich>
                  <a:bodyPr/>
                  <a:lstStyle/>
                  <a:p>
                    <a:fld id="{ABD20666-D7D1-45FE-B4B3-83F1B8AAFE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DE20-4782-ACCE-735DD9ED3D25}"/>
                </c:ext>
              </c:extLst>
            </c:dLbl>
            <c:dLbl>
              <c:idx val="19"/>
              <c:layout/>
              <c:tx>
                <c:rich>
                  <a:bodyPr/>
                  <a:lstStyle/>
                  <a:p>
                    <a:fld id="{0E969099-2B5C-4249-ADA6-0DC30A78D4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DE20-4782-ACCE-735DD9ED3D25}"/>
                </c:ext>
              </c:extLst>
            </c:dLbl>
            <c:dLbl>
              <c:idx val="20"/>
              <c:layout/>
              <c:tx>
                <c:rich>
                  <a:bodyPr/>
                  <a:lstStyle/>
                  <a:p>
                    <a:fld id="{A82FF148-BECD-4595-A57E-6811D710AE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DE20-4782-ACCE-735DD9ED3D25}"/>
                </c:ext>
              </c:extLst>
            </c:dLbl>
            <c:dLbl>
              <c:idx val="21"/>
              <c:layout/>
              <c:tx>
                <c:rich>
                  <a:bodyPr/>
                  <a:lstStyle/>
                  <a:p>
                    <a:fld id="{0EB09E12-415F-4633-8080-4BAA581F63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DE20-4782-ACCE-735DD9ED3D2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DataLabelsRange val="1"/>
                <c15:showLeaderLines val="0"/>
              </c:ext>
            </c:extLst>
          </c:dLbls>
          <c:xVal>
            <c:numRef>
              <c:f>'PSE-Fit &amp; Feas. Mapping'!$H$100:$H$121</c:f>
              <c:numCache>
                <c:formatCode>General</c:formatCode>
                <c:ptCount val="22"/>
                <c:pt idx="0">
                  <c:v>55</c:v>
                </c:pt>
                <c:pt idx="1">
                  <c:v>70</c:v>
                </c:pt>
                <c:pt idx="2">
                  <c:v>62.5</c:v>
                </c:pt>
                <c:pt idx="3">
                  <c:v>52.5</c:v>
                </c:pt>
                <c:pt idx="4">
                  <c:v>47.5</c:v>
                </c:pt>
                <c:pt idx="5">
                  <c:v>52.5</c:v>
                </c:pt>
                <c:pt idx="6">
                  <c:v>62.5</c:v>
                </c:pt>
                <c:pt idx="7">
                  <c:v>62.5</c:v>
                </c:pt>
                <c:pt idx="8">
                  <c:v>67.5</c:v>
                </c:pt>
                <c:pt idx="9">
                  <c:v>47.5</c:v>
                </c:pt>
                <c:pt idx="10">
                  <c:v>52.5</c:v>
                </c:pt>
                <c:pt idx="11">
                  <c:v>47.5</c:v>
                </c:pt>
                <c:pt idx="12">
                  <c:v>52.5</c:v>
                </c:pt>
                <c:pt idx="13">
                  <c:v>52.5</c:v>
                </c:pt>
                <c:pt idx="14">
                  <c:v>52.5</c:v>
                </c:pt>
                <c:pt idx="15">
                  <c:v>55</c:v>
                </c:pt>
                <c:pt idx="16">
                  <c:v>27.5</c:v>
                </c:pt>
                <c:pt idx="17">
                  <c:v>22.5</c:v>
                </c:pt>
                <c:pt idx="18">
                  <c:v>47.5</c:v>
                </c:pt>
                <c:pt idx="19">
                  <c:v>47.5</c:v>
                </c:pt>
                <c:pt idx="20">
                  <c:v>22.5</c:v>
                </c:pt>
                <c:pt idx="21">
                  <c:v>5</c:v>
                </c:pt>
              </c:numCache>
            </c:numRef>
          </c:xVal>
          <c:yVal>
            <c:numRef>
              <c:f>'PSE-Fit &amp; Feas. Mapping'!$I$100:$I$121</c:f>
              <c:numCache>
                <c:formatCode>General</c:formatCode>
                <c:ptCount val="22"/>
                <c:pt idx="0">
                  <c:v>75</c:v>
                </c:pt>
                <c:pt idx="1">
                  <c:v>100</c:v>
                </c:pt>
                <c:pt idx="2">
                  <c:v>100</c:v>
                </c:pt>
                <c:pt idx="3">
                  <c:v>80</c:v>
                </c:pt>
                <c:pt idx="4">
                  <c:v>100</c:v>
                </c:pt>
                <c:pt idx="5">
                  <c:v>75</c:v>
                </c:pt>
                <c:pt idx="6">
                  <c:v>65</c:v>
                </c:pt>
                <c:pt idx="7">
                  <c:v>50</c:v>
                </c:pt>
                <c:pt idx="8">
                  <c:v>60</c:v>
                </c:pt>
                <c:pt idx="9">
                  <c:v>60</c:v>
                </c:pt>
                <c:pt idx="10">
                  <c:v>55</c:v>
                </c:pt>
                <c:pt idx="11">
                  <c:v>55</c:v>
                </c:pt>
                <c:pt idx="12">
                  <c:v>55</c:v>
                </c:pt>
                <c:pt idx="13">
                  <c:v>55</c:v>
                </c:pt>
                <c:pt idx="14">
                  <c:v>25</c:v>
                </c:pt>
                <c:pt idx="15">
                  <c:v>70</c:v>
                </c:pt>
                <c:pt idx="16">
                  <c:v>90</c:v>
                </c:pt>
                <c:pt idx="17">
                  <c:v>70</c:v>
                </c:pt>
                <c:pt idx="18">
                  <c:v>50</c:v>
                </c:pt>
                <c:pt idx="19">
                  <c:v>25</c:v>
                </c:pt>
                <c:pt idx="20">
                  <c:v>30</c:v>
                </c:pt>
                <c:pt idx="21">
                  <c:v>35</c:v>
                </c:pt>
              </c:numCache>
            </c:numRef>
          </c:yVal>
          <c:smooth val="0"/>
          <c:extLst>
            <c:ext xmlns:c15="http://schemas.microsoft.com/office/drawing/2012/chart" uri="{02D57815-91ED-43cb-92C2-25804820EDAC}">
              <c15:datalabelsRange>
                <c15:f>'PSE-Fit &amp; Feas. Mapping'!$C$100:$C$121</c15:f>
                <c15:dlblRangeCache>
                  <c:ptCount val="22"/>
                  <c:pt idx="0">
                    <c:v>Multi-Family Unit Battery Program</c:v>
                  </c:pt>
                  <c:pt idx="1">
                    <c:v>PSE Substation Batteries</c:v>
                  </c:pt>
                  <c:pt idx="2">
                    <c:v>PSE Utility-Scale Distributed Battery Stations</c:v>
                  </c:pt>
                  <c:pt idx="3">
                    <c:v>3rd Party Utility-scale Distributed Battery PPA</c:v>
                  </c:pt>
                  <c:pt idx="4">
                    <c:v>Residential Battery Install Incentive</c:v>
                  </c:pt>
                  <c:pt idx="5">
                    <c:v>Residential PSE Battery Leasing Pilot - Low Income</c:v>
                  </c:pt>
                  <c:pt idx="6">
                    <c:v>Public Space Leasing for Batteries</c:v>
                  </c:pt>
                  <c:pt idx="7">
                    <c:v>C&amp;I Space Leasing for Batteries</c:v>
                  </c:pt>
                  <c:pt idx="8">
                    <c:v>Residential PSE Battery Leasing</c:v>
                  </c:pt>
                  <c:pt idx="9">
                    <c:v>3rd Party Distributed C&amp;I Battery PPA</c:v>
                  </c:pt>
                  <c:pt idx="10">
                    <c:v>3rd Party Distributed Residential Battery PPA</c:v>
                  </c:pt>
                  <c:pt idx="11">
                    <c:v>C&amp;I Battery Install Incentive</c:v>
                  </c:pt>
                  <c:pt idx="12">
                    <c:v>C&amp;I Solar+Storage Rate</c:v>
                  </c:pt>
                  <c:pt idx="13">
                    <c:v>C&amp;I BYO Battery</c:v>
                  </c:pt>
                  <c:pt idx="14">
                    <c:v>PSE Battery Share</c:v>
                  </c:pt>
                  <c:pt idx="15">
                    <c:v>PSE Mobile Batteries</c:v>
                  </c:pt>
                  <c:pt idx="16">
                    <c:v>Residential BYO Battery Offer</c:v>
                  </c:pt>
                  <c:pt idx="17">
                    <c:v>PSE Pole-Mounted Batteries</c:v>
                  </c:pt>
                  <c:pt idx="18">
                    <c:v>Residential Solar+Storage Rate</c:v>
                  </c:pt>
                  <c:pt idx="19">
                    <c:v>PSE Battery Share - Low Income</c:v>
                  </c:pt>
                  <c:pt idx="20">
                    <c:v>Consumer Peer-to-Peer Batteries</c:v>
                  </c:pt>
                  <c:pt idx="21">
                    <c:v>Consumer Mobile Batteries</c:v>
                  </c:pt>
                </c15:dlblRangeCache>
              </c15:datalabelsRange>
            </c:ext>
            <c:ext xmlns:c16="http://schemas.microsoft.com/office/drawing/2014/chart" uri="{C3380CC4-5D6E-409C-BE32-E72D297353CC}">
              <c16:uniqueId val="{00000000-DE20-4782-ACCE-735DD9ED3D25}"/>
            </c:ext>
          </c:extLst>
        </c:ser>
        <c:ser>
          <c:idx val="1"/>
          <c:order val="1"/>
          <c:tx>
            <c:strRef>
              <c:f>'PSE-Fit &amp; Feas. Mapping'!$M$99</c:f>
              <c:strCache>
                <c:ptCount val="1"/>
                <c:pt idx="0">
                  <c:v>Horizontal Boundary</c:v>
                </c:pt>
              </c:strCache>
            </c:strRef>
          </c:tx>
          <c:spPr>
            <a:ln w="25400" cap="rnd">
              <a:noFill/>
              <a:round/>
            </a:ln>
            <a:effectLst/>
          </c:spPr>
          <c:marker>
            <c:symbol val="circle"/>
            <c:size val="5"/>
            <c:spPr>
              <a:solidFill>
                <a:schemeClr val="accent2"/>
              </a:solidFill>
              <a:ln w="9525">
                <a:solidFill>
                  <a:schemeClr val="accent2"/>
                </a:solidFill>
              </a:ln>
              <a:effectLst/>
            </c:spPr>
          </c:marker>
          <c:xVal>
            <c:numRef>
              <c:f>'PSE-Fit &amp; Feas. Mapping'!$M$100:$M$121</c:f>
              <c:numCache>
                <c:formatCode>0.00</c:formatCode>
                <c:ptCount val="22"/>
                <c:pt idx="0">
                  <c:v>0</c:v>
                </c:pt>
                <c:pt idx="1">
                  <c:v>4.5454545454545459</c:v>
                </c:pt>
                <c:pt idx="2">
                  <c:v>9.0909090909090917</c:v>
                </c:pt>
                <c:pt idx="3">
                  <c:v>13.636363636363637</c:v>
                </c:pt>
                <c:pt idx="4">
                  <c:v>18.181818181818183</c:v>
                </c:pt>
                <c:pt idx="5">
                  <c:v>22.72727272727273</c:v>
                </c:pt>
                <c:pt idx="6">
                  <c:v>27.272727272727277</c:v>
                </c:pt>
                <c:pt idx="7">
                  <c:v>31.818181818181824</c:v>
                </c:pt>
                <c:pt idx="8">
                  <c:v>36.363636363636367</c:v>
                </c:pt>
                <c:pt idx="9">
                  <c:v>40.909090909090914</c:v>
                </c:pt>
                <c:pt idx="10">
                  <c:v>45.45454545454546</c:v>
                </c:pt>
                <c:pt idx="11">
                  <c:v>50.000000000000007</c:v>
                </c:pt>
                <c:pt idx="12">
                  <c:v>54.545454545454554</c:v>
                </c:pt>
                <c:pt idx="13">
                  <c:v>59.090909090909101</c:v>
                </c:pt>
                <c:pt idx="14">
                  <c:v>63.636363636363647</c:v>
                </c:pt>
                <c:pt idx="15">
                  <c:v>68.181818181818187</c:v>
                </c:pt>
                <c:pt idx="16">
                  <c:v>72.727272727272734</c:v>
                </c:pt>
                <c:pt idx="17">
                  <c:v>77.27272727272728</c:v>
                </c:pt>
                <c:pt idx="18">
                  <c:v>81.818181818181827</c:v>
                </c:pt>
                <c:pt idx="19">
                  <c:v>86.363636363636374</c:v>
                </c:pt>
                <c:pt idx="20">
                  <c:v>90.909090909090921</c:v>
                </c:pt>
                <c:pt idx="21">
                  <c:v>95.454545454545467</c:v>
                </c:pt>
              </c:numCache>
            </c:numRef>
          </c:xVal>
          <c:yVal>
            <c:numRef>
              <c:f>'PSE-Fit &amp; Feas. Mapping'!$N$100:$N$121</c:f>
              <c:numCache>
                <c:formatCode>0.00</c:formatCode>
                <c:ptCount val="22"/>
                <c:pt idx="0">
                  <c:v>67.5</c:v>
                </c:pt>
                <c:pt idx="1">
                  <c:v>67.5</c:v>
                </c:pt>
                <c:pt idx="2">
                  <c:v>67.5</c:v>
                </c:pt>
                <c:pt idx="3">
                  <c:v>67.5</c:v>
                </c:pt>
                <c:pt idx="4">
                  <c:v>67.5</c:v>
                </c:pt>
                <c:pt idx="5">
                  <c:v>67.5</c:v>
                </c:pt>
                <c:pt idx="6">
                  <c:v>67.5</c:v>
                </c:pt>
                <c:pt idx="7">
                  <c:v>67.5</c:v>
                </c:pt>
                <c:pt idx="8">
                  <c:v>67.5</c:v>
                </c:pt>
                <c:pt idx="9">
                  <c:v>67.5</c:v>
                </c:pt>
                <c:pt idx="10">
                  <c:v>67.5</c:v>
                </c:pt>
                <c:pt idx="11">
                  <c:v>67.5</c:v>
                </c:pt>
                <c:pt idx="12">
                  <c:v>67.5</c:v>
                </c:pt>
                <c:pt idx="13">
                  <c:v>67.5</c:v>
                </c:pt>
                <c:pt idx="14">
                  <c:v>67.5</c:v>
                </c:pt>
                <c:pt idx="15">
                  <c:v>67.5</c:v>
                </c:pt>
                <c:pt idx="16">
                  <c:v>67.5</c:v>
                </c:pt>
                <c:pt idx="17">
                  <c:v>67.5</c:v>
                </c:pt>
                <c:pt idx="18">
                  <c:v>67.5</c:v>
                </c:pt>
                <c:pt idx="19">
                  <c:v>67.5</c:v>
                </c:pt>
                <c:pt idx="20">
                  <c:v>67.5</c:v>
                </c:pt>
                <c:pt idx="21">
                  <c:v>67.5</c:v>
                </c:pt>
              </c:numCache>
            </c:numRef>
          </c:yVal>
          <c:smooth val="0"/>
          <c:extLst>
            <c:ext xmlns:c16="http://schemas.microsoft.com/office/drawing/2014/chart" uri="{C3380CC4-5D6E-409C-BE32-E72D297353CC}">
              <c16:uniqueId val="{00000018-DE20-4782-ACCE-735DD9ED3D25}"/>
            </c:ext>
          </c:extLst>
        </c:ser>
        <c:ser>
          <c:idx val="2"/>
          <c:order val="2"/>
          <c:tx>
            <c:strRef>
              <c:f>'PSE-Fit &amp; Feas. Mapping'!$O$99</c:f>
              <c:strCache>
                <c:ptCount val="1"/>
                <c:pt idx="0">
                  <c:v>Vertical Boundary</c:v>
                </c:pt>
              </c:strCache>
            </c:strRef>
          </c:tx>
          <c:spPr>
            <a:ln w="25400" cap="rnd">
              <a:noFill/>
              <a:round/>
            </a:ln>
            <a:effectLst/>
          </c:spPr>
          <c:marker>
            <c:symbol val="circle"/>
            <c:size val="5"/>
            <c:spPr>
              <a:solidFill>
                <a:schemeClr val="accent2"/>
              </a:solidFill>
              <a:ln w="9525">
                <a:noFill/>
              </a:ln>
              <a:effectLst/>
            </c:spPr>
          </c:marker>
          <c:xVal>
            <c:numRef>
              <c:f>'PSE-Fit &amp; Feas. Mapping'!$O$100:$O$121</c:f>
              <c:numCache>
                <c:formatCode>0.00</c:formatCode>
                <c:ptCount val="22"/>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numCache>
            </c:numRef>
          </c:xVal>
          <c:yVal>
            <c:numRef>
              <c:f>'PSE-Fit &amp; Feas. Mapping'!$P$100:$P$121</c:f>
              <c:numCache>
                <c:formatCode>0.00</c:formatCode>
                <c:ptCount val="22"/>
                <c:pt idx="0">
                  <c:v>0</c:v>
                </c:pt>
                <c:pt idx="1">
                  <c:v>4.5454545454545459</c:v>
                </c:pt>
                <c:pt idx="2">
                  <c:v>9.0909090909090917</c:v>
                </c:pt>
                <c:pt idx="3">
                  <c:v>13.636363636363637</c:v>
                </c:pt>
                <c:pt idx="4">
                  <c:v>18.181818181818183</c:v>
                </c:pt>
                <c:pt idx="5">
                  <c:v>22.72727272727273</c:v>
                </c:pt>
                <c:pt idx="6">
                  <c:v>27.272727272727277</c:v>
                </c:pt>
                <c:pt idx="7">
                  <c:v>31.818181818181824</c:v>
                </c:pt>
                <c:pt idx="8">
                  <c:v>36.363636363636367</c:v>
                </c:pt>
                <c:pt idx="9">
                  <c:v>40.909090909090914</c:v>
                </c:pt>
                <c:pt idx="10">
                  <c:v>45.45454545454546</c:v>
                </c:pt>
                <c:pt idx="11">
                  <c:v>50.000000000000007</c:v>
                </c:pt>
                <c:pt idx="12">
                  <c:v>54.545454545454554</c:v>
                </c:pt>
                <c:pt idx="13">
                  <c:v>59.090909090909101</c:v>
                </c:pt>
                <c:pt idx="14">
                  <c:v>63.636363636363647</c:v>
                </c:pt>
                <c:pt idx="15">
                  <c:v>68.181818181818187</c:v>
                </c:pt>
                <c:pt idx="16">
                  <c:v>72.727272727272734</c:v>
                </c:pt>
                <c:pt idx="17">
                  <c:v>77.27272727272728</c:v>
                </c:pt>
                <c:pt idx="18">
                  <c:v>81.818181818181827</c:v>
                </c:pt>
                <c:pt idx="19">
                  <c:v>86.363636363636374</c:v>
                </c:pt>
                <c:pt idx="20">
                  <c:v>90.909090909090921</c:v>
                </c:pt>
                <c:pt idx="21">
                  <c:v>95.454545454545467</c:v>
                </c:pt>
              </c:numCache>
            </c:numRef>
          </c:yVal>
          <c:smooth val="0"/>
          <c:extLst>
            <c:ext xmlns:c16="http://schemas.microsoft.com/office/drawing/2014/chart" uri="{C3380CC4-5D6E-409C-BE32-E72D297353CC}">
              <c16:uniqueId val="{00000019-DE20-4782-ACCE-735DD9ED3D25}"/>
            </c:ext>
          </c:extLst>
        </c:ser>
        <c:dLbls>
          <c:showLegendKey val="0"/>
          <c:showVal val="0"/>
          <c:showCatName val="0"/>
          <c:showSerName val="0"/>
          <c:showPercent val="0"/>
          <c:showBubbleSize val="0"/>
        </c:dLbls>
        <c:axId val="770639504"/>
        <c:axId val="770629520"/>
      </c:scatterChart>
      <c:valAx>
        <c:axId val="7706395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629520"/>
        <c:crosses val="autoZero"/>
        <c:crossBetween val="midCat"/>
      </c:valAx>
      <c:valAx>
        <c:axId val="77062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63950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Initial</a:t>
            </a:r>
            <a:r>
              <a:rPr lang="en-US" baseline="0"/>
              <a:t> Feasibility Counts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'Stakeholder Feas Scoring'!$H$7</c:f>
              <c:strCache>
                <c:ptCount val="1"/>
                <c:pt idx="0">
                  <c:v>H</c:v>
                </c:pt>
              </c:strCache>
            </c:strRef>
          </c:tx>
          <c:spPr>
            <a:solidFill>
              <a:schemeClr val="accent6">
                <a:lumMod val="40000"/>
                <a:lumOff val="60000"/>
              </a:schemeClr>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Scoring'!$I$7:$L$7</c:f>
              <c:numCache>
                <c:formatCode>General</c:formatCode>
                <c:ptCount val="4"/>
                <c:pt idx="0">
                  <c:v>18</c:v>
                </c:pt>
                <c:pt idx="1">
                  <c:v>20</c:v>
                </c:pt>
                <c:pt idx="2">
                  <c:v>11</c:v>
                </c:pt>
                <c:pt idx="3">
                  <c:v>18</c:v>
                </c:pt>
              </c:numCache>
            </c:numRef>
          </c:val>
          <c:extLst>
            <c:ext xmlns:c16="http://schemas.microsoft.com/office/drawing/2014/chart" uri="{C3380CC4-5D6E-409C-BE32-E72D297353CC}">
              <c16:uniqueId val="{00000000-96B7-43AB-8AD2-29937EBAC4A0}"/>
            </c:ext>
          </c:extLst>
        </c:ser>
        <c:ser>
          <c:idx val="1"/>
          <c:order val="1"/>
          <c:tx>
            <c:strRef>
              <c:f>'Stakeholder Feas Scoring'!$H$8</c:f>
              <c:strCache>
                <c:ptCount val="1"/>
                <c:pt idx="0">
                  <c:v>M</c:v>
                </c:pt>
              </c:strCache>
            </c:strRef>
          </c:tx>
          <c:spPr>
            <a:solidFill>
              <a:schemeClr val="accent4">
                <a:lumMod val="20000"/>
                <a:lumOff val="80000"/>
              </a:schemeClr>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Scoring'!$I$8:$L$8</c:f>
              <c:numCache>
                <c:formatCode>General</c:formatCode>
                <c:ptCount val="4"/>
                <c:pt idx="0">
                  <c:v>16</c:v>
                </c:pt>
                <c:pt idx="1">
                  <c:v>17</c:v>
                </c:pt>
                <c:pt idx="2">
                  <c:v>15</c:v>
                </c:pt>
                <c:pt idx="3">
                  <c:v>18</c:v>
                </c:pt>
              </c:numCache>
            </c:numRef>
          </c:val>
          <c:extLst>
            <c:ext xmlns:c16="http://schemas.microsoft.com/office/drawing/2014/chart" uri="{C3380CC4-5D6E-409C-BE32-E72D297353CC}">
              <c16:uniqueId val="{00000001-96B7-43AB-8AD2-29937EBAC4A0}"/>
            </c:ext>
          </c:extLst>
        </c:ser>
        <c:ser>
          <c:idx val="2"/>
          <c:order val="2"/>
          <c:tx>
            <c:strRef>
              <c:f>'Stakeholder Feas Scoring'!$H$9</c:f>
              <c:strCache>
                <c:ptCount val="1"/>
                <c:pt idx="0">
                  <c:v>L</c:v>
                </c:pt>
              </c:strCache>
            </c:strRef>
          </c:tx>
          <c:spPr>
            <a:solidFill>
              <a:srgbClr val="FFCCCC"/>
            </a:solidFill>
            <a:ln>
              <a:noFill/>
            </a:ln>
            <a:effectLst/>
          </c:spPr>
          <c:invertIfNegative val="0"/>
          <c:cat>
            <c:strRef>
              <c:f>'Stakeholder Feas Scoring'!$I$6:$L$6</c:f>
              <c:strCache>
                <c:ptCount val="4"/>
                <c:pt idx="0">
                  <c:v>Regulatory Feasibility</c:v>
                </c:pt>
                <c:pt idx="1">
                  <c:v>IT/Grid Feasibility</c:v>
                </c:pt>
                <c:pt idx="2">
                  <c:v>Ops Feasibility</c:v>
                </c:pt>
                <c:pt idx="3">
                  <c:v>Customer Feasibility</c:v>
                </c:pt>
              </c:strCache>
            </c:strRef>
          </c:cat>
          <c:val>
            <c:numRef>
              <c:f>'Stakeholder Feas Scoring'!$I$9:$L$9</c:f>
              <c:numCache>
                <c:formatCode>General</c:formatCode>
                <c:ptCount val="4"/>
                <c:pt idx="0">
                  <c:v>5</c:v>
                </c:pt>
                <c:pt idx="1">
                  <c:v>2</c:v>
                </c:pt>
                <c:pt idx="2">
                  <c:v>13</c:v>
                </c:pt>
                <c:pt idx="3">
                  <c:v>3</c:v>
                </c:pt>
              </c:numCache>
            </c:numRef>
          </c:val>
          <c:extLst>
            <c:ext xmlns:c16="http://schemas.microsoft.com/office/drawing/2014/chart" uri="{C3380CC4-5D6E-409C-BE32-E72D297353CC}">
              <c16:uniqueId val="{00000002-96B7-43AB-8AD2-29937EBAC4A0}"/>
            </c:ext>
          </c:extLst>
        </c:ser>
        <c:dLbls>
          <c:showLegendKey val="0"/>
          <c:showVal val="0"/>
          <c:showCatName val="0"/>
          <c:showSerName val="0"/>
          <c:showPercent val="0"/>
          <c:showBubbleSize val="0"/>
        </c:dLbls>
        <c:gapWidth val="219"/>
        <c:overlap val="-27"/>
        <c:axId val="1519999776"/>
        <c:axId val="1519993952"/>
      </c:barChart>
      <c:catAx>
        <c:axId val="15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3952"/>
        <c:crosses val="autoZero"/>
        <c:auto val="1"/>
        <c:lblAlgn val="ctr"/>
        <c:lblOffset val="100"/>
        <c:noMultiLvlLbl val="0"/>
      </c:catAx>
      <c:valAx>
        <c:axId val="1519993952"/>
        <c:scaling>
          <c:orientation val="minMax"/>
          <c:max val="35"/>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9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Updated</a:t>
            </a:r>
            <a:r>
              <a:rPr lang="en-US" baseline="0"/>
              <a:t> Feasibility Count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0-EFD5-40C5-B301-81580A033B14}"/>
            </c:ext>
          </c:extLst>
        </c:ser>
        <c:ser>
          <c:idx val="1"/>
          <c:order val="1"/>
          <c:spPr>
            <a:solidFill>
              <a:schemeClr val="accent2"/>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1-EFD5-40C5-B301-81580A033B14}"/>
            </c:ext>
          </c:extLst>
        </c:ser>
        <c:ser>
          <c:idx val="2"/>
          <c:order val="2"/>
          <c:spPr>
            <a:solidFill>
              <a:schemeClr val="accent3"/>
            </a:solidFill>
            <a:ln>
              <a:noFill/>
            </a:ln>
            <a:effectLst/>
          </c:spPr>
          <c:invertIfNegative val="0"/>
          <c:val>
            <c:numRef>
              <c:f>'Stakeholder Feas Scoring'!#REF!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'Stakeholder Feas Scoring'!#REF!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'Stakeholder Feas Scoring'!#REF!</c15:sqref>
                        </c15:formulaRef>
                      </c:ext>
                    </c:extLst>
                  </c:multiLvlStrRef>
                </c15:cat>
              </c15:filteredCategoryTitle>
            </c:ext>
            <c:ext xmlns:c16="http://schemas.microsoft.com/office/drawing/2014/chart" uri="{C3380CC4-5D6E-409C-BE32-E72D297353CC}">
              <c16:uniqueId val="{00000002-EFD5-40C5-B301-81580A033B14}"/>
            </c:ext>
          </c:extLst>
        </c:ser>
        <c:dLbls>
          <c:showLegendKey val="0"/>
          <c:showVal val="0"/>
          <c:showCatName val="0"/>
          <c:showSerName val="0"/>
          <c:showPercent val="0"/>
          <c:showBubbleSize val="0"/>
        </c:dLbls>
        <c:gapWidth val="219"/>
        <c:overlap val="-27"/>
        <c:axId val="1519991040"/>
        <c:axId val="1519989376"/>
      </c:barChart>
      <c:catAx>
        <c:axId val="151999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89376"/>
        <c:crosses val="autoZero"/>
        <c:auto val="1"/>
        <c:lblAlgn val="ctr"/>
        <c:lblOffset val="100"/>
        <c:noMultiLvlLbl val="0"/>
      </c:catAx>
      <c:valAx>
        <c:axId val="15199893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9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7972</xdr:colOff>
      <xdr:row>10</xdr:row>
      <xdr:rowOff>35003</xdr:rowOff>
    </xdr:from>
    <xdr:to>
      <xdr:col>32</xdr:col>
      <xdr:colOff>137508</xdr:colOff>
      <xdr:row>66</xdr:row>
      <xdr:rowOff>273188</xdr:rowOff>
    </xdr:to>
    <xdr:graphicFrame macro="">
      <xdr:nvGraphicFramePr>
        <xdr:cNvPr id="10" name="Chart 9">
          <a:extLst>
            <a:ext uri="{FF2B5EF4-FFF2-40B4-BE49-F238E27FC236}">
              <a16:creationId xmlns:a16="http://schemas.microsoft.com/office/drawing/2014/main" id="{AFF46AA6-9C41-4B16-843F-19EE43833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25381</xdr:colOff>
      <xdr:row>71</xdr:row>
      <xdr:rowOff>148377</xdr:rowOff>
    </xdr:from>
    <xdr:to>
      <xdr:col>25</xdr:col>
      <xdr:colOff>156709</xdr:colOff>
      <xdr:row>92</xdr:row>
      <xdr:rowOff>538370</xdr:rowOff>
    </xdr:to>
    <xdr:graphicFrame macro="">
      <xdr:nvGraphicFramePr>
        <xdr:cNvPr id="11" name="Chart 10">
          <a:extLst>
            <a:ext uri="{FF2B5EF4-FFF2-40B4-BE49-F238E27FC236}">
              <a16:creationId xmlns:a16="http://schemas.microsoft.com/office/drawing/2014/main" id="{8BC7A385-2E7D-4028-A517-D278AFBEAE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67712</xdr:colOff>
      <xdr:row>95</xdr:row>
      <xdr:rowOff>161562</xdr:rowOff>
    </xdr:from>
    <xdr:to>
      <xdr:col>25</xdr:col>
      <xdr:colOff>79621</xdr:colOff>
      <xdr:row>120</xdr:row>
      <xdr:rowOff>731630</xdr:rowOff>
    </xdr:to>
    <xdr:graphicFrame macro="">
      <xdr:nvGraphicFramePr>
        <xdr:cNvPr id="12" name="Chart 11">
          <a:extLst>
            <a:ext uri="{FF2B5EF4-FFF2-40B4-BE49-F238E27FC236}">
              <a16:creationId xmlns:a16="http://schemas.microsoft.com/office/drawing/2014/main" id="{487C7FC8-3E3F-4CA3-A5BD-CC68CFAB6C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604024</xdr:colOff>
      <xdr:row>16</xdr:row>
      <xdr:rowOff>27177</xdr:rowOff>
    </xdr:from>
    <xdr:to>
      <xdr:col>12</xdr:col>
      <xdr:colOff>23232</xdr:colOff>
      <xdr:row>24</xdr:row>
      <xdr:rowOff>247805</xdr:rowOff>
    </xdr:to>
    <xdr:graphicFrame macro="">
      <xdr:nvGraphicFramePr>
        <xdr:cNvPr id="2" name="Chart 1">
          <a:extLst>
            <a:ext uri="{FF2B5EF4-FFF2-40B4-BE49-F238E27FC236}">
              <a16:creationId xmlns:a16="http://schemas.microsoft.com/office/drawing/2014/main" id="{B60E4FE6-986D-4146-BB18-547F9593D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598293</xdr:colOff>
      <xdr:row>16</xdr:row>
      <xdr:rowOff>6731</xdr:rowOff>
    </xdr:from>
    <xdr:to>
      <xdr:col>13</xdr:col>
      <xdr:colOff>0</xdr:colOff>
      <xdr:row>25</xdr:row>
      <xdr:rowOff>3170</xdr:rowOff>
    </xdr:to>
    <xdr:graphicFrame macro="">
      <xdr:nvGraphicFramePr>
        <xdr:cNvPr id="3" name="Chart 2">
          <a:extLst>
            <a:ext uri="{FF2B5EF4-FFF2-40B4-BE49-F238E27FC236}">
              <a16:creationId xmlns:a16="http://schemas.microsoft.com/office/drawing/2014/main" id="{2569D160-1A10-43C9-A766-9B9F5D7CA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persons/person.xml><?xml version="1.0" encoding="utf-8"?>
<personList xmlns="http://schemas.microsoft.com/office/spreadsheetml/2018/threadedcomments" xmlns:x="http://schemas.openxmlformats.org/spreadsheetml/2006/main">
  <person displayName="Clay Engel" id="{23E57A5F-D38D-4796-97EE-A34F5F39CA60}" userId="S::cengel@westmonroepartners.com::33f34e65-7697-47db-a7ef-81d59a898e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45" dT="2021-03-23T13:59:13.44" personId="{23E57A5F-D38D-4796-97EE-A34F5F39CA60}" id="{450047EE-67C3-4ECD-AA62-2C5E0C147B0A}">
    <text>I'd vote low... this feels like it's still in early technology pilots vs ready to deploy to customers</text>
  </threadedComment>
  <threadedComment ref="AD59" dT="2021-03-23T19:30:19.72" personId="{23E57A5F-D38D-4796-97EE-A34F5F39CA60}" id="{B1734CD0-C71C-414D-8FE0-DDF58159CE03}">
    <text>How significant is HVAC load in the PNW? what % of their peak does residential HVAC represent? that would be a good data point for assessing scale</text>
  </threadedComment>
  <threadedComment ref="AD61" dT="2021-03-23T19:32:29.68" personId="{23E57A5F-D38D-4796-97EE-A34F5F39CA60}" id="{D113BF87-98F2-4F5E-AB49-FEBCA1AA4FFF}">
    <text>water heaters are a challenging category... general industry school of thought is the old, inneficient ones are the loads worth controlling, and over time new efficient WH's don't offer a ton od DR potential. Does PSE forecast WHs to remain a high % of overall residential load?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
  <sheetViews>
    <sheetView tabSelected="1" view="pageLayout" topLeftCell="A12" zoomScaleNormal="75" workbookViewId="0">
      <selection activeCell="A3" sqref="A3"/>
    </sheetView>
  </sheetViews>
  <sheetFormatPr defaultColWidth="10.7109375" defaultRowHeight="12.75" outlineLevelRow="1" outlineLevelCol="1" x14ac:dyDescent="0.25"/>
  <cols>
    <col min="1" max="1" width="3.7109375" style="2" customWidth="1"/>
    <col min="2" max="2" width="41.28515625" style="2" customWidth="1"/>
    <col min="3" max="3" width="70.140625" style="2" customWidth="1" outlineLevel="1"/>
    <col min="4" max="4" width="12.7109375" style="2" customWidth="1" outlineLevel="1"/>
    <col min="5" max="5" width="16.85546875" style="2" customWidth="1" outlineLevel="1"/>
    <col min="6" max="6" width="11.140625" style="2" customWidth="1" outlineLevel="1"/>
    <col min="7" max="7" width="14.140625" style="2" customWidth="1" outlineLevel="1"/>
    <col min="8" max="8" width="13.28515625" style="2" customWidth="1" outlineLevel="1"/>
    <col min="9" max="9" width="14.42578125" style="2" customWidth="1" outlineLevel="1"/>
    <col min="10" max="10" width="16.7109375" style="2" customWidth="1" outlineLevel="1"/>
    <col min="11" max="11" width="2.7109375" style="2" customWidth="1" outlineLevel="1"/>
    <col min="12" max="12" width="14.5703125" style="2" customWidth="1"/>
    <col min="13" max="13" width="2.7109375" style="2" customWidth="1"/>
    <col min="14" max="25" width="24.42578125" style="2" hidden="1" customWidth="1" outlineLevel="1"/>
    <col min="26" max="26" width="24.42578125" style="2" customWidth="1" collapsed="1"/>
    <col min="27" max="27" width="3.7109375" style="2" customWidth="1"/>
    <col min="28" max="29" width="24.42578125" style="2" hidden="1" customWidth="1" outlineLevel="1"/>
    <col min="30" max="30" width="24.42578125" style="2" customWidth="1" collapsed="1"/>
    <col min="31" max="31" width="3.7109375" style="2" customWidth="1"/>
    <col min="32" max="35" width="24.42578125" style="2" hidden="1" customWidth="1" outlineLevel="1"/>
    <col min="36" max="36" width="24.42578125" style="2" customWidth="1" collapsed="1"/>
    <col min="37" max="37" width="3.7109375" style="2" customWidth="1"/>
    <col min="38" max="38" width="24.42578125" style="2" customWidth="1"/>
    <col min="39" max="39" width="3.7109375" style="2" customWidth="1"/>
    <col min="40" max="40" width="18.42578125" style="2" hidden="1" customWidth="1" outlineLevel="1"/>
    <col min="41" max="41" width="21.28515625" style="2" hidden="1" customWidth="1" outlineLevel="1"/>
    <col min="42" max="42" width="18.7109375" style="2" hidden="1" customWidth="1" outlineLevel="1"/>
    <col min="43" max="43" width="19.140625" style="2" hidden="1" customWidth="1" outlineLevel="1"/>
    <col min="44" max="44" width="34.7109375" style="2" bestFit="1" customWidth="1" collapsed="1"/>
    <col min="45" max="46" width="3.7109375" style="2" customWidth="1"/>
    <col min="47" max="16384" width="10.7109375" style="2"/>
  </cols>
  <sheetData>
    <row r="1" spans="1:46" ht="44.25" customHeight="1" outlineLevel="1" x14ac:dyDescent="0.25">
      <c r="A1" s="273" t="s">
        <v>308</v>
      </c>
      <c r="B1" s="34"/>
      <c r="C1" s="34"/>
      <c r="D1" s="34"/>
      <c r="E1" s="34"/>
      <c r="F1" s="34"/>
      <c r="G1" s="34"/>
      <c r="H1" s="34"/>
      <c r="I1" s="34"/>
      <c r="J1" s="34"/>
      <c r="K1" s="34"/>
      <c r="L1" s="34"/>
      <c r="M1" s="34"/>
      <c r="N1" s="284" t="s">
        <v>135</v>
      </c>
      <c r="O1" s="285"/>
      <c r="P1" s="285"/>
      <c r="Q1" s="285"/>
      <c r="R1" s="285"/>
      <c r="S1" s="285"/>
      <c r="T1" s="285"/>
      <c r="U1" s="285"/>
      <c r="V1" s="285"/>
      <c r="W1" s="285"/>
      <c r="X1" s="285"/>
      <c r="Y1" s="285"/>
      <c r="Z1" s="285"/>
      <c r="AA1" s="285"/>
      <c r="AB1" s="285"/>
      <c r="AC1" s="285"/>
      <c r="AD1" s="285"/>
      <c r="AE1" s="285"/>
      <c r="AF1" s="285"/>
      <c r="AG1" s="285"/>
      <c r="AH1" s="285"/>
      <c r="AI1" s="285"/>
      <c r="AJ1" s="285"/>
      <c r="AK1" s="285"/>
      <c r="AL1" s="286"/>
      <c r="AN1" s="284" t="s">
        <v>146</v>
      </c>
      <c r="AO1" s="285"/>
      <c r="AP1" s="285"/>
      <c r="AQ1" s="285"/>
      <c r="AR1" s="286"/>
      <c r="AT1" s="34"/>
    </row>
    <row r="2" spans="1:46" ht="15.75" customHeight="1" outlineLevel="1" thickBot="1" x14ac:dyDescent="0.3">
      <c r="A2" s="273" t="s">
        <v>310</v>
      </c>
      <c r="B2" s="34"/>
      <c r="C2" s="34"/>
      <c r="D2" s="34"/>
      <c r="E2" s="34"/>
      <c r="F2" s="34"/>
      <c r="G2" s="34"/>
      <c r="H2" s="34"/>
      <c r="I2" s="34"/>
      <c r="J2" s="34"/>
      <c r="K2" s="34"/>
      <c r="L2" s="34"/>
      <c r="M2" s="34"/>
      <c r="N2" s="50"/>
      <c r="O2" s="51"/>
      <c r="P2" s="51"/>
      <c r="Q2" s="51"/>
      <c r="R2" s="51"/>
      <c r="S2" s="51"/>
      <c r="T2" s="51"/>
      <c r="U2" s="51"/>
      <c r="V2" s="51"/>
      <c r="W2" s="51"/>
      <c r="X2" s="51"/>
      <c r="Y2" s="51"/>
      <c r="Z2" s="51"/>
      <c r="AA2" s="51"/>
      <c r="AB2" s="51"/>
      <c r="AC2" s="51"/>
      <c r="AD2" s="51"/>
      <c r="AE2" s="51"/>
      <c r="AF2" s="51"/>
      <c r="AG2" s="51"/>
      <c r="AH2" s="51"/>
      <c r="AI2" s="51"/>
      <c r="AJ2" s="51"/>
      <c r="AK2" s="51"/>
      <c r="AL2" s="52"/>
      <c r="AN2" s="295"/>
      <c r="AO2" s="296"/>
      <c r="AP2" s="296"/>
      <c r="AQ2" s="296"/>
      <c r="AR2" s="297"/>
    </row>
    <row r="3" spans="1:46" ht="24" customHeight="1" outlineLevel="1" thickBot="1" x14ac:dyDescent="0.3">
      <c r="A3" s="275"/>
      <c r="B3" s="34"/>
      <c r="C3" s="34"/>
      <c r="D3" s="34"/>
      <c r="E3" s="34"/>
      <c r="F3" s="34"/>
      <c r="G3" s="34"/>
      <c r="H3" s="34"/>
      <c r="I3" s="34"/>
      <c r="J3" s="34"/>
      <c r="K3" s="80"/>
      <c r="L3" s="80"/>
      <c r="M3" s="80"/>
      <c r="N3" s="287" t="s">
        <v>57</v>
      </c>
      <c r="O3" s="288"/>
      <c r="P3" s="288"/>
      <c r="Q3" s="288"/>
      <c r="R3" s="288"/>
      <c r="S3" s="288"/>
      <c r="T3" s="288"/>
      <c r="U3" s="288"/>
      <c r="V3" s="288"/>
      <c r="W3" s="288"/>
      <c r="X3" s="288"/>
      <c r="Y3" s="288"/>
      <c r="Z3" s="289"/>
      <c r="AA3" s="8"/>
      <c r="AB3" s="287" t="s">
        <v>139</v>
      </c>
      <c r="AC3" s="288"/>
      <c r="AD3" s="289"/>
      <c r="AE3" s="28"/>
      <c r="AF3" s="287" t="s">
        <v>144</v>
      </c>
      <c r="AG3" s="288"/>
      <c r="AH3" s="288"/>
      <c r="AI3" s="288"/>
      <c r="AJ3" s="289"/>
      <c r="AK3" s="28"/>
      <c r="AL3" s="281" t="s">
        <v>234</v>
      </c>
      <c r="AM3" s="69"/>
      <c r="AN3" s="293" t="s">
        <v>132</v>
      </c>
      <c r="AO3" s="294"/>
      <c r="AP3" s="294"/>
      <c r="AQ3" s="294"/>
      <c r="AR3" s="281" t="s">
        <v>137</v>
      </c>
    </row>
    <row r="4" spans="1:46" ht="25.5" customHeight="1" outlineLevel="1" thickBot="1" x14ac:dyDescent="0.3">
      <c r="A4" s="34"/>
      <c r="B4" s="34"/>
      <c r="C4" s="34"/>
      <c r="D4" s="34"/>
      <c r="E4" s="34"/>
      <c r="F4" s="34"/>
      <c r="G4" s="34"/>
      <c r="H4" s="34"/>
      <c r="I4" s="34"/>
      <c r="J4" s="34"/>
      <c r="K4" s="80"/>
      <c r="L4" s="80"/>
      <c r="M4" s="80"/>
      <c r="N4" s="290">
        <f>SUM(N6:Y6)</f>
        <v>0.4</v>
      </c>
      <c r="O4" s="291"/>
      <c r="P4" s="291"/>
      <c r="Q4" s="291"/>
      <c r="R4" s="291"/>
      <c r="S4" s="291"/>
      <c r="T4" s="291"/>
      <c r="U4" s="291"/>
      <c r="V4" s="291"/>
      <c r="W4" s="291"/>
      <c r="X4" s="291"/>
      <c r="Y4" s="291"/>
      <c r="Z4" s="292"/>
      <c r="AA4" s="8"/>
      <c r="AB4" s="290">
        <f>SUM(AB6:AC6)</f>
        <v>0.3</v>
      </c>
      <c r="AC4" s="291"/>
      <c r="AD4" s="292"/>
      <c r="AE4" s="8"/>
      <c r="AF4" s="290">
        <f>SUM(AF6:AI6)</f>
        <v>0.30000000000000004</v>
      </c>
      <c r="AG4" s="291"/>
      <c r="AH4" s="291"/>
      <c r="AI4" s="291"/>
      <c r="AJ4" s="292"/>
      <c r="AK4" s="8"/>
      <c r="AL4" s="282"/>
      <c r="AM4" s="69"/>
      <c r="AN4" s="279" t="s">
        <v>150</v>
      </c>
      <c r="AO4" s="280"/>
      <c r="AP4" s="280"/>
      <c r="AQ4" s="280"/>
      <c r="AR4" s="282"/>
    </row>
    <row r="5" spans="1:46" ht="101.1" customHeight="1" outlineLevel="1" thickBot="1" x14ac:dyDescent="0.3">
      <c r="A5" s="34"/>
      <c r="B5" s="34"/>
      <c r="C5" s="34"/>
      <c r="D5" s="34"/>
      <c r="E5" s="34"/>
      <c r="F5" s="34"/>
      <c r="G5" s="34"/>
      <c r="H5" s="34"/>
      <c r="I5" s="34"/>
      <c r="J5" s="34"/>
      <c r="K5" s="81"/>
      <c r="L5" s="68" t="s">
        <v>152</v>
      </c>
      <c r="M5" s="81"/>
      <c r="N5" s="16"/>
      <c r="O5" s="67"/>
      <c r="P5" s="67" t="str">
        <f>'Scoring Overview'!F3</f>
        <v>Provides at least some renewable energy that contributes to PSE's clean energy targets under CETA</v>
      </c>
      <c r="Q5" s="67"/>
      <c r="R5" s="67"/>
      <c r="S5" s="67"/>
      <c r="T5" s="67"/>
      <c r="U5" s="67"/>
      <c r="V5" s="67"/>
      <c r="W5" s="67"/>
      <c r="X5" s="67" t="str">
        <f>'Scoring Overview'!F4</f>
        <v>Resources minmizes the system peak in some way</v>
      </c>
      <c r="Y5" s="67" t="s">
        <v>153</v>
      </c>
      <c r="Z5" s="44"/>
      <c r="AA5" s="8"/>
      <c r="AB5" s="16" t="s">
        <v>134</v>
      </c>
      <c r="AC5" s="44" t="s">
        <v>133</v>
      </c>
      <c r="AD5" s="44"/>
      <c r="AE5" s="8"/>
      <c r="AF5" s="298" t="s">
        <v>149</v>
      </c>
      <c r="AG5" s="299"/>
      <c r="AH5" s="44" t="s">
        <v>141</v>
      </c>
      <c r="AI5" s="44" t="s">
        <v>142</v>
      </c>
      <c r="AJ5" s="44"/>
      <c r="AK5" s="8"/>
      <c r="AL5" s="283"/>
      <c r="AM5" s="69"/>
      <c r="AN5" s="277" t="s">
        <v>138</v>
      </c>
      <c r="AO5" s="278"/>
      <c r="AP5" s="278"/>
      <c r="AQ5" s="278"/>
      <c r="AR5" s="283"/>
    </row>
    <row r="6" spans="1:46" ht="25.5" customHeight="1" outlineLevel="1" thickBot="1" x14ac:dyDescent="0.3">
      <c r="A6" s="34"/>
      <c r="B6" s="34"/>
      <c r="C6" s="34"/>
      <c r="D6" s="34"/>
      <c r="E6" s="34"/>
      <c r="F6" s="34"/>
      <c r="G6" s="34"/>
      <c r="H6" s="34"/>
      <c r="I6" s="34"/>
      <c r="J6" s="34"/>
      <c r="K6" s="81"/>
      <c r="L6" s="81"/>
      <c r="M6" s="81"/>
      <c r="N6" s="85"/>
      <c r="O6" s="86"/>
      <c r="P6" s="87">
        <v>0.15</v>
      </c>
      <c r="Q6" s="88"/>
      <c r="R6" s="88"/>
      <c r="S6" s="88"/>
      <c r="T6" s="87"/>
      <c r="U6" s="88"/>
      <c r="V6" s="88"/>
      <c r="W6" s="88"/>
      <c r="X6" s="87">
        <v>0.05</v>
      </c>
      <c r="Y6" s="89">
        <v>0.2</v>
      </c>
      <c r="Z6" s="92"/>
      <c r="AA6" s="90"/>
      <c r="AB6" s="169">
        <v>0.15</v>
      </c>
      <c r="AC6" s="170">
        <v>0.15</v>
      </c>
      <c r="AD6" s="179"/>
      <c r="AE6" s="90"/>
      <c r="AF6" s="91">
        <v>0.1</v>
      </c>
      <c r="AG6" s="87">
        <v>0.1</v>
      </c>
      <c r="AH6" s="89">
        <v>0</v>
      </c>
      <c r="AI6" s="89">
        <v>0.1</v>
      </c>
      <c r="AJ6" s="92"/>
      <c r="AK6" s="8"/>
      <c r="AL6" s="234"/>
      <c r="AM6" s="69"/>
      <c r="AN6" s="106">
        <v>0.1</v>
      </c>
      <c r="AO6" s="107">
        <v>0.4</v>
      </c>
      <c r="AP6" s="107">
        <v>0.2</v>
      </c>
      <c r="AQ6" s="108">
        <v>0.3</v>
      </c>
      <c r="AR6" s="234"/>
    </row>
    <row r="7" spans="1:46" ht="83.1" customHeight="1" thickBot="1" x14ac:dyDescent="0.3">
      <c r="A7" s="16" t="s">
        <v>27</v>
      </c>
      <c r="B7" s="78" t="s">
        <v>254</v>
      </c>
      <c r="C7" s="79" t="s">
        <v>2</v>
      </c>
      <c r="D7" s="46" t="s">
        <v>1</v>
      </c>
      <c r="E7" s="47" t="s">
        <v>0</v>
      </c>
      <c r="F7" s="47" t="s">
        <v>58</v>
      </c>
      <c r="G7" s="47" t="s">
        <v>6</v>
      </c>
      <c r="H7" s="47" t="s">
        <v>3</v>
      </c>
      <c r="I7" s="48" t="s">
        <v>44</v>
      </c>
      <c r="J7" s="43" t="s">
        <v>36</v>
      </c>
      <c r="K7" s="17"/>
      <c r="L7" s="49" t="s">
        <v>273</v>
      </c>
      <c r="M7" s="29"/>
      <c r="N7" s="46" t="s">
        <v>59</v>
      </c>
      <c r="O7" s="47" t="s">
        <v>60</v>
      </c>
      <c r="P7" s="47" t="s">
        <v>40</v>
      </c>
      <c r="Q7" s="47" t="s">
        <v>61</v>
      </c>
      <c r="R7" s="47" t="s">
        <v>62</v>
      </c>
      <c r="S7" s="47" t="s">
        <v>63</v>
      </c>
      <c r="T7" s="47" t="s">
        <v>64</v>
      </c>
      <c r="U7" s="47" t="s">
        <v>65</v>
      </c>
      <c r="V7" s="47" t="s">
        <v>66</v>
      </c>
      <c r="W7" s="47" t="s">
        <v>67</v>
      </c>
      <c r="X7" s="47" t="s">
        <v>70</v>
      </c>
      <c r="Y7" s="43" t="s">
        <v>68</v>
      </c>
      <c r="Z7" s="83" t="s">
        <v>136</v>
      </c>
      <c r="AA7" s="35"/>
      <c r="AB7" s="36" t="s">
        <v>190</v>
      </c>
      <c r="AC7" s="30" t="s">
        <v>191</v>
      </c>
      <c r="AD7" s="42" t="s">
        <v>140</v>
      </c>
      <c r="AE7" s="35"/>
      <c r="AF7" s="39" t="s">
        <v>219</v>
      </c>
      <c r="AG7" s="40" t="s">
        <v>220</v>
      </c>
      <c r="AH7" s="40" t="s">
        <v>154</v>
      </c>
      <c r="AI7" s="41" t="s">
        <v>221</v>
      </c>
      <c r="AJ7" s="42" t="s">
        <v>143</v>
      </c>
      <c r="AK7" s="81"/>
      <c r="AL7" s="233" t="s">
        <v>135</v>
      </c>
      <c r="AM7" s="8"/>
      <c r="AN7" s="33" t="s">
        <v>80</v>
      </c>
      <c r="AO7" s="31" t="s">
        <v>82</v>
      </c>
      <c r="AP7" s="31" t="s">
        <v>99</v>
      </c>
      <c r="AQ7" s="31" t="s">
        <v>81</v>
      </c>
      <c r="AR7" s="233" t="s">
        <v>132</v>
      </c>
      <c r="AS7" s="8"/>
      <c r="AT7" s="8"/>
    </row>
    <row r="8" spans="1:46" ht="75" x14ac:dyDescent="0.25">
      <c r="A8" s="11">
        <v>1</v>
      </c>
      <c r="B8" s="76" t="s">
        <v>7</v>
      </c>
      <c r="C8" s="72" t="s">
        <v>100</v>
      </c>
      <c r="D8" s="12" t="s">
        <v>4</v>
      </c>
      <c r="E8" s="12" t="s">
        <v>8</v>
      </c>
      <c r="F8" s="12" t="s">
        <v>9</v>
      </c>
      <c r="G8" s="12" t="s">
        <v>72</v>
      </c>
      <c r="H8" s="12" t="s">
        <v>11</v>
      </c>
      <c r="I8" s="12" t="s">
        <v>46</v>
      </c>
      <c r="J8" s="13" t="s">
        <v>37</v>
      </c>
      <c r="K8" s="15"/>
      <c r="L8" s="15" t="s">
        <v>125</v>
      </c>
      <c r="M8" s="15"/>
      <c r="N8" s="93"/>
      <c r="O8" s="94"/>
      <c r="P8" s="94"/>
      <c r="Q8" s="94"/>
      <c r="R8" s="94"/>
      <c r="S8" s="94"/>
      <c r="T8" s="94"/>
      <c r="U8" s="94"/>
      <c r="V8" s="94"/>
      <c r="W8" s="94"/>
      <c r="X8" s="94"/>
      <c r="Y8" s="95" t="s">
        <v>69</v>
      </c>
      <c r="Z8" s="96">
        <f>SUM(IF(N8="X",$N$6*'Scoring Dropdowns'!$B$3,0),IF(O8="X",$O$6*'Scoring Dropdowns'!$B$3,0),IF(P8="X",$P$6*'Scoring Dropdowns'!$B$3,0),IF(Q8="X",$Q$6*'Scoring Dropdowns'!$B$3,0),IF(R8="X",$R$6*'Scoring Dropdowns'!$B$3,0),IF(S8="X",$S$6*'Scoring Dropdowns'!$B$3,0),IF(T8="X",$T$6*'Scoring Dropdowns'!$B$3,0),IF(U8="X",$U$6*'Scoring Dropdowns'!$B$3,0),IF(V8="X",$V$6*'Scoring Dropdowns'!$B$3,0),IF(W8="X",$W$6*'Scoring Dropdowns'!$B$3,0),IF(X8="X",$X$6*'Scoring Dropdowns'!$B$3,0),IF(Y8="X",$Y$6*'Scoring Dropdowns'!$B$3,0))</f>
        <v>20</v>
      </c>
      <c r="AA8" s="25"/>
      <c r="AB8" s="37" t="s">
        <v>15</v>
      </c>
      <c r="AC8" s="14" t="s">
        <v>15</v>
      </c>
      <c r="AD8" s="32">
        <f>IF(AB8="",0,IF(AB8='Scoring Dropdowns'!$A$8,'Scoring Dropdowns'!$B$8*'Original Concept List'!$AB$6*'Scoring Dropdowns'!$B$3,IF(AB8='Scoring Dropdowns'!$A$9,'Scoring Dropdowns'!$B$9*'Original Concept List'!$AB$6*'Scoring Dropdowns'!$B$3,IF(AB8='Scoring Dropdowns'!$A$10,'Scoring Dropdowns'!$B$10*'Original Concept List'!$AB$6*'Scoring Dropdowns'!$B$3,"Oops"))))+IF(AC8="",0,IF(AC8='Scoring Dropdowns'!$A$8,'Scoring Dropdowns'!$B$8*'Original Concept List'!$AC$6*'Scoring Dropdowns'!$B$3,IF(AC8='Scoring Dropdowns'!$A$9,'Scoring Dropdowns'!$B$9*'Original Concept List'!$AC$6*'Scoring Dropdowns'!$B$3,IF(AC8='Scoring Dropdowns'!$A$10,'Scoring Dropdowns'!$B$10*'Original Concept List'!$AC$6*'Scoring Dropdowns'!$B$3,"Oops"))))</f>
        <v>30</v>
      </c>
      <c r="AE8" s="25"/>
      <c r="AF8" s="37" t="s">
        <v>20</v>
      </c>
      <c r="AG8" s="14" t="s">
        <v>15</v>
      </c>
      <c r="AH8" s="62" t="s">
        <v>15</v>
      </c>
      <c r="AI8" s="32" t="s">
        <v>15</v>
      </c>
      <c r="AJ8" s="32">
        <f t="shared" ref="AJ8:AJ47" si="0">(IF(AF8="L",0,IF(AF8="M",0.5,IF(AF8="H",1)))*(AF$6*100))+ (IF(AG8="L",0,IF(AG8="M",0.5,IF(AG8="H",1)))*(AG$6*100))+(IF(AH8="L",0,IF(AH8="M",0.5,IF(AH8="H",1)))*(AH$6*100))+(IF(AI8="L",0,IF(AI8="M",0.5,IF(AI8="H",1)))*(AI$6*100))</f>
        <v>20</v>
      </c>
      <c r="AK8" s="25"/>
      <c r="AL8" s="15">
        <f>AJ8+AD8+Z8</f>
        <v>70</v>
      </c>
      <c r="AM8" s="25"/>
      <c r="AN8" s="11" t="s">
        <v>15</v>
      </c>
      <c r="AO8" s="12" t="s">
        <v>15</v>
      </c>
      <c r="AP8" s="12" t="s">
        <v>15</v>
      </c>
      <c r="AQ8" s="12" t="s">
        <v>15</v>
      </c>
      <c r="AR8" s="32">
        <f>IF(AN8="",0,IF(AN8='Scoring Dropdowns'!$A$8,'Scoring Dropdowns'!$B$8*'Original Concept List'!$AN$6*'Scoring Dropdowns'!$B$4,IF(AN8='Scoring Dropdowns'!$A$9,'Scoring Dropdowns'!$B$9*'Original Concept List'!$AN$6*'Scoring Dropdowns'!$B$4,IF(AN8='Scoring Dropdowns'!$A$10,'Scoring Dropdowns'!$B$10*'Original Concept List'!$AN$6*'Scoring Dropdowns'!$B$4,"Oops"))))+IF(AO8="",0,IF(AO8='Scoring Dropdowns'!$A$8,'Scoring Dropdowns'!$B$8*'Original Concept List'!$AO$6*'Scoring Dropdowns'!$B$4,IF(AO8='Scoring Dropdowns'!$A$9,'Scoring Dropdowns'!$B$9*'Original Concept List'!$AO$6*'Scoring Dropdowns'!$B$4,IF(AO8='Scoring Dropdowns'!$A$10,'Scoring Dropdowns'!$B$10*'Original Concept List'!$AO$6*'Scoring Dropdowns'!$B$4,"Oops"))))+IF(AP8="",0,IF(AP8='Scoring Dropdowns'!$A$8,'Scoring Dropdowns'!$B$8*'Original Concept List'!$AP$6*'Scoring Dropdowns'!$B$4,IF(AP8='Scoring Dropdowns'!$A$9,'Scoring Dropdowns'!$B$9*'Original Concept List'!$AP$6*'Scoring Dropdowns'!$B$4,IF(AP8='Scoring Dropdowns'!$A$10,'Scoring Dropdowns'!$B$10*'Original Concept List'!$AP$6*'Scoring Dropdowns'!$B$4,"Oops"))))+IF(AQ8="",0,IF(AQ8='Scoring Dropdowns'!$A$8,'Scoring Dropdowns'!$B$8*'Original Concept List'!$AQ$6*'Scoring Dropdowns'!$B$4,IF(AQ8='Scoring Dropdowns'!$A$9,'Scoring Dropdowns'!$B$9*'Original Concept List'!$AQ$6*'Scoring Dropdowns'!$B$4,IF(AQ8='Scoring Dropdowns'!$A$10,'Scoring Dropdowns'!$B$10*'Original Concept List'!$AQ$6*'Scoring Dropdowns'!$B$4,"Oops"))))</f>
        <v>100</v>
      </c>
      <c r="AS8" s="26"/>
      <c r="AT8" s="26"/>
    </row>
    <row r="9" spans="1:46" ht="56.25" x14ac:dyDescent="0.25">
      <c r="A9" s="6">
        <v>2</v>
      </c>
      <c r="B9" s="77" t="s">
        <v>12</v>
      </c>
      <c r="C9" s="70" t="s">
        <v>13</v>
      </c>
      <c r="D9" s="3" t="s">
        <v>4</v>
      </c>
      <c r="E9" s="3" t="s">
        <v>8</v>
      </c>
      <c r="F9" s="3" t="s">
        <v>9</v>
      </c>
      <c r="G9" s="3" t="s">
        <v>72</v>
      </c>
      <c r="H9" s="3" t="s">
        <v>11</v>
      </c>
      <c r="I9" s="3" t="s">
        <v>71</v>
      </c>
      <c r="J9" s="7" t="s">
        <v>37</v>
      </c>
      <c r="K9" s="10"/>
      <c r="L9" s="10" t="s">
        <v>125</v>
      </c>
      <c r="M9" s="10"/>
      <c r="N9" s="97"/>
      <c r="O9" s="98"/>
      <c r="P9" s="98"/>
      <c r="Q9" s="98"/>
      <c r="R9" s="98"/>
      <c r="S9" s="98"/>
      <c r="T9" s="98"/>
      <c r="U9" s="98"/>
      <c r="V9" s="98"/>
      <c r="W9" s="98"/>
      <c r="X9" s="98"/>
      <c r="Y9" s="99" t="s">
        <v>69</v>
      </c>
      <c r="Z9" s="96">
        <f>SUM(IF(N9="X",$N$6*'Scoring Dropdowns'!$B$3,0),IF(O9="X",$O$6*'Scoring Dropdowns'!$B$3,0),IF(P9="X",$P$6*'Scoring Dropdowns'!$B$3,0),IF(Q9="X",$Q$6*'Scoring Dropdowns'!$B$3,0),IF(R9="X",$R$6*'Scoring Dropdowns'!$B$3,0),IF(S9="X",$S$6*'Scoring Dropdowns'!$B$3,0),IF(T9="X",$T$6*'Scoring Dropdowns'!$B$3,0),IF(U9="X",$U$6*'Scoring Dropdowns'!$B$3,0),IF(V9="X",$V$6*'Scoring Dropdowns'!$B$3,0),IF(W9="X",$W$6*'Scoring Dropdowns'!$B$3,0),IF(X9="X",$X$6*'Scoring Dropdowns'!$B$3,0),IF(Y9="X",$Y$6*'Scoring Dropdowns'!$B$3,0))</f>
        <v>20</v>
      </c>
      <c r="AA9" s="25"/>
      <c r="AB9" s="20" t="s">
        <v>14</v>
      </c>
      <c r="AC9" s="9" t="s">
        <v>15</v>
      </c>
      <c r="AD9" s="32">
        <f>IF(AB9="",0,IF(AB9='Scoring Dropdowns'!$A$8,'Scoring Dropdowns'!$B$8*'Original Concept List'!$AB$6*'Scoring Dropdowns'!$B$3,IF(AB9='Scoring Dropdowns'!$A$9,'Scoring Dropdowns'!$B$9*'Original Concept List'!$AB$6*'Scoring Dropdowns'!$B$3,IF(AB9='Scoring Dropdowns'!$A$10,'Scoring Dropdowns'!$B$10*'Original Concept List'!$AB$6*'Scoring Dropdowns'!$B$3,"Oops"))))+IF(AC9="",0,IF(AC9='Scoring Dropdowns'!$A$8,'Scoring Dropdowns'!$B$8*'Original Concept List'!$AC$6*'Scoring Dropdowns'!$B$3,IF(AC9='Scoring Dropdowns'!$A$9,'Scoring Dropdowns'!$B$9*'Original Concept List'!$AC$6*'Scoring Dropdowns'!$B$3,IF(AC9='Scoring Dropdowns'!$A$10,'Scoring Dropdowns'!$B$10*'Original Concept List'!$AC$6*'Scoring Dropdowns'!$B$3,"Oops"))))</f>
        <v>22.5</v>
      </c>
      <c r="AE9" s="25"/>
      <c r="AF9" s="37" t="s">
        <v>20</v>
      </c>
      <c r="AG9" s="14" t="s">
        <v>15</v>
      </c>
      <c r="AH9" s="12" t="s">
        <v>15</v>
      </c>
      <c r="AI9" s="32" t="s">
        <v>15</v>
      </c>
      <c r="AJ9" s="32">
        <f t="shared" si="0"/>
        <v>20</v>
      </c>
      <c r="AK9" s="25"/>
      <c r="AL9" s="15">
        <f t="shared" ref="AL9:AL47" si="1">AJ9+AD9+Z9</f>
        <v>62.5</v>
      </c>
      <c r="AM9" s="25"/>
      <c r="AN9" s="11" t="s">
        <v>15</v>
      </c>
      <c r="AO9" s="12" t="s">
        <v>15</v>
      </c>
      <c r="AP9" s="12" t="s">
        <v>15</v>
      </c>
      <c r="AQ9" s="12" t="s">
        <v>15</v>
      </c>
      <c r="AR9" s="32">
        <f>IF(AN9="",0,IF(AN9='Scoring Dropdowns'!$A$8,'Scoring Dropdowns'!$B$8*'Original Concept List'!$AN$6*'Scoring Dropdowns'!$B$4,IF(AN9='Scoring Dropdowns'!$A$9,'Scoring Dropdowns'!$B$9*'Original Concept List'!$AN$6*'Scoring Dropdowns'!$B$4,IF(AN9='Scoring Dropdowns'!$A$10,'Scoring Dropdowns'!$B$10*'Original Concept List'!$AN$6*'Scoring Dropdowns'!$B$4,"Oops"))))+IF(AO9="",0,IF(AO9='Scoring Dropdowns'!$A$8,'Scoring Dropdowns'!$B$8*'Original Concept List'!$AO$6*'Scoring Dropdowns'!$B$4,IF(AO9='Scoring Dropdowns'!$A$9,'Scoring Dropdowns'!$B$9*'Original Concept List'!$AO$6*'Scoring Dropdowns'!$B$4,IF(AO9='Scoring Dropdowns'!$A$10,'Scoring Dropdowns'!$B$10*'Original Concept List'!$AO$6*'Scoring Dropdowns'!$B$4,"Oops"))))+IF(AP9="",0,IF(AP9='Scoring Dropdowns'!$A$8,'Scoring Dropdowns'!$B$8*'Original Concept List'!$AP$6*'Scoring Dropdowns'!$B$4,IF(AP9='Scoring Dropdowns'!$A$9,'Scoring Dropdowns'!$B$9*'Original Concept List'!$AP$6*'Scoring Dropdowns'!$B$4,IF(AP9='Scoring Dropdowns'!$A$10,'Scoring Dropdowns'!$B$10*'Original Concept List'!$AP$6*'Scoring Dropdowns'!$B$4,"Oops"))))+IF(AQ9="",0,IF(AQ9='Scoring Dropdowns'!$A$8,'Scoring Dropdowns'!$B$8*'Original Concept List'!$AQ$6*'Scoring Dropdowns'!$B$4,IF(AQ9='Scoring Dropdowns'!$A$9,'Scoring Dropdowns'!$B$9*'Original Concept List'!$AQ$6*'Scoring Dropdowns'!$B$4,IF(AQ9='Scoring Dropdowns'!$A$10,'Scoring Dropdowns'!$B$10*'Original Concept List'!$AQ$6*'Scoring Dropdowns'!$B$4,"Oops"))))</f>
        <v>100</v>
      </c>
      <c r="AS9" s="26"/>
      <c r="AT9" s="26"/>
    </row>
    <row r="10" spans="1:46" ht="56.25" x14ac:dyDescent="0.25">
      <c r="A10" s="11">
        <v>3</v>
      </c>
      <c r="B10" s="77" t="s">
        <v>235</v>
      </c>
      <c r="C10" s="70" t="s">
        <v>131</v>
      </c>
      <c r="D10" s="3" t="s">
        <v>4</v>
      </c>
      <c r="E10" s="3" t="s">
        <v>8</v>
      </c>
      <c r="F10" s="3" t="s">
        <v>18</v>
      </c>
      <c r="G10" s="3" t="s">
        <v>23</v>
      </c>
      <c r="H10" s="3" t="s">
        <v>11</v>
      </c>
      <c r="I10" s="3" t="s">
        <v>46</v>
      </c>
      <c r="J10" s="7" t="s">
        <v>130</v>
      </c>
      <c r="K10" s="10"/>
      <c r="L10" s="10" t="s">
        <v>125</v>
      </c>
      <c r="M10" s="10"/>
      <c r="N10" s="97"/>
      <c r="O10" s="98"/>
      <c r="P10" s="98"/>
      <c r="Q10" s="98"/>
      <c r="R10" s="98"/>
      <c r="S10" s="98"/>
      <c r="T10" s="98"/>
      <c r="U10" s="98"/>
      <c r="V10" s="98"/>
      <c r="W10" s="98"/>
      <c r="X10" s="98"/>
      <c r="Y10" s="99" t="s">
        <v>69</v>
      </c>
      <c r="Z10" s="96">
        <f>SUM(IF(N10="X",$N$6*'Scoring Dropdowns'!$B$3,0),IF(O10="X",$O$6*'Scoring Dropdowns'!$B$3,0),IF(P10="X",$P$6*'Scoring Dropdowns'!$B$3,0),IF(Q10="X",$Q$6*'Scoring Dropdowns'!$B$3,0),IF(R10="X",$R$6*'Scoring Dropdowns'!$B$3,0),IF(S10="X",$S$6*'Scoring Dropdowns'!$B$3,0),IF(T10="X",$T$6*'Scoring Dropdowns'!$B$3,0),IF(U10="X",$U$6*'Scoring Dropdowns'!$B$3,0),IF(V10="X",$V$6*'Scoring Dropdowns'!$B$3,0),IF(W10="X",$W$6*'Scoring Dropdowns'!$B$3,0),IF(X10="X",$X$6*'Scoring Dropdowns'!$B$3,0),IF(Y10="X",$Y$6*'Scoring Dropdowns'!$B$3,0))</f>
        <v>20</v>
      </c>
      <c r="AA10" s="25"/>
      <c r="AB10" s="20" t="s">
        <v>15</v>
      </c>
      <c r="AC10" s="9" t="s">
        <v>15</v>
      </c>
      <c r="AD10" s="32">
        <f>IF(AB10="",0,IF(AB10='Scoring Dropdowns'!$A$8,'Scoring Dropdowns'!$B$8*'Original Concept List'!$AB$6*'Scoring Dropdowns'!$B$3,IF(AB10='Scoring Dropdowns'!$A$9,'Scoring Dropdowns'!$B$9*'Original Concept List'!$AB$6*'Scoring Dropdowns'!$B$3,IF(AB10='Scoring Dropdowns'!$A$10,'Scoring Dropdowns'!$B$10*'Original Concept List'!$AB$6*'Scoring Dropdowns'!$B$3,"Oops"))))+IF(AC10="",0,IF(AC10='Scoring Dropdowns'!$A$8,'Scoring Dropdowns'!$B$8*'Original Concept List'!$AC$6*'Scoring Dropdowns'!$B$3,IF(AC10='Scoring Dropdowns'!$A$9,'Scoring Dropdowns'!$B$9*'Original Concept List'!$AC$6*'Scoring Dropdowns'!$B$3,IF(AC10='Scoring Dropdowns'!$A$10,'Scoring Dropdowns'!$B$10*'Original Concept List'!$AC$6*'Scoring Dropdowns'!$B$3,"Oops"))))</f>
        <v>30</v>
      </c>
      <c r="AE10" s="25"/>
      <c r="AF10" s="37" t="s">
        <v>20</v>
      </c>
      <c r="AG10" s="14" t="s">
        <v>14</v>
      </c>
      <c r="AH10" s="12" t="s">
        <v>15</v>
      </c>
      <c r="AI10" s="32" t="s">
        <v>20</v>
      </c>
      <c r="AJ10" s="32">
        <f t="shared" si="0"/>
        <v>5</v>
      </c>
      <c r="AK10" s="25"/>
      <c r="AL10" s="15">
        <f t="shared" si="1"/>
        <v>55</v>
      </c>
      <c r="AM10" s="25"/>
      <c r="AN10" s="11" t="s">
        <v>15</v>
      </c>
      <c r="AO10" s="12" t="s">
        <v>15</v>
      </c>
      <c r="AP10" s="12" t="s">
        <v>15</v>
      </c>
      <c r="AQ10" s="12" t="s">
        <v>15</v>
      </c>
      <c r="AR10" s="32">
        <f>IF(AN10="",0,IF(AN10='Scoring Dropdowns'!$A$8,'Scoring Dropdowns'!$B$8*'Original Concept List'!$AN$6*'Scoring Dropdowns'!$B$4,IF(AN10='Scoring Dropdowns'!$A$9,'Scoring Dropdowns'!$B$9*'Original Concept List'!$AN$6*'Scoring Dropdowns'!$B$4,IF(AN10='Scoring Dropdowns'!$A$10,'Scoring Dropdowns'!$B$10*'Original Concept List'!$AN$6*'Scoring Dropdowns'!$B$4,"Oops"))))+IF(AO10="",0,IF(AO10='Scoring Dropdowns'!$A$8,'Scoring Dropdowns'!$B$8*'Original Concept List'!$AO$6*'Scoring Dropdowns'!$B$4,IF(AO10='Scoring Dropdowns'!$A$9,'Scoring Dropdowns'!$B$9*'Original Concept List'!$AO$6*'Scoring Dropdowns'!$B$4,IF(AO10='Scoring Dropdowns'!$A$10,'Scoring Dropdowns'!$B$10*'Original Concept List'!$AO$6*'Scoring Dropdowns'!$B$4,"Oops"))))+IF(AP10="",0,IF(AP10='Scoring Dropdowns'!$A$8,'Scoring Dropdowns'!$B$8*'Original Concept List'!$AP$6*'Scoring Dropdowns'!$B$4,IF(AP10='Scoring Dropdowns'!$A$9,'Scoring Dropdowns'!$B$9*'Original Concept List'!$AP$6*'Scoring Dropdowns'!$B$4,IF(AP10='Scoring Dropdowns'!$A$10,'Scoring Dropdowns'!$B$10*'Original Concept List'!$AP$6*'Scoring Dropdowns'!$B$4,"Oops"))))+IF(AQ10="",0,IF(AQ10='Scoring Dropdowns'!$A$8,'Scoring Dropdowns'!$B$8*'Original Concept List'!$AQ$6*'Scoring Dropdowns'!$B$4,IF(AQ10='Scoring Dropdowns'!$A$9,'Scoring Dropdowns'!$B$9*'Original Concept List'!$AQ$6*'Scoring Dropdowns'!$B$4,IF(AQ10='Scoring Dropdowns'!$A$10,'Scoring Dropdowns'!$B$10*'Original Concept List'!$AQ$6*'Scoring Dropdowns'!$B$4,"Oops"))))</f>
        <v>100</v>
      </c>
      <c r="AS10" s="26"/>
      <c r="AT10" s="26"/>
    </row>
    <row r="11" spans="1:46" ht="75" x14ac:dyDescent="0.25">
      <c r="A11" s="6">
        <v>4</v>
      </c>
      <c r="B11" s="77" t="s">
        <v>236</v>
      </c>
      <c r="C11" s="70" t="s">
        <v>237</v>
      </c>
      <c r="D11" s="3" t="s">
        <v>4</v>
      </c>
      <c r="E11" s="3" t="s">
        <v>8</v>
      </c>
      <c r="F11" s="3" t="s">
        <v>18</v>
      </c>
      <c r="G11" s="3" t="s">
        <v>23</v>
      </c>
      <c r="H11" s="3" t="s">
        <v>11</v>
      </c>
      <c r="I11" s="3" t="s">
        <v>46</v>
      </c>
      <c r="J11" s="7" t="s">
        <v>19</v>
      </c>
      <c r="K11" s="10"/>
      <c r="L11" s="10" t="s">
        <v>125</v>
      </c>
      <c r="M11" s="10"/>
      <c r="N11" s="97"/>
      <c r="O11" s="98"/>
      <c r="P11" s="98"/>
      <c r="Q11" s="98"/>
      <c r="R11" s="98"/>
      <c r="S11" s="98"/>
      <c r="T11" s="98"/>
      <c r="U11" s="98"/>
      <c r="V11" s="98"/>
      <c r="W11" s="98"/>
      <c r="X11" s="98"/>
      <c r="Y11" s="99" t="s">
        <v>69</v>
      </c>
      <c r="Z11" s="96">
        <f>SUM(IF(N11="X",$N$6*'Scoring Dropdowns'!$B$3,0),IF(O11="X",$O$6*'Scoring Dropdowns'!$B$3,0),IF(P11="X",$P$6*'Scoring Dropdowns'!$B$3,0),IF(Q11="X",$Q$6*'Scoring Dropdowns'!$B$3,0),IF(R11="X",$R$6*'Scoring Dropdowns'!$B$3,0),IF(S11="X",$S$6*'Scoring Dropdowns'!$B$3,0),IF(T11="X",$T$6*'Scoring Dropdowns'!$B$3,0),IF(U11="X",$U$6*'Scoring Dropdowns'!$B$3,0),IF(V11="X",$V$6*'Scoring Dropdowns'!$B$3,0),IF(W11="X",$W$6*'Scoring Dropdowns'!$B$3,0),IF(X11="X",$X$6*'Scoring Dropdowns'!$B$3,0),IF(Y11="X",$Y$6*'Scoring Dropdowns'!$B$3,0))</f>
        <v>20</v>
      </c>
      <c r="AA11" s="25"/>
      <c r="AB11" s="20" t="s">
        <v>15</v>
      </c>
      <c r="AC11" s="9" t="s">
        <v>15</v>
      </c>
      <c r="AD11" s="32">
        <f>IF(AB11="",0,IF(AB11='Scoring Dropdowns'!$A$8,'Scoring Dropdowns'!$B$8*'Original Concept List'!$AB$6*'Scoring Dropdowns'!$B$3,IF(AB11='Scoring Dropdowns'!$A$9,'Scoring Dropdowns'!$B$9*'Original Concept List'!$AB$6*'Scoring Dropdowns'!$B$3,IF(AB11='Scoring Dropdowns'!$A$10,'Scoring Dropdowns'!$B$10*'Original Concept List'!$AB$6*'Scoring Dropdowns'!$B$3,"Oops"))))+IF(AC11="",0,IF(AC11='Scoring Dropdowns'!$A$8,'Scoring Dropdowns'!$B$8*'Original Concept List'!$AC$6*'Scoring Dropdowns'!$B$3,IF(AC11='Scoring Dropdowns'!$A$9,'Scoring Dropdowns'!$B$9*'Original Concept List'!$AC$6*'Scoring Dropdowns'!$B$3,IF(AC11='Scoring Dropdowns'!$A$10,'Scoring Dropdowns'!$B$10*'Original Concept List'!$AC$6*'Scoring Dropdowns'!$B$3,"Oops"))))</f>
        <v>30</v>
      </c>
      <c r="AE11" s="25"/>
      <c r="AF11" s="37" t="s">
        <v>20</v>
      </c>
      <c r="AG11" s="14" t="s">
        <v>14</v>
      </c>
      <c r="AH11" s="12" t="s">
        <v>15</v>
      </c>
      <c r="AI11" s="32" t="s">
        <v>20</v>
      </c>
      <c r="AJ11" s="32">
        <f t="shared" ref="AJ11" si="2">(IF(AF11="L",0,IF(AF11="M",0.5,IF(AF11="H",1)))*(AF$6*100))+ (IF(AG11="L",0,IF(AG11="M",0.5,IF(AG11="H",1)))*(AG$6*100))+(IF(AH11="L",0,IF(AH11="M",0.5,IF(AH11="H",1)))*(AH$6*100))+(IF(AI11="L",0,IF(AI11="M",0.5,IF(AI11="H",1)))*(AI$6*100))</f>
        <v>5</v>
      </c>
      <c r="AK11" s="25"/>
      <c r="AL11" s="15">
        <f t="shared" si="1"/>
        <v>55</v>
      </c>
      <c r="AM11" s="25"/>
      <c r="AN11" s="11" t="s">
        <v>15</v>
      </c>
      <c r="AO11" s="12" t="s">
        <v>15</v>
      </c>
      <c r="AP11" s="12" t="s">
        <v>15</v>
      </c>
      <c r="AQ11" s="12" t="s">
        <v>15</v>
      </c>
      <c r="AR11" s="32">
        <f>IF(AN11="",0,IF(AN11='Scoring Dropdowns'!$A$8,'Scoring Dropdowns'!$B$8*'Original Concept List'!$AN$6*'Scoring Dropdowns'!$B$4,IF(AN11='Scoring Dropdowns'!$A$9,'Scoring Dropdowns'!$B$9*'Original Concept List'!$AN$6*'Scoring Dropdowns'!$B$4,IF(AN11='Scoring Dropdowns'!$A$10,'Scoring Dropdowns'!$B$10*'Original Concept List'!$AN$6*'Scoring Dropdowns'!$B$4,"Oops"))))+IF(AO11="",0,IF(AO11='Scoring Dropdowns'!$A$8,'Scoring Dropdowns'!$B$8*'Original Concept List'!$AO$6*'Scoring Dropdowns'!$B$4,IF(AO11='Scoring Dropdowns'!$A$9,'Scoring Dropdowns'!$B$9*'Original Concept List'!$AO$6*'Scoring Dropdowns'!$B$4,IF(AO11='Scoring Dropdowns'!$A$10,'Scoring Dropdowns'!$B$10*'Original Concept List'!$AO$6*'Scoring Dropdowns'!$B$4,"Oops"))))+IF(AP11="",0,IF(AP11='Scoring Dropdowns'!$A$8,'Scoring Dropdowns'!$B$8*'Original Concept List'!$AP$6*'Scoring Dropdowns'!$B$4,IF(AP11='Scoring Dropdowns'!$A$9,'Scoring Dropdowns'!$B$9*'Original Concept List'!$AP$6*'Scoring Dropdowns'!$B$4,IF(AP11='Scoring Dropdowns'!$A$10,'Scoring Dropdowns'!$B$10*'Original Concept List'!$AP$6*'Scoring Dropdowns'!$B$4,"Oops"))))+IF(AQ11="",0,IF(AQ11='Scoring Dropdowns'!$A$8,'Scoring Dropdowns'!$B$8*'Original Concept List'!$AQ$6*'Scoring Dropdowns'!$B$4,IF(AQ11='Scoring Dropdowns'!$A$9,'Scoring Dropdowns'!$B$9*'Original Concept List'!$AQ$6*'Scoring Dropdowns'!$B$4,IF(AQ11='Scoring Dropdowns'!$A$10,'Scoring Dropdowns'!$B$10*'Original Concept List'!$AQ$6*'Scoring Dropdowns'!$B$4,"Oops"))))</f>
        <v>100</v>
      </c>
      <c r="AS11" s="26"/>
      <c r="AT11" s="26"/>
    </row>
    <row r="12" spans="1:46" ht="56.25" x14ac:dyDescent="0.25">
      <c r="A12" s="11">
        <v>5</v>
      </c>
      <c r="B12" s="77" t="s">
        <v>96</v>
      </c>
      <c r="C12" s="70" t="s">
        <v>103</v>
      </c>
      <c r="D12" s="3" t="s">
        <v>4</v>
      </c>
      <c r="E12" s="3" t="s">
        <v>8</v>
      </c>
      <c r="F12" s="3" t="s">
        <v>9</v>
      </c>
      <c r="G12" s="3" t="s">
        <v>72</v>
      </c>
      <c r="H12" s="3" t="s">
        <v>16</v>
      </c>
      <c r="I12" s="3" t="s">
        <v>83</v>
      </c>
      <c r="J12" s="7" t="s">
        <v>19</v>
      </c>
      <c r="K12" s="10"/>
      <c r="L12" s="10" t="s">
        <v>127</v>
      </c>
      <c r="M12" s="10"/>
      <c r="N12" s="97"/>
      <c r="O12" s="98"/>
      <c r="P12" s="98"/>
      <c r="Q12" s="98"/>
      <c r="R12" s="98"/>
      <c r="S12" s="98"/>
      <c r="T12" s="98"/>
      <c r="U12" s="98"/>
      <c r="V12" s="98"/>
      <c r="W12" s="98"/>
      <c r="X12" s="98"/>
      <c r="Y12" s="99" t="s">
        <v>69</v>
      </c>
      <c r="Z12" s="96">
        <f>SUM(IF(N12="X",$N$6*'Scoring Dropdowns'!$B$3,0),IF(O12="X",$O$6*'Scoring Dropdowns'!$B$3,0),IF(P12="X",$P$6*'Scoring Dropdowns'!$B$3,0),IF(Q12="X",$Q$6*'Scoring Dropdowns'!$B$3,0),IF(R12="X",$R$6*'Scoring Dropdowns'!$B$3,0),IF(S12="X",$S$6*'Scoring Dropdowns'!$B$3,0),IF(T12="X",$T$6*'Scoring Dropdowns'!$B$3,0),IF(U12="X",$U$6*'Scoring Dropdowns'!$B$3,0),IF(V12="X",$V$6*'Scoring Dropdowns'!$B$3,0),IF(W12="X",$W$6*'Scoring Dropdowns'!$B$3,0),IF(X12="X",$X$6*'Scoring Dropdowns'!$B$3,0),IF(Y12="X",$Y$6*'Scoring Dropdowns'!$B$3,0))</f>
        <v>20</v>
      </c>
      <c r="AA12" s="25"/>
      <c r="AB12" s="19" t="s">
        <v>20</v>
      </c>
      <c r="AC12" s="134" t="s">
        <v>14</v>
      </c>
      <c r="AD12" s="32">
        <f>IF(AB12="",0,IF(AB12='Scoring Dropdowns'!$A$8,'Scoring Dropdowns'!$B$8*'Original Concept List'!$AB$6*'Scoring Dropdowns'!$B$3,IF(AB12='Scoring Dropdowns'!$A$9,'Scoring Dropdowns'!$B$9*'Original Concept List'!$AB$6*'Scoring Dropdowns'!$B$3,IF(AB12='Scoring Dropdowns'!$A$10,'Scoring Dropdowns'!$B$10*'Original Concept List'!$AB$6*'Scoring Dropdowns'!$B$3,"Oops"))))+IF(AC12="",0,IF(AC12='Scoring Dropdowns'!$A$8,'Scoring Dropdowns'!$B$8*'Original Concept List'!$AC$6*'Scoring Dropdowns'!$B$3,IF(AC12='Scoring Dropdowns'!$A$9,'Scoring Dropdowns'!$B$9*'Original Concept List'!$AC$6*'Scoring Dropdowns'!$B$3,IF(AC12='Scoring Dropdowns'!$A$10,'Scoring Dropdowns'!$B$10*'Original Concept List'!$AC$6*'Scoring Dropdowns'!$B$3,"Oops"))))</f>
        <v>7.5</v>
      </c>
      <c r="AE12" s="25"/>
      <c r="AF12" s="37" t="s">
        <v>14</v>
      </c>
      <c r="AG12" s="14" t="s">
        <v>20</v>
      </c>
      <c r="AH12" s="12" t="s">
        <v>14</v>
      </c>
      <c r="AI12" s="32" t="s">
        <v>14</v>
      </c>
      <c r="AJ12" s="32">
        <f t="shared" si="0"/>
        <v>10</v>
      </c>
      <c r="AK12" s="25"/>
      <c r="AL12" s="15">
        <f t="shared" si="1"/>
        <v>37.5</v>
      </c>
      <c r="AM12" s="25"/>
      <c r="AN12" s="11" t="s">
        <v>15</v>
      </c>
      <c r="AO12" s="12" t="s">
        <v>15</v>
      </c>
      <c r="AP12" s="12" t="s">
        <v>20</v>
      </c>
      <c r="AQ12" s="12" t="s">
        <v>15</v>
      </c>
      <c r="AR12" s="32">
        <f>IF(AN12="",0,IF(AN12='Scoring Dropdowns'!$A$8,'Scoring Dropdowns'!$B$8*'Original Concept List'!$AN$6*'Scoring Dropdowns'!$B$4,IF(AN12='Scoring Dropdowns'!$A$9,'Scoring Dropdowns'!$B$9*'Original Concept List'!$AN$6*'Scoring Dropdowns'!$B$4,IF(AN12='Scoring Dropdowns'!$A$10,'Scoring Dropdowns'!$B$10*'Original Concept List'!$AN$6*'Scoring Dropdowns'!$B$4,"Oops"))))+IF(AO12="",0,IF(AO12='Scoring Dropdowns'!$A$8,'Scoring Dropdowns'!$B$8*'Original Concept List'!$AO$6*'Scoring Dropdowns'!$B$4,IF(AO12='Scoring Dropdowns'!$A$9,'Scoring Dropdowns'!$B$9*'Original Concept List'!$AO$6*'Scoring Dropdowns'!$B$4,IF(AO12='Scoring Dropdowns'!$A$10,'Scoring Dropdowns'!$B$10*'Original Concept List'!$AO$6*'Scoring Dropdowns'!$B$4,"Oops"))))+IF(AP12="",0,IF(AP12='Scoring Dropdowns'!$A$8,'Scoring Dropdowns'!$B$8*'Original Concept List'!$AP$6*'Scoring Dropdowns'!$B$4,IF(AP12='Scoring Dropdowns'!$A$9,'Scoring Dropdowns'!$B$9*'Original Concept List'!$AP$6*'Scoring Dropdowns'!$B$4,IF(AP12='Scoring Dropdowns'!$A$10,'Scoring Dropdowns'!$B$10*'Original Concept List'!$AP$6*'Scoring Dropdowns'!$B$4,"Oops"))))+IF(AQ12="",0,IF(AQ12='Scoring Dropdowns'!$A$8,'Scoring Dropdowns'!$B$8*'Original Concept List'!$AQ$6*'Scoring Dropdowns'!$B$4,IF(AQ12='Scoring Dropdowns'!$A$9,'Scoring Dropdowns'!$B$9*'Original Concept List'!$AQ$6*'Scoring Dropdowns'!$B$4,IF(AQ12='Scoring Dropdowns'!$A$10,'Scoring Dropdowns'!$B$10*'Original Concept List'!$AQ$6*'Scoring Dropdowns'!$B$4,"Oops"))))</f>
        <v>80</v>
      </c>
      <c r="AS12" s="82"/>
      <c r="AT12" s="82"/>
    </row>
    <row r="13" spans="1:46" ht="75" x14ac:dyDescent="0.25">
      <c r="A13" s="6">
        <v>6</v>
      </c>
      <c r="B13" s="77" t="s">
        <v>79</v>
      </c>
      <c r="C13" s="71" t="s">
        <v>272</v>
      </c>
      <c r="D13" s="3" t="s">
        <v>4</v>
      </c>
      <c r="E13" s="3" t="s">
        <v>8</v>
      </c>
      <c r="F13" s="3" t="s">
        <v>9</v>
      </c>
      <c r="G13" s="3" t="s">
        <v>41</v>
      </c>
      <c r="H13" s="3" t="s">
        <v>11</v>
      </c>
      <c r="I13" s="3" t="s">
        <v>45</v>
      </c>
      <c r="J13" s="7" t="s">
        <v>19</v>
      </c>
      <c r="K13" s="10"/>
      <c r="L13" s="10" t="s">
        <v>127</v>
      </c>
      <c r="M13" s="10"/>
      <c r="N13" s="97"/>
      <c r="O13" s="98"/>
      <c r="P13" s="98"/>
      <c r="Q13" s="98"/>
      <c r="R13" s="98"/>
      <c r="S13" s="98"/>
      <c r="T13" s="98"/>
      <c r="U13" s="98"/>
      <c r="V13" s="98"/>
      <c r="W13" s="98"/>
      <c r="X13" s="98"/>
      <c r="Y13" s="99" t="s">
        <v>69</v>
      </c>
      <c r="Z13" s="96">
        <f>SUM(IF(N13="X",$N$6*'Scoring Dropdowns'!$B$3,0),IF(O13="X",$O$6*'Scoring Dropdowns'!$B$3,0),IF(P13="X",$P$6*'Scoring Dropdowns'!$B$3,0),IF(Q13="X",$Q$6*'Scoring Dropdowns'!$B$3,0),IF(R13="X",$R$6*'Scoring Dropdowns'!$B$3,0),IF(S13="X",$S$6*'Scoring Dropdowns'!$B$3,0),IF(T13="X",$T$6*'Scoring Dropdowns'!$B$3,0),IF(U13="X",$U$6*'Scoring Dropdowns'!$B$3,0),IF(V13="X",$V$6*'Scoring Dropdowns'!$B$3,0),IF(W13="X",$W$6*'Scoring Dropdowns'!$B$3,0),IF(X13="X",$X$6*'Scoring Dropdowns'!$B$3,0),IF(Y13="X",$Y$6*'Scoring Dropdowns'!$B$3,0))</f>
        <v>20</v>
      </c>
      <c r="AA13" s="25"/>
      <c r="AB13" s="20" t="s">
        <v>15</v>
      </c>
      <c r="AC13" s="9" t="s">
        <v>14</v>
      </c>
      <c r="AD13" s="32">
        <f>IF(AB13="",0,IF(AB13='Scoring Dropdowns'!$A$8,'Scoring Dropdowns'!$B$8*'Original Concept List'!$AB$6*'Scoring Dropdowns'!$B$3,IF(AB13='Scoring Dropdowns'!$A$9,'Scoring Dropdowns'!$B$9*'Original Concept List'!$AB$6*'Scoring Dropdowns'!$B$3,IF(AB13='Scoring Dropdowns'!$A$10,'Scoring Dropdowns'!$B$10*'Original Concept List'!$AB$6*'Scoring Dropdowns'!$B$3,"Oops"))))+IF(AC13="",0,IF(AC13='Scoring Dropdowns'!$A$8,'Scoring Dropdowns'!$B$8*'Original Concept List'!$AC$6*'Scoring Dropdowns'!$B$3,IF(AC13='Scoring Dropdowns'!$A$9,'Scoring Dropdowns'!$B$9*'Original Concept List'!$AC$6*'Scoring Dropdowns'!$B$3,IF(AC13='Scoring Dropdowns'!$A$10,'Scoring Dropdowns'!$B$10*'Original Concept List'!$AC$6*'Scoring Dropdowns'!$B$3,"Oops"))))</f>
        <v>22.5</v>
      </c>
      <c r="AE13" s="25"/>
      <c r="AF13" s="37" t="s">
        <v>20</v>
      </c>
      <c r="AG13" s="204" t="s">
        <v>20</v>
      </c>
      <c r="AH13" s="12" t="s">
        <v>14</v>
      </c>
      <c r="AI13" s="32" t="s">
        <v>15</v>
      </c>
      <c r="AJ13" s="32">
        <f t="shared" si="0"/>
        <v>10</v>
      </c>
      <c r="AK13" s="25"/>
      <c r="AL13" s="15">
        <f t="shared" si="1"/>
        <v>52.5</v>
      </c>
      <c r="AM13" s="25"/>
      <c r="AN13" s="11" t="s">
        <v>14</v>
      </c>
      <c r="AO13" s="12" t="s">
        <v>15</v>
      </c>
      <c r="AP13" s="12" t="s">
        <v>14</v>
      </c>
      <c r="AQ13" s="12" t="s">
        <v>14</v>
      </c>
      <c r="AR13" s="32">
        <f>IF(AN13="",0,IF(AN13='Scoring Dropdowns'!$A$8,'Scoring Dropdowns'!$B$8*'Original Concept List'!$AN$6*'Scoring Dropdowns'!$B$4,IF(AN13='Scoring Dropdowns'!$A$9,'Scoring Dropdowns'!$B$9*'Original Concept List'!$AN$6*'Scoring Dropdowns'!$B$4,IF(AN13='Scoring Dropdowns'!$A$10,'Scoring Dropdowns'!$B$10*'Original Concept List'!$AN$6*'Scoring Dropdowns'!$B$4,"Oops"))))+IF(AO13="",0,IF(AO13='Scoring Dropdowns'!$A$8,'Scoring Dropdowns'!$B$8*'Original Concept List'!$AO$6*'Scoring Dropdowns'!$B$4,IF(AO13='Scoring Dropdowns'!$A$9,'Scoring Dropdowns'!$B$9*'Original Concept List'!$AO$6*'Scoring Dropdowns'!$B$4,IF(AO13='Scoring Dropdowns'!$A$10,'Scoring Dropdowns'!$B$10*'Original Concept List'!$AO$6*'Scoring Dropdowns'!$B$4,"Oops"))))+IF(AP13="",0,IF(AP13='Scoring Dropdowns'!$A$8,'Scoring Dropdowns'!$B$8*'Original Concept List'!$AP$6*'Scoring Dropdowns'!$B$4,IF(AP13='Scoring Dropdowns'!$A$9,'Scoring Dropdowns'!$B$9*'Original Concept List'!$AP$6*'Scoring Dropdowns'!$B$4,IF(AP13='Scoring Dropdowns'!$A$10,'Scoring Dropdowns'!$B$10*'Original Concept List'!$AP$6*'Scoring Dropdowns'!$B$4,"Oops"))))+IF(AQ13="",0,IF(AQ13='Scoring Dropdowns'!$A$8,'Scoring Dropdowns'!$B$8*'Original Concept List'!$AQ$6*'Scoring Dropdowns'!$B$4,IF(AQ13='Scoring Dropdowns'!$A$9,'Scoring Dropdowns'!$B$9*'Original Concept List'!$AQ$6*'Scoring Dropdowns'!$B$4,IF(AQ13='Scoring Dropdowns'!$A$10,'Scoring Dropdowns'!$B$10*'Original Concept List'!$AQ$6*'Scoring Dropdowns'!$B$4,"Oops"))))</f>
        <v>70</v>
      </c>
      <c r="AS13" s="26"/>
      <c r="AT13" s="26"/>
    </row>
    <row r="14" spans="1:46" ht="75" x14ac:dyDescent="0.25">
      <c r="A14" s="11">
        <v>7</v>
      </c>
      <c r="B14" s="77" t="s">
        <v>97</v>
      </c>
      <c r="C14" s="71" t="s">
        <v>102</v>
      </c>
      <c r="D14" s="3" t="s">
        <v>4</v>
      </c>
      <c r="E14" s="3" t="s">
        <v>8</v>
      </c>
      <c r="F14" s="3" t="s">
        <v>9</v>
      </c>
      <c r="G14" s="3" t="s">
        <v>41</v>
      </c>
      <c r="H14" s="3" t="s">
        <v>11</v>
      </c>
      <c r="I14" s="3" t="s">
        <v>45</v>
      </c>
      <c r="J14" s="7" t="s">
        <v>19</v>
      </c>
      <c r="K14" s="10"/>
      <c r="L14" s="10" t="s">
        <v>127</v>
      </c>
      <c r="M14" s="10"/>
      <c r="N14" s="97"/>
      <c r="O14" s="98"/>
      <c r="P14" s="98"/>
      <c r="Q14" s="98"/>
      <c r="R14" s="98"/>
      <c r="S14" s="98"/>
      <c r="T14" s="98"/>
      <c r="U14" s="98"/>
      <c r="V14" s="98"/>
      <c r="W14" s="98"/>
      <c r="X14" s="98"/>
      <c r="Y14" s="99" t="s">
        <v>69</v>
      </c>
      <c r="Z14" s="96">
        <f>SUM(IF(N14="X",$N$6*'Scoring Dropdowns'!$B$3,0),IF(O14="X",$O$6*'Scoring Dropdowns'!$B$3,0),IF(P14="X",$P$6*'Scoring Dropdowns'!$B$3,0),IF(Q14="X",$Q$6*'Scoring Dropdowns'!$B$3,0),IF(R14="X",$R$6*'Scoring Dropdowns'!$B$3,0),IF(S14="X",$S$6*'Scoring Dropdowns'!$B$3,0),IF(T14="X",$T$6*'Scoring Dropdowns'!$B$3,0),IF(U14="X",$U$6*'Scoring Dropdowns'!$B$3,0),IF(V14="X",$V$6*'Scoring Dropdowns'!$B$3,0),IF(W14="X",$W$6*'Scoring Dropdowns'!$B$3,0),IF(X14="X",$X$6*'Scoring Dropdowns'!$B$3,0),IF(Y14="X",$Y$6*'Scoring Dropdowns'!$B$3,0))</f>
        <v>20</v>
      </c>
      <c r="AA14" s="25"/>
      <c r="AB14" s="203" t="s">
        <v>14</v>
      </c>
      <c r="AC14" s="134" t="s">
        <v>15</v>
      </c>
      <c r="AD14" s="32">
        <f>IF(AB14="",0,IF(AB14='Scoring Dropdowns'!$A$8,'Scoring Dropdowns'!$B$8*'Original Concept List'!$AB$6*'Scoring Dropdowns'!$B$3,IF(AB14='Scoring Dropdowns'!$A$9,'Scoring Dropdowns'!$B$9*'Original Concept List'!$AB$6*'Scoring Dropdowns'!$B$3,IF(AB14='Scoring Dropdowns'!$A$10,'Scoring Dropdowns'!$B$10*'Original Concept List'!$AB$6*'Scoring Dropdowns'!$B$3,"Oops"))))+IF(AC14="",0,IF(AC14='Scoring Dropdowns'!$A$8,'Scoring Dropdowns'!$B$8*'Original Concept List'!$AC$6*'Scoring Dropdowns'!$B$3,IF(AC14='Scoring Dropdowns'!$A$9,'Scoring Dropdowns'!$B$9*'Original Concept List'!$AC$6*'Scoring Dropdowns'!$B$3,IF(AC14='Scoring Dropdowns'!$A$10,'Scoring Dropdowns'!$B$10*'Original Concept List'!$AC$6*'Scoring Dropdowns'!$B$3,"Oops"))))</f>
        <v>22.5</v>
      </c>
      <c r="AE14" s="25"/>
      <c r="AF14" s="37" t="s">
        <v>20</v>
      </c>
      <c r="AG14" s="14" t="s">
        <v>20</v>
      </c>
      <c r="AH14" s="12" t="s">
        <v>14</v>
      </c>
      <c r="AI14" s="209" t="s">
        <v>20</v>
      </c>
      <c r="AJ14" s="32">
        <f t="shared" si="0"/>
        <v>0</v>
      </c>
      <c r="AK14" s="25"/>
      <c r="AL14" s="15">
        <f t="shared" si="1"/>
        <v>42.5</v>
      </c>
      <c r="AM14" s="25"/>
      <c r="AN14" s="11" t="s">
        <v>14</v>
      </c>
      <c r="AO14" s="12" t="s">
        <v>15</v>
      </c>
      <c r="AP14" s="12" t="s">
        <v>14</v>
      </c>
      <c r="AQ14" s="12" t="s">
        <v>14</v>
      </c>
      <c r="AR14" s="32">
        <f>IF(AN14="",0,IF(AN14='Scoring Dropdowns'!$A$8,'Scoring Dropdowns'!$B$8*'Original Concept List'!$AN$6*'Scoring Dropdowns'!$B$4,IF(AN14='Scoring Dropdowns'!$A$9,'Scoring Dropdowns'!$B$9*'Original Concept List'!$AN$6*'Scoring Dropdowns'!$B$4,IF(AN14='Scoring Dropdowns'!$A$10,'Scoring Dropdowns'!$B$10*'Original Concept List'!$AN$6*'Scoring Dropdowns'!$B$4,"Oops"))))+IF(AO14="",0,IF(AO14='Scoring Dropdowns'!$A$8,'Scoring Dropdowns'!$B$8*'Original Concept List'!$AO$6*'Scoring Dropdowns'!$B$4,IF(AO14='Scoring Dropdowns'!$A$9,'Scoring Dropdowns'!$B$9*'Original Concept List'!$AO$6*'Scoring Dropdowns'!$B$4,IF(AO14='Scoring Dropdowns'!$A$10,'Scoring Dropdowns'!$B$10*'Original Concept List'!$AO$6*'Scoring Dropdowns'!$B$4,"Oops"))))+IF(AP14="",0,IF(AP14='Scoring Dropdowns'!$A$8,'Scoring Dropdowns'!$B$8*'Original Concept List'!$AP$6*'Scoring Dropdowns'!$B$4,IF(AP14='Scoring Dropdowns'!$A$9,'Scoring Dropdowns'!$B$9*'Original Concept List'!$AP$6*'Scoring Dropdowns'!$B$4,IF(AP14='Scoring Dropdowns'!$A$10,'Scoring Dropdowns'!$B$10*'Original Concept List'!$AP$6*'Scoring Dropdowns'!$B$4,"Oops"))))+IF(AQ14="",0,IF(AQ14='Scoring Dropdowns'!$A$8,'Scoring Dropdowns'!$B$8*'Original Concept List'!$AQ$6*'Scoring Dropdowns'!$B$4,IF(AQ14='Scoring Dropdowns'!$A$9,'Scoring Dropdowns'!$B$9*'Original Concept List'!$AQ$6*'Scoring Dropdowns'!$B$4,IF(AQ14='Scoring Dropdowns'!$A$10,'Scoring Dropdowns'!$B$10*'Original Concept List'!$AQ$6*'Scoring Dropdowns'!$B$4,"Oops"))))</f>
        <v>70</v>
      </c>
      <c r="AS14" s="82"/>
      <c r="AT14" s="82"/>
    </row>
    <row r="15" spans="1:46" ht="56.25" x14ac:dyDescent="0.25">
      <c r="A15" s="6">
        <v>8</v>
      </c>
      <c r="B15" s="77" t="s">
        <v>98</v>
      </c>
      <c r="C15" s="70" t="s">
        <v>110</v>
      </c>
      <c r="D15" s="3" t="s">
        <v>4</v>
      </c>
      <c r="E15" s="5" t="s">
        <v>8</v>
      </c>
      <c r="F15" s="3" t="s">
        <v>18</v>
      </c>
      <c r="G15" s="3" t="s">
        <v>23</v>
      </c>
      <c r="H15" s="3" t="s">
        <v>11</v>
      </c>
      <c r="I15" s="3" t="s">
        <v>43</v>
      </c>
      <c r="J15" s="7" t="s">
        <v>19</v>
      </c>
      <c r="K15" s="10"/>
      <c r="L15" s="27" t="s">
        <v>127</v>
      </c>
      <c r="M15" s="10"/>
      <c r="N15" s="97"/>
      <c r="O15" s="98"/>
      <c r="P15" s="98"/>
      <c r="Q15" s="98"/>
      <c r="R15" s="98"/>
      <c r="S15" s="98"/>
      <c r="T15" s="98"/>
      <c r="U15" s="98"/>
      <c r="V15" s="98"/>
      <c r="W15" s="98"/>
      <c r="X15" s="98"/>
      <c r="Y15" s="99" t="s">
        <v>69</v>
      </c>
      <c r="Z15" s="96">
        <f>SUM(IF(N15="X",$N$6*'Scoring Dropdowns'!$B$3,0),IF(O15="X",$O$6*'Scoring Dropdowns'!$B$3,0),IF(P15="X",$P$6*'Scoring Dropdowns'!$B$3,0),IF(Q15="X",$Q$6*'Scoring Dropdowns'!$B$3,0),IF(R15="X",$R$6*'Scoring Dropdowns'!$B$3,0),IF(S15="X",$S$6*'Scoring Dropdowns'!$B$3,0),IF(T15="X",$T$6*'Scoring Dropdowns'!$B$3,0),IF(U15="X",$U$6*'Scoring Dropdowns'!$B$3,0),IF(V15="X",$V$6*'Scoring Dropdowns'!$B$3,0),IF(W15="X",$W$6*'Scoring Dropdowns'!$B$3,0),IF(X15="X",$X$6*'Scoring Dropdowns'!$B$3,0),IF(Y15="X",$Y$6*'Scoring Dropdowns'!$B$3,0))</f>
        <v>20</v>
      </c>
      <c r="AA15" s="25"/>
      <c r="AB15" s="20" t="s">
        <v>15</v>
      </c>
      <c r="AC15" s="9" t="s">
        <v>15</v>
      </c>
      <c r="AD15" s="32">
        <f>IF(AB15="",0,IF(AB15='Scoring Dropdowns'!$A$8,'Scoring Dropdowns'!$B$8*'Original Concept List'!$AB$6*'Scoring Dropdowns'!$B$3,IF(AB15='Scoring Dropdowns'!$A$9,'Scoring Dropdowns'!$B$9*'Original Concept List'!$AB$6*'Scoring Dropdowns'!$B$3,IF(AB15='Scoring Dropdowns'!$A$10,'Scoring Dropdowns'!$B$10*'Original Concept List'!$AB$6*'Scoring Dropdowns'!$B$3,"Oops"))))+IF(AC15="",0,IF(AC15='Scoring Dropdowns'!$A$8,'Scoring Dropdowns'!$B$8*'Original Concept List'!$AC$6*'Scoring Dropdowns'!$B$3,IF(AC15='Scoring Dropdowns'!$A$9,'Scoring Dropdowns'!$B$9*'Original Concept List'!$AC$6*'Scoring Dropdowns'!$B$3,IF(AC15='Scoring Dropdowns'!$A$10,'Scoring Dropdowns'!$B$10*'Original Concept List'!$AC$6*'Scoring Dropdowns'!$B$3,"Oops"))))</f>
        <v>30</v>
      </c>
      <c r="AE15" s="25"/>
      <c r="AF15" s="37" t="s">
        <v>20</v>
      </c>
      <c r="AG15" s="14" t="s">
        <v>14</v>
      </c>
      <c r="AH15" s="12" t="s">
        <v>14</v>
      </c>
      <c r="AI15" s="32" t="s">
        <v>20</v>
      </c>
      <c r="AJ15" s="32">
        <f t="shared" si="0"/>
        <v>5</v>
      </c>
      <c r="AK15" s="25"/>
      <c r="AL15" s="15">
        <f t="shared" si="1"/>
        <v>55</v>
      </c>
      <c r="AM15" s="25"/>
      <c r="AN15" s="11" t="s">
        <v>15</v>
      </c>
      <c r="AO15" s="12" t="s">
        <v>15</v>
      </c>
      <c r="AP15" s="12" t="s">
        <v>14</v>
      </c>
      <c r="AQ15" s="12" t="s">
        <v>15</v>
      </c>
      <c r="AR15" s="32">
        <f>IF(AN15="",0,IF(AN15='Scoring Dropdowns'!$A$8,'Scoring Dropdowns'!$B$8*'Original Concept List'!$AN$6*'Scoring Dropdowns'!$B$4,IF(AN15='Scoring Dropdowns'!$A$9,'Scoring Dropdowns'!$B$9*'Original Concept List'!$AN$6*'Scoring Dropdowns'!$B$4,IF(AN15='Scoring Dropdowns'!$A$10,'Scoring Dropdowns'!$B$10*'Original Concept List'!$AN$6*'Scoring Dropdowns'!$B$4,"Oops"))))+IF(AO15="",0,IF(AO15='Scoring Dropdowns'!$A$8,'Scoring Dropdowns'!$B$8*'Original Concept List'!$AO$6*'Scoring Dropdowns'!$B$4,IF(AO15='Scoring Dropdowns'!$A$9,'Scoring Dropdowns'!$B$9*'Original Concept List'!$AO$6*'Scoring Dropdowns'!$B$4,IF(AO15='Scoring Dropdowns'!$A$10,'Scoring Dropdowns'!$B$10*'Original Concept List'!$AO$6*'Scoring Dropdowns'!$B$4,"Oops"))))+IF(AP15="",0,IF(AP15='Scoring Dropdowns'!$A$8,'Scoring Dropdowns'!$B$8*'Original Concept List'!$AP$6*'Scoring Dropdowns'!$B$4,IF(AP15='Scoring Dropdowns'!$A$9,'Scoring Dropdowns'!$B$9*'Original Concept List'!$AP$6*'Scoring Dropdowns'!$B$4,IF(AP15='Scoring Dropdowns'!$A$10,'Scoring Dropdowns'!$B$10*'Original Concept List'!$AP$6*'Scoring Dropdowns'!$B$4,"Oops"))))+IF(AQ15="",0,IF(AQ15='Scoring Dropdowns'!$A$8,'Scoring Dropdowns'!$B$8*'Original Concept List'!$AQ$6*'Scoring Dropdowns'!$B$4,IF(AQ15='Scoring Dropdowns'!$A$9,'Scoring Dropdowns'!$B$9*'Original Concept List'!$AQ$6*'Scoring Dropdowns'!$B$4,IF(AQ15='Scoring Dropdowns'!$A$10,'Scoring Dropdowns'!$B$10*'Original Concept List'!$AQ$6*'Scoring Dropdowns'!$B$4,"Oops"))))</f>
        <v>90</v>
      </c>
      <c r="AS15" s="26"/>
      <c r="AT15" s="26"/>
    </row>
    <row r="16" spans="1:46" ht="56.25" x14ac:dyDescent="0.25">
      <c r="A16" s="11">
        <v>9</v>
      </c>
      <c r="B16" s="77" t="s">
        <v>48</v>
      </c>
      <c r="C16" s="70" t="s">
        <v>75</v>
      </c>
      <c r="D16" s="3" t="s">
        <v>4</v>
      </c>
      <c r="E16" s="3" t="s">
        <v>8</v>
      </c>
      <c r="F16" s="5" t="s">
        <v>9</v>
      </c>
      <c r="G16" s="3" t="s">
        <v>72</v>
      </c>
      <c r="H16" s="3" t="s">
        <v>11</v>
      </c>
      <c r="I16" s="3" t="s">
        <v>46</v>
      </c>
      <c r="J16" s="7" t="s">
        <v>19</v>
      </c>
      <c r="K16" s="10"/>
      <c r="L16" s="10" t="s">
        <v>126</v>
      </c>
      <c r="M16" s="10"/>
      <c r="N16" s="97"/>
      <c r="O16" s="98"/>
      <c r="P16" s="98"/>
      <c r="Q16" s="98"/>
      <c r="R16" s="98"/>
      <c r="S16" s="98"/>
      <c r="T16" s="98"/>
      <c r="U16" s="98"/>
      <c r="V16" s="98"/>
      <c r="W16" s="98"/>
      <c r="X16" s="98"/>
      <c r="Y16" s="99" t="s">
        <v>69</v>
      </c>
      <c r="Z16" s="96">
        <f>SUM(IF(N16="X",$N$6*'Scoring Dropdowns'!$B$3,0),IF(O16="X",$O$6*'Scoring Dropdowns'!$B$3,0),IF(P16="X",$P$6*'Scoring Dropdowns'!$B$3,0),IF(Q16="X",$Q$6*'Scoring Dropdowns'!$B$3,0),IF(R16="X",$R$6*'Scoring Dropdowns'!$B$3,0),IF(S16="X",$S$6*'Scoring Dropdowns'!$B$3,0),IF(T16="X",$T$6*'Scoring Dropdowns'!$B$3,0),IF(U16="X",$U$6*'Scoring Dropdowns'!$B$3,0),IF(V16="X",$V$6*'Scoring Dropdowns'!$B$3,0),IF(W16="X",$W$6*'Scoring Dropdowns'!$B$3,0),IF(X16="X",$X$6*'Scoring Dropdowns'!$B$3,0),IF(Y16="X",$Y$6*'Scoring Dropdowns'!$B$3,0))</f>
        <v>20</v>
      </c>
      <c r="AA16" s="25"/>
      <c r="AB16" s="205" t="s">
        <v>14</v>
      </c>
      <c r="AC16" s="9" t="s">
        <v>15</v>
      </c>
      <c r="AD16" s="32">
        <f>IF(AB16="",0,IF(AB16='Scoring Dropdowns'!$A$8,'Scoring Dropdowns'!$B$8*'Original Concept List'!$AB$6*'Scoring Dropdowns'!$B$3,IF(AB16='Scoring Dropdowns'!$A$9,'Scoring Dropdowns'!$B$9*'Original Concept List'!$AB$6*'Scoring Dropdowns'!$B$3,IF(AB16='Scoring Dropdowns'!$A$10,'Scoring Dropdowns'!$B$10*'Original Concept List'!$AB$6*'Scoring Dropdowns'!$B$3,"Oops"))))+IF(AC16="",0,IF(AC16='Scoring Dropdowns'!$A$8,'Scoring Dropdowns'!$B$8*'Original Concept List'!$AC$6*'Scoring Dropdowns'!$B$3,IF(AC16='Scoring Dropdowns'!$A$9,'Scoring Dropdowns'!$B$9*'Original Concept List'!$AC$6*'Scoring Dropdowns'!$B$3,IF(AC16='Scoring Dropdowns'!$A$10,'Scoring Dropdowns'!$B$10*'Original Concept List'!$AC$6*'Scoring Dropdowns'!$B$3,"Oops"))))</f>
        <v>22.5</v>
      </c>
      <c r="AE16" s="25"/>
      <c r="AF16" s="37" t="s">
        <v>14</v>
      </c>
      <c r="AG16" s="14" t="s">
        <v>15</v>
      </c>
      <c r="AH16" s="12" t="s">
        <v>15</v>
      </c>
      <c r="AI16" s="32" t="s">
        <v>15</v>
      </c>
      <c r="AJ16" s="32">
        <f t="shared" si="0"/>
        <v>25</v>
      </c>
      <c r="AK16" s="25"/>
      <c r="AL16" s="15">
        <f t="shared" si="1"/>
        <v>67.5</v>
      </c>
      <c r="AM16" s="25"/>
      <c r="AN16" s="11" t="s">
        <v>14</v>
      </c>
      <c r="AO16" s="12" t="s">
        <v>15</v>
      </c>
      <c r="AP16" s="144" t="s">
        <v>20</v>
      </c>
      <c r="AQ16" s="12" t="s">
        <v>15</v>
      </c>
      <c r="AR16" s="32">
        <f>IF(AN16="",0,IF(AN16='Scoring Dropdowns'!$A$8,'Scoring Dropdowns'!$B$8*'Original Concept List'!$AN$6*'Scoring Dropdowns'!$B$4,IF(AN16='Scoring Dropdowns'!$A$9,'Scoring Dropdowns'!$B$9*'Original Concept List'!$AN$6*'Scoring Dropdowns'!$B$4,IF(AN16='Scoring Dropdowns'!$A$10,'Scoring Dropdowns'!$B$10*'Original Concept List'!$AN$6*'Scoring Dropdowns'!$B$4,"Oops"))))+IF(AO16="",0,IF(AO16='Scoring Dropdowns'!$A$8,'Scoring Dropdowns'!$B$8*'Original Concept List'!$AO$6*'Scoring Dropdowns'!$B$4,IF(AO16='Scoring Dropdowns'!$A$9,'Scoring Dropdowns'!$B$9*'Original Concept List'!$AO$6*'Scoring Dropdowns'!$B$4,IF(AO16='Scoring Dropdowns'!$A$10,'Scoring Dropdowns'!$B$10*'Original Concept List'!$AO$6*'Scoring Dropdowns'!$B$4,"Oops"))))+IF(AP16="",0,IF(AP16='Scoring Dropdowns'!$A$8,'Scoring Dropdowns'!$B$8*'Original Concept List'!$AP$6*'Scoring Dropdowns'!$B$4,IF(AP16='Scoring Dropdowns'!$A$9,'Scoring Dropdowns'!$B$9*'Original Concept List'!$AP$6*'Scoring Dropdowns'!$B$4,IF(AP16='Scoring Dropdowns'!$A$10,'Scoring Dropdowns'!$B$10*'Original Concept List'!$AP$6*'Scoring Dropdowns'!$B$4,"Oops"))))+IF(AQ16="",0,IF(AQ16='Scoring Dropdowns'!$A$8,'Scoring Dropdowns'!$B$8*'Original Concept List'!$AQ$6*'Scoring Dropdowns'!$B$4,IF(AQ16='Scoring Dropdowns'!$A$9,'Scoring Dropdowns'!$B$9*'Original Concept List'!$AQ$6*'Scoring Dropdowns'!$B$4,IF(AQ16='Scoring Dropdowns'!$A$10,'Scoring Dropdowns'!$B$10*'Original Concept List'!$AQ$6*'Scoring Dropdowns'!$B$4,"Oops"))))</f>
        <v>75</v>
      </c>
      <c r="AS16" s="26"/>
      <c r="AT16" s="26"/>
    </row>
    <row r="17" spans="1:46" ht="75" x14ac:dyDescent="0.25">
      <c r="A17" s="6">
        <v>10</v>
      </c>
      <c r="B17" s="77" t="s">
        <v>95</v>
      </c>
      <c r="C17" s="70" t="s">
        <v>74</v>
      </c>
      <c r="D17" s="3" t="s">
        <v>4</v>
      </c>
      <c r="E17" s="3" t="s">
        <v>8</v>
      </c>
      <c r="F17" s="5" t="s">
        <v>9</v>
      </c>
      <c r="G17" s="3" t="s">
        <v>72</v>
      </c>
      <c r="H17" s="3" t="s">
        <v>11</v>
      </c>
      <c r="I17" s="3" t="s">
        <v>46</v>
      </c>
      <c r="J17" s="7" t="s">
        <v>19</v>
      </c>
      <c r="K17" s="10"/>
      <c r="L17" s="10" t="s">
        <v>126</v>
      </c>
      <c r="M17" s="10"/>
      <c r="N17" s="97"/>
      <c r="O17" s="98"/>
      <c r="P17" s="98"/>
      <c r="Q17" s="98"/>
      <c r="R17" s="98"/>
      <c r="S17" s="98"/>
      <c r="T17" s="98"/>
      <c r="U17" s="98"/>
      <c r="V17" s="98"/>
      <c r="W17" s="98"/>
      <c r="X17" s="98"/>
      <c r="Y17" s="99" t="s">
        <v>69</v>
      </c>
      <c r="Z17" s="96">
        <f>SUM(IF(N17="X",$N$6*'Scoring Dropdowns'!$B$3,0),IF(O17="X",$O$6*'Scoring Dropdowns'!$B$3,0),IF(P17="X",$P$6*'Scoring Dropdowns'!$B$3,0),IF(Q17="X",$Q$6*'Scoring Dropdowns'!$B$3,0),IF(R17="X",$R$6*'Scoring Dropdowns'!$B$3,0),IF(S17="X",$S$6*'Scoring Dropdowns'!$B$3,0),IF(T17="X",$T$6*'Scoring Dropdowns'!$B$3,0),IF(U17="X",$U$6*'Scoring Dropdowns'!$B$3,0),IF(V17="X",$V$6*'Scoring Dropdowns'!$B$3,0),IF(W17="X",$W$6*'Scoring Dropdowns'!$B$3,0),IF(X17="X",$X$6*'Scoring Dropdowns'!$B$3,0),IF(Y17="X",$Y$6*'Scoring Dropdowns'!$B$3,0))</f>
        <v>20</v>
      </c>
      <c r="AA17" s="25"/>
      <c r="AB17" s="205" t="s">
        <v>14</v>
      </c>
      <c r="AC17" s="9" t="s">
        <v>14</v>
      </c>
      <c r="AD17" s="32">
        <f>IF(AB17="",0,IF(AB17='Scoring Dropdowns'!$A$8,'Scoring Dropdowns'!$B$8*'Original Concept List'!$AB$6*'Scoring Dropdowns'!$B$3,IF(AB17='Scoring Dropdowns'!$A$9,'Scoring Dropdowns'!$B$9*'Original Concept List'!$AB$6*'Scoring Dropdowns'!$B$3,IF(AB17='Scoring Dropdowns'!$A$10,'Scoring Dropdowns'!$B$10*'Original Concept List'!$AB$6*'Scoring Dropdowns'!$B$3,"Oops"))))+IF(AC17="",0,IF(AC17='Scoring Dropdowns'!$A$8,'Scoring Dropdowns'!$B$8*'Original Concept List'!$AC$6*'Scoring Dropdowns'!$B$3,IF(AC17='Scoring Dropdowns'!$A$9,'Scoring Dropdowns'!$B$9*'Original Concept List'!$AC$6*'Scoring Dropdowns'!$B$3,IF(AC17='Scoring Dropdowns'!$A$10,'Scoring Dropdowns'!$B$10*'Original Concept List'!$AC$6*'Scoring Dropdowns'!$B$3,"Oops"))))</f>
        <v>15</v>
      </c>
      <c r="AE17" s="25"/>
      <c r="AF17" s="37" t="s">
        <v>14</v>
      </c>
      <c r="AG17" s="14" t="s">
        <v>15</v>
      </c>
      <c r="AH17" s="12" t="s">
        <v>15</v>
      </c>
      <c r="AI17" s="32" t="s">
        <v>15</v>
      </c>
      <c r="AJ17" s="32">
        <f t="shared" si="0"/>
        <v>25</v>
      </c>
      <c r="AK17" s="25"/>
      <c r="AL17" s="15">
        <f t="shared" si="1"/>
        <v>60</v>
      </c>
      <c r="AM17" s="25"/>
      <c r="AN17" s="11" t="s">
        <v>14</v>
      </c>
      <c r="AO17" s="12" t="s">
        <v>15</v>
      </c>
      <c r="AP17" s="12" t="s">
        <v>20</v>
      </c>
      <c r="AQ17" s="12" t="s">
        <v>15</v>
      </c>
      <c r="AR17" s="32">
        <f>IF(AN17="",0,IF(AN17='Scoring Dropdowns'!$A$8,'Scoring Dropdowns'!$B$8*'Original Concept List'!$AN$6*'Scoring Dropdowns'!$B$4,IF(AN17='Scoring Dropdowns'!$A$9,'Scoring Dropdowns'!$B$9*'Original Concept List'!$AN$6*'Scoring Dropdowns'!$B$4,IF(AN17='Scoring Dropdowns'!$A$10,'Scoring Dropdowns'!$B$10*'Original Concept List'!$AN$6*'Scoring Dropdowns'!$B$4,"Oops"))))+IF(AO17="",0,IF(AO17='Scoring Dropdowns'!$A$8,'Scoring Dropdowns'!$B$8*'Original Concept List'!$AO$6*'Scoring Dropdowns'!$B$4,IF(AO17='Scoring Dropdowns'!$A$9,'Scoring Dropdowns'!$B$9*'Original Concept List'!$AO$6*'Scoring Dropdowns'!$B$4,IF(AO17='Scoring Dropdowns'!$A$10,'Scoring Dropdowns'!$B$10*'Original Concept List'!$AO$6*'Scoring Dropdowns'!$B$4,"Oops"))))+IF(AP17="",0,IF(AP17='Scoring Dropdowns'!$A$8,'Scoring Dropdowns'!$B$8*'Original Concept List'!$AP$6*'Scoring Dropdowns'!$B$4,IF(AP17='Scoring Dropdowns'!$A$9,'Scoring Dropdowns'!$B$9*'Original Concept List'!$AP$6*'Scoring Dropdowns'!$B$4,IF(AP17='Scoring Dropdowns'!$A$10,'Scoring Dropdowns'!$B$10*'Original Concept List'!$AP$6*'Scoring Dropdowns'!$B$4,"Oops"))))+IF(AQ17="",0,IF(AQ17='Scoring Dropdowns'!$A$8,'Scoring Dropdowns'!$B$8*'Original Concept List'!$AQ$6*'Scoring Dropdowns'!$B$4,IF(AQ17='Scoring Dropdowns'!$A$9,'Scoring Dropdowns'!$B$9*'Original Concept List'!$AQ$6*'Scoring Dropdowns'!$B$4,IF(AQ17='Scoring Dropdowns'!$A$10,'Scoring Dropdowns'!$B$10*'Original Concept List'!$AQ$6*'Scoring Dropdowns'!$B$4,"Oops"))))</f>
        <v>75</v>
      </c>
      <c r="AS17" s="26"/>
      <c r="AT17" s="26"/>
    </row>
    <row r="18" spans="1:46" ht="56.25" x14ac:dyDescent="0.25">
      <c r="A18" s="11">
        <v>11</v>
      </c>
      <c r="B18" s="77" t="s">
        <v>94</v>
      </c>
      <c r="C18" s="71" t="s">
        <v>50</v>
      </c>
      <c r="D18" s="3" t="s">
        <v>4</v>
      </c>
      <c r="E18" s="3" t="s">
        <v>8</v>
      </c>
      <c r="F18" s="3" t="s">
        <v>18</v>
      </c>
      <c r="G18" s="3" t="s">
        <v>23</v>
      </c>
      <c r="H18" s="3" t="s">
        <v>11</v>
      </c>
      <c r="I18" s="3" t="s">
        <v>47</v>
      </c>
      <c r="J18" s="7" t="s">
        <v>19</v>
      </c>
      <c r="K18" s="10"/>
      <c r="L18" s="10" t="s">
        <v>128</v>
      </c>
      <c r="M18" s="10"/>
      <c r="N18" s="97"/>
      <c r="O18" s="98"/>
      <c r="P18" s="98"/>
      <c r="Q18" s="98"/>
      <c r="R18" s="98"/>
      <c r="S18" s="98"/>
      <c r="T18" s="98"/>
      <c r="U18" s="98"/>
      <c r="V18" s="98"/>
      <c r="W18" s="98"/>
      <c r="X18" s="98"/>
      <c r="Y18" s="99" t="s">
        <v>69</v>
      </c>
      <c r="Z18" s="96">
        <f>SUM(IF(N18="X",$N$6*'Scoring Dropdowns'!$B$3,0),IF(O18="X",$O$6*'Scoring Dropdowns'!$B$3,0),IF(P18="X",$P$6*'Scoring Dropdowns'!$B$3,0),IF(Q18="X",$Q$6*'Scoring Dropdowns'!$B$3,0),IF(R18="X",$R$6*'Scoring Dropdowns'!$B$3,0),IF(S18="X",$S$6*'Scoring Dropdowns'!$B$3,0),IF(T18="X",$T$6*'Scoring Dropdowns'!$B$3,0),IF(U18="X",$U$6*'Scoring Dropdowns'!$B$3,0),IF(V18="X",$V$6*'Scoring Dropdowns'!$B$3,0),IF(W18="X",$W$6*'Scoring Dropdowns'!$B$3,0),IF(X18="X",$X$6*'Scoring Dropdowns'!$B$3,0),IF(Y18="X",$Y$6*'Scoring Dropdowns'!$B$3,0))</f>
        <v>20</v>
      </c>
      <c r="AA18" s="25"/>
      <c r="AB18" s="20" t="s">
        <v>20</v>
      </c>
      <c r="AC18" s="20" t="s">
        <v>20</v>
      </c>
      <c r="AD18" s="32">
        <f>IF(AB18="",0,IF(AB18='Scoring Dropdowns'!$A$8,'Scoring Dropdowns'!$B$8*'Original Concept List'!$AB$6*'Scoring Dropdowns'!$B$3,IF(AB18='Scoring Dropdowns'!$A$9,'Scoring Dropdowns'!$B$9*'Original Concept List'!$AB$6*'Scoring Dropdowns'!$B$3,IF(AB18='Scoring Dropdowns'!$A$10,'Scoring Dropdowns'!$B$10*'Original Concept List'!$AB$6*'Scoring Dropdowns'!$B$3,"Oops"))))+IF(AC18="",0,IF(AC18='Scoring Dropdowns'!$A$8,'Scoring Dropdowns'!$B$8*'Original Concept List'!$AC$6*'Scoring Dropdowns'!$B$3,IF(AC18='Scoring Dropdowns'!$A$9,'Scoring Dropdowns'!$B$9*'Original Concept List'!$AC$6*'Scoring Dropdowns'!$B$3,IF(AC18='Scoring Dropdowns'!$A$10,'Scoring Dropdowns'!$B$10*'Original Concept List'!$AC$6*'Scoring Dropdowns'!$B$3,"Oops"))))</f>
        <v>0</v>
      </c>
      <c r="AE18" s="25"/>
      <c r="AF18" s="37" t="s">
        <v>20</v>
      </c>
      <c r="AG18" s="204" t="s">
        <v>20</v>
      </c>
      <c r="AH18" s="12" t="s">
        <v>20</v>
      </c>
      <c r="AI18" s="32" t="s">
        <v>20</v>
      </c>
      <c r="AJ18" s="32">
        <f t="shared" si="0"/>
        <v>0</v>
      </c>
      <c r="AK18" s="25"/>
      <c r="AL18" s="15">
        <f t="shared" si="1"/>
        <v>20</v>
      </c>
      <c r="AM18" s="25"/>
      <c r="AN18" s="11" t="s">
        <v>20</v>
      </c>
      <c r="AO18" s="12" t="s">
        <v>20</v>
      </c>
      <c r="AP18" s="12" t="s">
        <v>20</v>
      </c>
      <c r="AQ18" s="12" t="s">
        <v>20</v>
      </c>
      <c r="AR18" s="32">
        <f>IF(AN18="",0,IF(AN18='Scoring Dropdowns'!$A$8,'Scoring Dropdowns'!$B$8*'Original Concept List'!$AN$6*'Scoring Dropdowns'!$B$4,IF(AN18='Scoring Dropdowns'!$A$9,'Scoring Dropdowns'!$B$9*'Original Concept List'!$AN$6*'Scoring Dropdowns'!$B$4,IF(AN18='Scoring Dropdowns'!$A$10,'Scoring Dropdowns'!$B$10*'Original Concept List'!$AN$6*'Scoring Dropdowns'!$B$4,"Oops"))))+IF(AO18="",0,IF(AO18='Scoring Dropdowns'!$A$8,'Scoring Dropdowns'!$B$8*'Original Concept List'!$AO$6*'Scoring Dropdowns'!$B$4,IF(AO18='Scoring Dropdowns'!$A$9,'Scoring Dropdowns'!$B$9*'Original Concept List'!$AO$6*'Scoring Dropdowns'!$B$4,IF(AO18='Scoring Dropdowns'!$A$10,'Scoring Dropdowns'!$B$10*'Original Concept List'!$AO$6*'Scoring Dropdowns'!$B$4,"Oops"))))+IF(AP18="",0,IF(AP18='Scoring Dropdowns'!$A$8,'Scoring Dropdowns'!$B$8*'Original Concept List'!$AP$6*'Scoring Dropdowns'!$B$4,IF(AP18='Scoring Dropdowns'!$A$9,'Scoring Dropdowns'!$B$9*'Original Concept List'!$AP$6*'Scoring Dropdowns'!$B$4,IF(AP18='Scoring Dropdowns'!$A$10,'Scoring Dropdowns'!$B$10*'Original Concept List'!$AP$6*'Scoring Dropdowns'!$B$4,"Oops"))))+IF(AQ18="",0,IF(AQ18='Scoring Dropdowns'!$A$8,'Scoring Dropdowns'!$B$8*'Original Concept List'!$AQ$6*'Scoring Dropdowns'!$B$4,IF(AQ18='Scoring Dropdowns'!$A$9,'Scoring Dropdowns'!$B$9*'Original Concept List'!$AQ$6*'Scoring Dropdowns'!$B$4,IF(AQ18='Scoring Dropdowns'!$A$10,'Scoring Dropdowns'!$B$10*'Original Concept List'!$AQ$6*'Scoring Dropdowns'!$B$4,"Oops"))))</f>
        <v>0</v>
      </c>
      <c r="AS18" s="26"/>
      <c r="AT18" s="26"/>
    </row>
    <row r="19" spans="1:46" ht="56.25" x14ac:dyDescent="0.25">
      <c r="A19" s="6">
        <v>12</v>
      </c>
      <c r="B19" s="77" t="s">
        <v>25</v>
      </c>
      <c r="C19" s="70" t="s">
        <v>111</v>
      </c>
      <c r="D19" s="3" t="s">
        <v>4</v>
      </c>
      <c r="E19" s="5" t="s">
        <v>8</v>
      </c>
      <c r="F19" s="3" t="s">
        <v>18</v>
      </c>
      <c r="G19" s="3" t="s">
        <v>23</v>
      </c>
      <c r="H19" s="3" t="s">
        <v>11</v>
      </c>
      <c r="I19" s="3" t="s">
        <v>43</v>
      </c>
      <c r="J19" s="7" t="s">
        <v>19</v>
      </c>
      <c r="K19" s="10"/>
      <c r="L19" s="27" t="s">
        <v>127</v>
      </c>
      <c r="M19" s="10"/>
      <c r="N19" s="97"/>
      <c r="O19" s="98"/>
      <c r="P19" s="98"/>
      <c r="Q19" s="98"/>
      <c r="R19" s="98"/>
      <c r="S19" s="98"/>
      <c r="T19" s="98"/>
      <c r="U19" s="98"/>
      <c r="V19" s="98"/>
      <c r="W19" s="98"/>
      <c r="X19" s="98"/>
      <c r="Y19" s="99" t="s">
        <v>69</v>
      </c>
      <c r="Z19" s="96">
        <f>SUM(IF(N19="X",$N$6*'Scoring Dropdowns'!$B$3,0),IF(O19="X",$O$6*'Scoring Dropdowns'!$B$3,0),IF(P19="X",$P$6*'Scoring Dropdowns'!$B$3,0),IF(Q19="X",$Q$6*'Scoring Dropdowns'!$B$3,0),IF(R19="X",$R$6*'Scoring Dropdowns'!$B$3,0),IF(S19="X",$S$6*'Scoring Dropdowns'!$B$3,0),IF(T19="X",$T$6*'Scoring Dropdowns'!$B$3,0),IF(U19="X",$U$6*'Scoring Dropdowns'!$B$3,0),IF(V19="X",$V$6*'Scoring Dropdowns'!$B$3,0),IF(W19="X",$W$6*'Scoring Dropdowns'!$B$3,0),IF(X19="X",$X$6*'Scoring Dropdowns'!$B$3,0),IF(Y19="X",$Y$6*'Scoring Dropdowns'!$B$3,0))</f>
        <v>20</v>
      </c>
      <c r="AA19" s="25"/>
      <c r="AB19" s="20" t="s">
        <v>14</v>
      </c>
      <c r="AC19" s="9" t="s">
        <v>14</v>
      </c>
      <c r="AD19" s="32">
        <f>IF(AB19="",0,IF(AB19='Scoring Dropdowns'!$A$8,'Scoring Dropdowns'!$B$8*'Original Concept List'!$AB$6*'Scoring Dropdowns'!$B$3,IF(AB19='Scoring Dropdowns'!$A$9,'Scoring Dropdowns'!$B$9*'Original Concept List'!$AB$6*'Scoring Dropdowns'!$B$3,IF(AB19='Scoring Dropdowns'!$A$10,'Scoring Dropdowns'!$B$10*'Original Concept List'!$AB$6*'Scoring Dropdowns'!$B$3,"Oops"))))+IF(AC19="",0,IF(AC19='Scoring Dropdowns'!$A$8,'Scoring Dropdowns'!$B$8*'Original Concept List'!$AC$6*'Scoring Dropdowns'!$B$3,IF(AC19='Scoring Dropdowns'!$A$9,'Scoring Dropdowns'!$B$9*'Original Concept List'!$AC$6*'Scoring Dropdowns'!$B$3,IF(AC19='Scoring Dropdowns'!$A$10,'Scoring Dropdowns'!$B$10*'Original Concept List'!$AC$6*'Scoring Dropdowns'!$B$3,"Oops"))))</f>
        <v>15</v>
      </c>
      <c r="AE19" s="25"/>
      <c r="AF19" s="37" t="s">
        <v>20</v>
      </c>
      <c r="AG19" s="14" t="s">
        <v>14</v>
      </c>
      <c r="AH19" s="12" t="s">
        <v>14</v>
      </c>
      <c r="AI19" s="32" t="s">
        <v>20</v>
      </c>
      <c r="AJ19" s="32">
        <f t="shared" si="0"/>
        <v>5</v>
      </c>
      <c r="AK19" s="25"/>
      <c r="AL19" s="15">
        <f t="shared" si="1"/>
        <v>40</v>
      </c>
      <c r="AM19" s="25"/>
      <c r="AN19" s="11" t="s">
        <v>15</v>
      </c>
      <c r="AO19" s="12" t="s">
        <v>14</v>
      </c>
      <c r="AP19" s="12" t="s">
        <v>15</v>
      </c>
      <c r="AQ19" s="12" t="s">
        <v>15</v>
      </c>
      <c r="AR19" s="32">
        <f>IF(AN19="",0,IF(AN19='Scoring Dropdowns'!$A$8,'Scoring Dropdowns'!$B$8*'Original Concept List'!$AN$6*'Scoring Dropdowns'!$B$4,IF(AN19='Scoring Dropdowns'!$A$9,'Scoring Dropdowns'!$B$9*'Original Concept List'!$AN$6*'Scoring Dropdowns'!$B$4,IF(AN19='Scoring Dropdowns'!$A$10,'Scoring Dropdowns'!$B$10*'Original Concept List'!$AN$6*'Scoring Dropdowns'!$B$4,"Oops"))))+IF(AO19="",0,IF(AO19='Scoring Dropdowns'!$A$8,'Scoring Dropdowns'!$B$8*'Original Concept List'!$AO$6*'Scoring Dropdowns'!$B$4,IF(AO19='Scoring Dropdowns'!$A$9,'Scoring Dropdowns'!$B$9*'Original Concept List'!$AO$6*'Scoring Dropdowns'!$B$4,IF(AO19='Scoring Dropdowns'!$A$10,'Scoring Dropdowns'!$B$10*'Original Concept List'!$AO$6*'Scoring Dropdowns'!$B$4,"Oops"))))+IF(AP19="",0,IF(AP19='Scoring Dropdowns'!$A$8,'Scoring Dropdowns'!$B$8*'Original Concept List'!$AP$6*'Scoring Dropdowns'!$B$4,IF(AP19='Scoring Dropdowns'!$A$9,'Scoring Dropdowns'!$B$9*'Original Concept List'!$AP$6*'Scoring Dropdowns'!$B$4,IF(AP19='Scoring Dropdowns'!$A$10,'Scoring Dropdowns'!$B$10*'Original Concept List'!$AP$6*'Scoring Dropdowns'!$B$4,"Oops"))))+IF(AQ19="",0,IF(AQ19='Scoring Dropdowns'!$A$8,'Scoring Dropdowns'!$B$8*'Original Concept List'!$AQ$6*'Scoring Dropdowns'!$B$4,IF(AQ19='Scoring Dropdowns'!$A$9,'Scoring Dropdowns'!$B$9*'Original Concept List'!$AQ$6*'Scoring Dropdowns'!$B$4,IF(AQ19='Scoring Dropdowns'!$A$10,'Scoring Dropdowns'!$B$10*'Original Concept List'!$AQ$6*'Scoring Dropdowns'!$B$4,"Oops"))))</f>
        <v>80</v>
      </c>
      <c r="AS19" s="26"/>
      <c r="AT19" s="26"/>
    </row>
    <row r="20" spans="1:46" ht="56.25" x14ac:dyDescent="0.25">
      <c r="A20" s="11">
        <v>13</v>
      </c>
      <c r="B20" s="77" t="s">
        <v>21</v>
      </c>
      <c r="C20" s="70" t="s">
        <v>73</v>
      </c>
      <c r="D20" s="3" t="s">
        <v>4</v>
      </c>
      <c r="E20" s="3" t="s">
        <v>8</v>
      </c>
      <c r="F20" s="5" t="s">
        <v>9</v>
      </c>
      <c r="G20" s="3" t="s">
        <v>72</v>
      </c>
      <c r="H20" s="3" t="s">
        <v>11</v>
      </c>
      <c r="I20" s="3" t="s">
        <v>46</v>
      </c>
      <c r="J20" s="7" t="s">
        <v>19</v>
      </c>
      <c r="K20" s="10"/>
      <c r="L20" s="10" t="s">
        <v>126</v>
      </c>
      <c r="M20" s="10"/>
      <c r="N20" s="97"/>
      <c r="O20" s="98"/>
      <c r="P20" s="98"/>
      <c r="Q20" s="98"/>
      <c r="R20" s="98"/>
      <c r="S20" s="98"/>
      <c r="T20" s="98"/>
      <c r="U20" s="98"/>
      <c r="V20" s="98"/>
      <c r="W20" s="98"/>
      <c r="X20" s="98"/>
      <c r="Y20" s="99" t="s">
        <v>69</v>
      </c>
      <c r="Z20" s="96">
        <f>SUM(IF(N20="X",$N$6*'Scoring Dropdowns'!$B$3,0),IF(O20="X",$O$6*'Scoring Dropdowns'!$B$3,0),IF(P20="X",$P$6*'Scoring Dropdowns'!$B$3,0),IF(Q20="X",$Q$6*'Scoring Dropdowns'!$B$3,0),IF(R20="X",$R$6*'Scoring Dropdowns'!$B$3,0),IF(S20="X",$S$6*'Scoring Dropdowns'!$B$3,0),IF(T20="X",$T$6*'Scoring Dropdowns'!$B$3,0),IF(U20="X",$U$6*'Scoring Dropdowns'!$B$3,0),IF(V20="X",$V$6*'Scoring Dropdowns'!$B$3,0),IF(W20="X",$W$6*'Scoring Dropdowns'!$B$3,0),IF(X20="X",$X$6*'Scoring Dropdowns'!$B$3,0),IF(Y20="X",$Y$6*'Scoring Dropdowns'!$B$3,0))</f>
        <v>20</v>
      </c>
      <c r="AA20" s="25"/>
      <c r="AB20" s="20" t="s">
        <v>14</v>
      </c>
      <c r="AC20" s="9" t="s">
        <v>15</v>
      </c>
      <c r="AD20" s="32">
        <f>IF(AB20="",0,IF(AB20='Scoring Dropdowns'!$A$8,'Scoring Dropdowns'!$B$8*'Original Concept List'!$AB$6*'Scoring Dropdowns'!$B$3,IF(AB20='Scoring Dropdowns'!$A$9,'Scoring Dropdowns'!$B$9*'Original Concept List'!$AB$6*'Scoring Dropdowns'!$B$3,IF(AB20='Scoring Dropdowns'!$A$10,'Scoring Dropdowns'!$B$10*'Original Concept List'!$AB$6*'Scoring Dropdowns'!$B$3,"Oops"))))+IF(AC20="",0,IF(AC20='Scoring Dropdowns'!$A$8,'Scoring Dropdowns'!$B$8*'Original Concept List'!$AC$6*'Scoring Dropdowns'!$B$3,IF(AC20='Scoring Dropdowns'!$A$9,'Scoring Dropdowns'!$B$9*'Original Concept List'!$AC$6*'Scoring Dropdowns'!$B$3,IF(AC20='Scoring Dropdowns'!$A$10,'Scoring Dropdowns'!$B$10*'Original Concept List'!$AC$6*'Scoring Dropdowns'!$B$3,"Oops"))))</f>
        <v>22.5</v>
      </c>
      <c r="AE20" s="25"/>
      <c r="AF20" s="37" t="s">
        <v>14</v>
      </c>
      <c r="AG20" s="14" t="s">
        <v>15</v>
      </c>
      <c r="AH20" s="12" t="s">
        <v>15</v>
      </c>
      <c r="AI20" s="32" t="s">
        <v>14</v>
      </c>
      <c r="AJ20" s="32">
        <f t="shared" si="0"/>
        <v>20</v>
      </c>
      <c r="AK20" s="25"/>
      <c r="AL20" s="15">
        <f t="shared" si="1"/>
        <v>62.5</v>
      </c>
      <c r="AM20" s="25"/>
      <c r="AN20" s="11" t="s">
        <v>14</v>
      </c>
      <c r="AO20" s="12" t="s">
        <v>14</v>
      </c>
      <c r="AP20" s="12" t="s">
        <v>14</v>
      </c>
      <c r="AQ20" s="12" t="s">
        <v>14</v>
      </c>
      <c r="AR20" s="32">
        <f>IF(AN20="",0,IF(AN20='Scoring Dropdowns'!$A$8,'Scoring Dropdowns'!$B$8*'Original Concept List'!$AN$6*'Scoring Dropdowns'!$B$4,IF(AN20='Scoring Dropdowns'!$A$9,'Scoring Dropdowns'!$B$9*'Original Concept List'!$AN$6*'Scoring Dropdowns'!$B$4,IF(AN20='Scoring Dropdowns'!$A$10,'Scoring Dropdowns'!$B$10*'Original Concept List'!$AN$6*'Scoring Dropdowns'!$B$4,"Oops"))))+IF(AO20="",0,IF(AO20='Scoring Dropdowns'!$A$8,'Scoring Dropdowns'!$B$8*'Original Concept List'!$AO$6*'Scoring Dropdowns'!$B$4,IF(AO20='Scoring Dropdowns'!$A$9,'Scoring Dropdowns'!$B$9*'Original Concept List'!$AO$6*'Scoring Dropdowns'!$B$4,IF(AO20='Scoring Dropdowns'!$A$10,'Scoring Dropdowns'!$B$10*'Original Concept List'!$AO$6*'Scoring Dropdowns'!$B$4,"Oops"))))+IF(AP20="",0,IF(AP20='Scoring Dropdowns'!$A$8,'Scoring Dropdowns'!$B$8*'Original Concept List'!$AP$6*'Scoring Dropdowns'!$B$4,IF(AP20='Scoring Dropdowns'!$A$9,'Scoring Dropdowns'!$B$9*'Original Concept List'!$AP$6*'Scoring Dropdowns'!$B$4,IF(AP20='Scoring Dropdowns'!$A$10,'Scoring Dropdowns'!$B$10*'Original Concept List'!$AP$6*'Scoring Dropdowns'!$B$4,"Oops"))))+IF(AQ20="",0,IF(AQ20='Scoring Dropdowns'!$A$8,'Scoring Dropdowns'!$B$8*'Original Concept List'!$AQ$6*'Scoring Dropdowns'!$B$4,IF(AQ20='Scoring Dropdowns'!$A$9,'Scoring Dropdowns'!$B$9*'Original Concept List'!$AQ$6*'Scoring Dropdowns'!$B$4,IF(AQ20='Scoring Dropdowns'!$A$10,'Scoring Dropdowns'!$B$10*'Original Concept List'!$AQ$6*'Scoring Dropdowns'!$B$4,"Oops"))))</f>
        <v>50</v>
      </c>
      <c r="AS20" s="26"/>
      <c r="AT20" s="26"/>
    </row>
    <row r="21" spans="1:46" ht="75" x14ac:dyDescent="0.25">
      <c r="A21" s="6">
        <v>14</v>
      </c>
      <c r="B21" s="77" t="s">
        <v>244</v>
      </c>
      <c r="C21" s="70" t="s">
        <v>239</v>
      </c>
      <c r="D21" s="3" t="s">
        <v>4</v>
      </c>
      <c r="E21" s="3" t="s">
        <v>8</v>
      </c>
      <c r="F21" s="5" t="s">
        <v>9</v>
      </c>
      <c r="G21" s="3" t="s">
        <v>72</v>
      </c>
      <c r="H21" s="3" t="s">
        <v>11</v>
      </c>
      <c r="I21" s="3" t="s">
        <v>46</v>
      </c>
      <c r="J21" s="7" t="s">
        <v>19</v>
      </c>
      <c r="K21" s="10"/>
      <c r="L21" s="10" t="s">
        <v>124</v>
      </c>
      <c r="M21" s="10"/>
      <c r="N21" s="97"/>
      <c r="O21" s="98"/>
      <c r="P21" s="98"/>
      <c r="Q21" s="98"/>
      <c r="R21" s="98"/>
      <c r="S21" s="98"/>
      <c r="T21" s="98"/>
      <c r="U21" s="98"/>
      <c r="V21" s="98"/>
      <c r="W21" s="98"/>
      <c r="X21" s="98"/>
      <c r="Y21" s="99" t="s">
        <v>69</v>
      </c>
      <c r="Z21" s="96">
        <f>SUM(IF(N21="X",$N$6*'Scoring Dropdowns'!$B$3,0),IF(O21="X",$O$6*'Scoring Dropdowns'!$B$3,0),IF(P21="X",$P$6*'Scoring Dropdowns'!$B$3,0),IF(Q21="X",$Q$6*'Scoring Dropdowns'!$B$3,0),IF(R21="X",$R$6*'Scoring Dropdowns'!$B$3,0),IF(S21="X",$S$6*'Scoring Dropdowns'!$B$3,0),IF(T21="X",$T$6*'Scoring Dropdowns'!$B$3,0),IF(U21="X",$U$6*'Scoring Dropdowns'!$B$3,0),IF(V21="X",$V$6*'Scoring Dropdowns'!$B$3,0),IF(W21="X",$W$6*'Scoring Dropdowns'!$B$3,0),IF(X21="X",$X$6*'Scoring Dropdowns'!$B$3,0),IF(Y21="X",$Y$6*'Scoring Dropdowns'!$B$3,0))</f>
        <v>20</v>
      </c>
      <c r="AA21" s="25"/>
      <c r="AB21" s="20" t="s">
        <v>20</v>
      </c>
      <c r="AC21" s="9" t="s">
        <v>14</v>
      </c>
      <c r="AD21" s="32">
        <f>IF(AB21="",0,IF(AB21='Scoring Dropdowns'!$A$8,'Scoring Dropdowns'!$B$8*'Original Concept List'!$AB$6*'Scoring Dropdowns'!$B$3,IF(AB21='Scoring Dropdowns'!$A$9,'Scoring Dropdowns'!$B$9*'Original Concept List'!$AB$6*'Scoring Dropdowns'!$B$3,IF(AB21='Scoring Dropdowns'!$A$10,'Scoring Dropdowns'!$B$10*'Original Concept List'!$AB$6*'Scoring Dropdowns'!$B$3,"Oops"))))+IF(AC21="",0,IF(AC21='Scoring Dropdowns'!$A$8,'Scoring Dropdowns'!$B$8*'Original Concept List'!$AC$6*'Scoring Dropdowns'!$B$3,IF(AC21='Scoring Dropdowns'!$A$9,'Scoring Dropdowns'!$B$9*'Original Concept List'!$AC$6*'Scoring Dropdowns'!$B$3,IF(AC21='Scoring Dropdowns'!$A$10,'Scoring Dropdowns'!$B$10*'Original Concept List'!$AC$6*'Scoring Dropdowns'!$B$3,"Oops"))))</f>
        <v>7.5</v>
      </c>
      <c r="AE21" s="25"/>
      <c r="AF21" s="37" t="s">
        <v>14</v>
      </c>
      <c r="AG21" s="14" t="s">
        <v>15</v>
      </c>
      <c r="AH21" s="12" t="s">
        <v>15</v>
      </c>
      <c r="AI21" s="32" t="s">
        <v>15</v>
      </c>
      <c r="AJ21" s="32">
        <f t="shared" si="0"/>
        <v>25</v>
      </c>
      <c r="AK21" s="25"/>
      <c r="AL21" s="15">
        <f t="shared" si="1"/>
        <v>52.5</v>
      </c>
      <c r="AM21" s="25"/>
      <c r="AN21" s="11" t="s">
        <v>14</v>
      </c>
      <c r="AO21" s="12" t="s">
        <v>14</v>
      </c>
      <c r="AP21" s="12" t="s">
        <v>14</v>
      </c>
      <c r="AQ21" s="12" t="s">
        <v>14</v>
      </c>
      <c r="AR21" s="32">
        <f>IF(AN21="",0,IF(AN21='Scoring Dropdowns'!$A$8,'Scoring Dropdowns'!$B$8*'Original Concept List'!$AN$6*'Scoring Dropdowns'!$B$4,IF(AN21='Scoring Dropdowns'!$A$9,'Scoring Dropdowns'!$B$9*'Original Concept List'!$AN$6*'Scoring Dropdowns'!$B$4,IF(AN21='Scoring Dropdowns'!$A$10,'Scoring Dropdowns'!$B$10*'Original Concept List'!$AN$6*'Scoring Dropdowns'!$B$4,"Oops"))))+IF(AO21="",0,IF(AO21='Scoring Dropdowns'!$A$8,'Scoring Dropdowns'!$B$8*'Original Concept List'!$AO$6*'Scoring Dropdowns'!$B$4,IF(AO21='Scoring Dropdowns'!$A$9,'Scoring Dropdowns'!$B$9*'Original Concept List'!$AO$6*'Scoring Dropdowns'!$B$4,IF(AO21='Scoring Dropdowns'!$A$10,'Scoring Dropdowns'!$B$10*'Original Concept List'!$AO$6*'Scoring Dropdowns'!$B$4,"Oops"))))+IF(AP21="",0,IF(AP21='Scoring Dropdowns'!$A$8,'Scoring Dropdowns'!$B$8*'Original Concept List'!$AP$6*'Scoring Dropdowns'!$B$4,IF(AP21='Scoring Dropdowns'!$A$9,'Scoring Dropdowns'!$B$9*'Original Concept List'!$AP$6*'Scoring Dropdowns'!$B$4,IF(AP21='Scoring Dropdowns'!$A$10,'Scoring Dropdowns'!$B$10*'Original Concept List'!$AP$6*'Scoring Dropdowns'!$B$4,"Oops"))))+IF(AQ21="",0,IF(AQ21='Scoring Dropdowns'!$A$8,'Scoring Dropdowns'!$B$8*'Original Concept List'!$AQ$6*'Scoring Dropdowns'!$B$4,IF(AQ21='Scoring Dropdowns'!$A$9,'Scoring Dropdowns'!$B$9*'Original Concept List'!$AQ$6*'Scoring Dropdowns'!$B$4,IF(AQ21='Scoring Dropdowns'!$A$10,'Scoring Dropdowns'!$B$10*'Original Concept List'!$AQ$6*'Scoring Dropdowns'!$B$4,"Oops"))))</f>
        <v>50</v>
      </c>
      <c r="AS21" s="26"/>
      <c r="AT21" s="26"/>
    </row>
    <row r="22" spans="1:46" ht="56.25" x14ac:dyDescent="0.25">
      <c r="A22" s="11">
        <v>15</v>
      </c>
      <c r="B22" s="77" t="s">
        <v>26</v>
      </c>
      <c r="C22" s="70" t="s">
        <v>123</v>
      </c>
      <c r="D22" s="3" t="s">
        <v>4</v>
      </c>
      <c r="E22" s="5" t="s">
        <v>8</v>
      </c>
      <c r="F22" s="3" t="s">
        <v>18</v>
      </c>
      <c r="G22" s="3" t="s">
        <v>77</v>
      </c>
      <c r="H22" s="3" t="s">
        <v>11</v>
      </c>
      <c r="I22" s="3" t="s">
        <v>43</v>
      </c>
      <c r="J22" s="7" t="s">
        <v>19</v>
      </c>
      <c r="K22" s="10"/>
      <c r="L22" s="10" t="s">
        <v>127</v>
      </c>
      <c r="M22" s="10"/>
      <c r="N22" s="97"/>
      <c r="O22" s="98"/>
      <c r="P22" s="98"/>
      <c r="Q22" s="98"/>
      <c r="R22" s="98"/>
      <c r="S22" s="98"/>
      <c r="T22" s="98"/>
      <c r="U22" s="98"/>
      <c r="V22" s="98"/>
      <c r="W22" s="98"/>
      <c r="X22" s="98"/>
      <c r="Y22" s="99" t="s">
        <v>69</v>
      </c>
      <c r="Z22" s="96">
        <f>SUM(IF(N22="X",$N$6*'Scoring Dropdowns'!$B$3,0),IF(O22="X",$O$6*'Scoring Dropdowns'!$B$3,0),IF(P22="X",$P$6*'Scoring Dropdowns'!$B$3,0),IF(Q22="X",$Q$6*'Scoring Dropdowns'!$B$3,0),IF(R22="X",$R$6*'Scoring Dropdowns'!$B$3,0),IF(S22="X",$S$6*'Scoring Dropdowns'!$B$3,0),IF(T22="X",$T$6*'Scoring Dropdowns'!$B$3,0),IF(U22="X",$U$6*'Scoring Dropdowns'!$B$3,0),IF(V22="X",$V$6*'Scoring Dropdowns'!$B$3,0),IF(W22="X",$W$6*'Scoring Dropdowns'!$B$3,0),IF(X22="X",$X$6*'Scoring Dropdowns'!$B$3,0),IF(Y22="X",$Y$6*'Scoring Dropdowns'!$B$3,0))</f>
        <v>20</v>
      </c>
      <c r="AA22" s="25"/>
      <c r="AB22" s="19" t="s">
        <v>15</v>
      </c>
      <c r="AC22" s="134" t="s">
        <v>15</v>
      </c>
      <c r="AD22" s="32">
        <f>IF(AB22="",0,IF(AB22='Scoring Dropdowns'!$A$8,'Scoring Dropdowns'!$B$8*'Original Concept List'!$AB$6*'Scoring Dropdowns'!$B$3,IF(AB22='Scoring Dropdowns'!$A$9,'Scoring Dropdowns'!$B$9*'Original Concept List'!$AB$6*'Scoring Dropdowns'!$B$3,IF(AB22='Scoring Dropdowns'!$A$10,'Scoring Dropdowns'!$B$10*'Original Concept List'!$AB$6*'Scoring Dropdowns'!$B$3,"Oops"))))+IF(AC22="",0,IF(AC22='Scoring Dropdowns'!$A$8,'Scoring Dropdowns'!$B$8*'Original Concept List'!$AC$6*'Scoring Dropdowns'!$B$3,IF(AC22='Scoring Dropdowns'!$A$9,'Scoring Dropdowns'!$B$9*'Original Concept List'!$AC$6*'Scoring Dropdowns'!$B$3,IF(AC22='Scoring Dropdowns'!$A$10,'Scoring Dropdowns'!$B$10*'Original Concept List'!$AC$6*'Scoring Dropdowns'!$B$3,"Oops"))))</f>
        <v>30</v>
      </c>
      <c r="AE22" s="25"/>
      <c r="AF22" s="37" t="s">
        <v>20</v>
      </c>
      <c r="AG22" s="14" t="s">
        <v>14</v>
      </c>
      <c r="AH22" s="12" t="s">
        <v>14</v>
      </c>
      <c r="AI22" s="32" t="s">
        <v>20</v>
      </c>
      <c r="AJ22" s="32">
        <f t="shared" si="0"/>
        <v>5</v>
      </c>
      <c r="AK22" s="25"/>
      <c r="AL22" s="15">
        <f t="shared" si="1"/>
        <v>55</v>
      </c>
      <c r="AM22" s="25"/>
      <c r="AN22" s="11" t="s">
        <v>14</v>
      </c>
      <c r="AO22" s="12" t="s">
        <v>14</v>
      </c>
      <c r="AP22" s="12" t="s">
        <v>14</v>
      </c>
      <c r="AQ22" s="12" t="s">
        <v>14</v>
      </c>
      <c r="AR22" s="32">
        <f>IF(AN22="",0,IF(AN22='Scoring Dropdowns'!$A$8,'Scoring Dropdowns'!$B$8*'Original Concept List'!$AN$6*'Scoring Dropdowns'!$B$4,IF(AN22='Scoring Dropdowns'!$A$9,'Scoring Dropdowns'!$B$9*'Original Concept List'!$AN$6*'Scoring Dropdowns'!$B$4,IF(AN22='Scoring Dropdowns'!$A$10,'Scoring Dropdowns'!$B$10*'Original Concept List'!$AN$6*'Scoring Dropdowns'!$B$4,"Oops"))))+IF(AO22="",0,IF(AO22='Scoring Dropdowns'!$A$8,'Scoring Dropdowns'!$B$8*'Original Concept List'!$AO$6*'Scoring Dropdowns'!$B$4,IF(AO22='Scoring Dropdowns'!$A$9,'Scoring Dropdowns'!$B$9*'Original Concept List'!$AO$6*'Scoring Dropdowns'!$B$4,IF(AO22='Scoring Dropdowns'!$A$10,'Scoring Dropdowns'!$B$10*'Original Concept List'!$AO$6*'Scoring Dropdowns'!$B$4,"Oops"))))+IF(AP22="",0,IF(AP22='Scoring Dropdowns'!$A$8,'Scoring Dropdowns'!$B$8*'Original Concept List'!$AP$6*'Scoring Dropdowns'!$B$4,IF(AP22='Scoring Dropdowns'!$A$9,'Scoring Dropdowns'!$B$9*'Original Concept List'!$AP$6*'Scoring Dropdowns'!$B$4,IF(AP22='Scoring Dropdowns'!$A$10,'Scoring Dropdowns'!$B$10*'Original Concept List'!$AP$6*'Scoring Dropdowns'!$B$4,"Oops"))))+IF(AQ22="",0,IF(AQ22='Scoring Dropdowns'!$A$8,'Scoring Dropdowns'!$B$8*'Original Concept List'!$AQ$6*'Scoring Dropdowns'!$B$4,IF(AQ22='Scoring Dropdowns'!$A$9,'Scoring Dropdowns'!$B$9*'Original Concept List'!$AQ$6*'Scoring Dropdowns'!$B$4,IF(AQ22='Scoring Dropdowns'!$A$10,'Scoring Dropdowns'!$B$10*'Original Concept List'!$AQ$6*'Scoring Dropdowns'!$B$4,"Oops"))))</f>
        <v>50</v>
      </c>
      <c r="AS22" s="82"/>
      <c r="AT22" s="82"/>
    </row>
    <row r="23" spans="1:46" ht="56.25" x14ac:dyDescent="0.25">
      <c r="A23" s="6">
        <v>16</v>
      </c>
      <c r="B23" s="77" t="s">
        <v>76</v>
      </c>
      <c r="C23" s="70" t="s">
        <v>104</v>
      </c>
      <c r="D23" s="3" t="s">
        <v>4</v>
      </c>
      <c r="E23" s="3" t="s">
        <v>8</v>
      </c>
      <c r="F23" s="5" t="s">
        <v>18</v>
      </c>
      <c r="G23" s="3" t="s">
        <v>78</v>
      </c>
      <c r="H23" s="3" t="s">
        <v>11</v>
      </c>
      <c r="I23" s="3" t="s">
        <v>84</v>
      </c>
      <c r="J23" s="7" t="s">
        <v>19</v>
      </c>
      <c r="K23" s="10"/>
      <c r="L23" s="10" t="s">
        <v>126</v>
      </c>
      <c r="M23" s="10"/>
      <c r="N23" s="97"/>
      <c r="O23" s="98"/>
      <c r="P23" s="98"/>
      <c r="Q23" s="98"/>
      <c r="R23" s="98"/>
      <c r="S23" s="98"/>
      <c r="T23" s="98"/>
      <c r="U23" s="98"/>
      <c r="V23" s="98"/>
      <c r="W23" s="98"/>
      <c r="X23" s="98"/>
      <c r="Y23" s="99" t="s">
        <v>69</v>
      </c>
      <c r="Z23" s="96">
        <f>SUM(IF(N23="X",$N$6*'Scoring Dropdowns'!$B$3,0),IF(O23="X",$O$6*'Scoring Dropdowns'!$B$3,0),IF(P23="X",$P$6*'Scoring Dropdowns'!$B$3,0),IF(Q23="X",$Q$6*'Scoring Dropdowns'!$B$3,0),IF(R23="X",$R$6*'Scoring Dropdowns'!$B$3,0),IF(S23="X",$S$6*'Scoring Dropdowns'!$B$3,0),IF(T23="X",$T$6*'Scoring Dropdowns'!$B$3,0),IF(U23="X",$U$6*'Scoring Dropdowns'!$B$3,0),IF(V23="X",$V$6*'Scoring Dropdowns'!$B$3,0),IF(W23="X",$W$6*'Scoring Dropdowns'!$B$3,0),IF(X23="X",$X$6*'Scoring Dropdowns'!$B$3,0),IF(Y23="X",$Y$6*'Scoring Dropdowns'!$B$3,0))</f>
        <v>20</v>
      </c>
      <c r="AA23" s="25"/>
      <c r="AB23" s="20" t="s">
        <v>15</v>
      </c>
      <c r="AC23" s="9" t="s">
        <v>15</v>
      </c>
      <c r="AD23" s="32">
        <f>IF(AB23="",0,IF(AB23='Scoring Dropdowns'!$A$8,'Scoring Dropdowns'!$B$8*'Original Concept List'!$AB$6*'Scoring Dropdowns'!$B$3,IF(AB23='Scoring Dropdowns'!$A$9,'Scoring Dropdowns'!$B$9*'Original Concept List'!$AB$6*'Scoring Dropdowns'!$B$3,IF(AB23='Scoring Dropdowns'!$A$10,'Scoring Dropdowns'!$B$10*'Original Concept List'!$AB$6*'Scoring Dropdowns'!$B$3,"Oops"))))+IF(AC23="",0,IF(AC23='Scoring Dropdowns'!$A$8,'Scoring Dropdowns'!$B$8*'Original Concept List'!$AC$6*'Scoring Dropdowns'!$B$3,IF(AC23='Scoring Dropdowns'!$A$9,'Scoring Dropdowns'!$B$9*'Original Concept List'!$AC$6*'Scoring Dropdowns'!$B$3,IF(AC23='Scoring Dropdowns'!$A$10,'Scoring Dropdowns'!$B$10*'Original Concept List'!$AC$6*'Scoring Dropdowns'!$B$3,"Oops"))))</f>
        <v>30</v>
      </c>
      <c r="AE23" s="25"/>
      <c r="AF23" s="37" t="s">
        <v>20</v>
      </c>
      <c r="AG23" s="14" t="s">
        <v>14</v>
      </c>
      <c r="AH23" s="12" t="s">
        <v>15</v>
      </c>
      <c r="AI23" s="32" t="s">
        <v>14</v>
      </c>
      <c r="AJ23" s="32">
        <f t="shared" si="0"/>
        <v>10</v>
      </c>
      <c r="AK23" s="25"/>
      <c r="AL23" s="15">
        <f t="shared" si="1"/>
        <v>60</v>
      </c>
      <c r="AM23" s="25"/>
      <c r="AN23" s="11" t="s">
        <v>20</v>
      </c>
      <c r="AO23" s="12" t="s">
        <v>14</v>
      </c>
      <c r="AP23" s="12" t="s">
        <v>14</v>
      </c>
      <c r="AQ23" s="12" t="s">
        <v>14</v>
      </c>
      <c r="AR23" s="32">
        <f>IF(AN23="",0,IF(AN23='Scoring Dropdowns'!$A$8,'Scoring Dropdowns'!$B$8*'Original Concept List'!$AN$6*'Scoring Dropdowns'!$B$4,IF(AN23='Scoring Dropdowns'!$A$9,'Scoring Dropdowns'!$B$9*'Original Concept List'!$AN$6*'Scoring Dropdowns'!$B$4,IF(AN23='Scoring Dropdowns'!$A$10,'Scoring Dropdowns'!$B$10*'Original Concept List'!$AN$6*'Scoring Dropdowns'!$B$4,"Oops"))))+IF(AO23="",0,IF(AO23='Scoring Dropdowns'!$A$8,'Scoring Dropdowns'!$B$8*'Original Concept List'!$AO$6*'Scoring Dropdowns'!$B$4,IF(AO23='Scoring Dropdowns'!$A$9,'Scoring Dropdowns'!$B$9*'Original Concept List'!$AO$6*'Scoring Dropdowns'!$B$4,IF(AO23='Scoring Dropdowns'!$A$10,'Scoring Dropdowns'!$B$10*'Original Concept List'!$AO$6*'Scoring Dropdowns'!$B$4,"Oops"))))+IF(AP23="",0,IF(AP23='Scoring Dropdowns'!$A$8,'Scoring Dropdowns'!$B$8*'Original Concept List'!$AP$6*'Scoring Dropdowns'!$B$4,IF(AP23='Scoring Dropdowns'!$A$9,'Scoring Dropdowns'!$B$9*'Original Concept List'!$AP$6*'Scoring Dropdowns'!$B$4,IF(AP23='Scoring Dropdowns'!$A$10,'Scoring Dropdowns'!$B$10*'Original Concept List'!$AP$6*'Scoring Dropdowns'!$B$4,"Oops"))))+IF(AQ23="",0,IF(AQ23='Scoring Dropdowns'!$A$8,'Scoring Dropdowns'!$B$8*'Original Concept List'!$AQ$6*'Scoring Dropdowns'!$B$4,IF(AQ23='Scoring Dropdowns'!$A$9,'Scoring Dropdowns'!$B$9*'Original Concept List'!$AQ$6*'Scoring Dropdowns'!$B$4,IF(AQ23='Scoring Dropdowns'!$A$10,'Scoring Dropdowns'!$B$10*'Original Concept List'!$AQ$6*'Scoring Dropdowns'!$B$4,"Oops"))))</f>
        <v>45</v>
      </c>
      <c r="AS23" s="26"/>
      <c r="AT23" s="26"/>
    </row>
    <row r="24" spans="1:46" ht="56.25" x14ac:dyDescent="0.25">
      <c r="A24" s="11">
        <v>17</v>
      </c>
      <c r="B24" s="77" t="s">
        <v>22</v>
      </c>
      <c r="C24" s="70" t="s">
        <v>49</v>
      </c>
      <c r="D24" s="3" t="s">
        <v>4</v>
      </c>
      <c r="E24" s="3" t="s">
        <v>8</v>
      </c>
      <c r="F24" s="5" t="s">
        <v>9</v>
      </c>
      <c r="G24" s="3" t="s">
        <v>72</v>
      </c>
      <c r="H24" s="3" t="s">
        <v>11</v>
      </c>
      <c r="I24" s="3" t="s">
        <v>46</v>
      </c>
      <c r="J24" s="7" t="s">
        <v>19</v>
      </c>
      <c r="K24" s="10"/>
      <c r="L24" s="10" t="s">
        <v>128</v>
      </c>
      <c r="M24" s="10"/>
      <c r="N24" s="97"/>
      <c r="O24" s="98"/>
      <c r="P24" s="98"/>
      <c r="Q24" s="98"/>
      <c r="R24" s="98"/>
      <c r="S24" s="98"/>
      <c r="T24" s="98"/>
      <c r="U24" s="98"/>
      <c r="V24" s="98"/>
      <c r="W24" s="98"/>
      <c r="X24" s="98"/>
      <c r="Y24" s="99" t="s">
        <v>69</v>
      </c>
      <c r="Z24" s="96">
        <f>SUM(IF(N24="X",$N$6*'Scoring Dropdowns'!$B$3,0),IF(O24="X",$O$6*'Scoring Dropdowns'!$B$3,0),IF(P24="X",$P$6*'Scoring Dropdowns'!$B$3,0),IF(Q24="X",$Q$6*'Scoring Dropdowns'!$B$3,0),IF(R24="X",$R$6*'Scoring Dropdowns'!$B$3,0),IF(S24="X",$S$6*'Scoring Dropdowns'!$B$3,0),IF(T24="X",$T$6*'Scoring Dropdowns'!$B$3,0),IF(U24="X",$U$6*'Scoring Dropdowns'!$B$3,0),IF(V24="X",$V$6*'Scoring Dropdowns'!$B$3,0),IF(W24="X",$W$6*'Scoring Dropdowns'!$B$3,0),IF(X24="X",$X$6*'Scoring Dropdowns'!$B$3,0),IF(Y24="X",$Y$6*'Scoring Dropdowns'!$B$3,0))</f>
        <v>20</v>
      </c>
      <c r="AA24" s="25"/>
      <c r="AB24" s="20" t="s">
        <v>15</v>
      </c>
      <c r="AC24" s="9" t="s">
        <v>15</v>
      </c>
      <c r="AD24" s="32">
        <f>IF(AB24="",0,IF(AB24='Scoring Dropdowns'!$A$8,'Scoring Dropdowns'!$B$8*'Original Concept List'!$AB$6*'Scoring Dropdowns'!$B$3,IF(AB24='Scoring Dropdowns'!$A$9,'Scoring Dropdowns'!$B$9*'Original Concept List'!$AB$6*'Scoring Dropdowns'!$B$3,IF(AB24='Scoring Dropdowns'!$A$10,'Scoring Dropdowns'!$B$10*'Original Concept List'!$AB$6*'Scoring Dropdowns'!$B$3,"Oops"))))+IF(AC24="",0,IF(AC24='Scoring Dropdowns'!$A$8,'Scoring Dropdowns'!$B$8*'Original Concept List'!$AC$6*'Scoring Dropdowns'!$B$3,IF(AC24='Scoring Dropdowns'!$A$9,'Scoring Dropdowns'!$B$9*'Original Concept List'!$AC$6*'Scoring Dropdowns'!$B$3,IF(AC24='Scoring Dropdowns'!$A$10,'Scoring Dropdowns'!$B$10*'Original Concept List'!$AC$6*'Scoring Dropdowns'!$B$3,"Oops"))))</f>
        <v>30</v>
      </c>
      <c r="AE24" s="25"/>
      <c r="AF24" s="37" t="s">
        <v>14</v>
      </c>
      <c r="AG24" s="14" t="s">
        <v>14</v>
      </c>
      <c r="AH24" s="12" t="s">
        <v>14</v>
      </c>
      <c r="AI24" s="32" t="s">
        <v>15</v>
      </c>
      <c r="AJ24" s="32">
        <f t="shared" si="0"/>
        <v>20</v>
      </c>
      <c r="AK24" s="25"/>
      <c r="AL24" s="15">
        <f t="shared" si="1"/>
        <v>70</v>
      </c>
      <c r="AM24" s="25"/>
      <c r="AN24" s="11" t="s">
        <v>14</v>
      </c>
      <c r="AO24" s="12" t="s">
        <v>15</v>
      </c>
      <c r="AP24" s="12" t="s">
        <v>20</v>
      </c>
      <c r="AQ24" s="12" t="s">
        <v>14</v>
      </c>
      <c r="AR24" s="32">
        <f>IF(AN24="",0,IF(AN24='Scoring Dropdowns'!$A$8,'Scoring Dropdowns'!$B$8*'Original Concept List'!$AN$6*'Scoring Dropdowns'!$B$4,IF(AN24='Scoring Dropdowns'!$A$9,'Scoring Dropdowns'!$B$9*'Original Concept List'!$AN$6*'Scoring Dropdowns'!$B$4,IF(AN24='Scoring Dropdowns'!$A$10,'Scoring Dropdowns'!$B$10*'Original Concept List'!$AN$6*'Scoring Dropdowns'!$B$4,"Oops"))))+IF(AO24="",0,IF(AO24='Scoring Dropdowns'!$A$8,'Scoring Dropdowns'!$B$8*'Original Concept List'!$AO$6*'Scoring Dropdowns'!$B$4,IF(AO24='Scoring Dropdowns'!$A$9,'Scoring Dropdowns'!$B$9*'Original Concept List'!$AO$6*'Scoring Dropdowns'!$B$4,IF(AO24='Scoring Dropdowns'!$A$10,'Scoring Dropdowns'!$B$10*'Original Concept List'!$AO$6*'Scoring Dropdowns'!$B$4,"Oops"))))+IF(AP24="",0,IF(AP24='Scoring Dropdowns'!$A$8,'Scoring Dropdowns'!$B$8*'Original Concept List'!$AP$6*'Scoring Dropdowns'!$B$4,IF(AP24='Scoring Dropdowns'!$A$9,'Scoring Dropdowns'!$B$9*'Original Concept List'!$AP$6*'Scoring Dropdowns'!$B$4,IF(AP24='Scoring Dropdowns'!$A$10,'Scoring Dropdowns'!$B$10*'Original Concept List'!$AP$6*'Scoring Dropdowns'!$B$4,"Oops"))))+IF(AQ24="",0,IF(AQ24='Scoring Dropdowns'!$A$8,'Scoring Dropdowns'!$B$8*'Original Concept List'!$AQ$6*'Scoring Dropdowns'!$B$4,IF(AQ24='Scoring Dropdowns'!$A$9,'Scoring Dropdowns'!$B$9*'Original Concept List'!$AQ$6*'Scoring Dropdowns'!$B$4,IF(AQ24='Scoring Dropdowns'!$A$10,'Scoring Dropdowns'!$B$10*'Original Concept List'!$AQ$6*'Scoring Dropdowns'!$B$4,"Oops"))))</f>
        <v>60</v>
      </c>
      <c r="AS24" s="26"/>
      <c r="AT24" s="26"/>
    </row>
    <row r="25" spans="1:46" ht="56.25" x14ac:dyDescent="0.25">
      <c r="A25" s="6">
        <v>18</v>
      </c>
      <c r="B25" s="76" t="s">
        <v>91</v>
      </c>
      <c r="C25" s="72" t="s">
        <v>55</v>
      </c>
      <c r="D25" s="12" t="s">
        <v>5</v>
      </c>
      <c r="E25" s="12" t="s">
        <v>32</v>
      </c>
      <c r="F25" s="12" t="s">
        <v>9</v>
      </c>
      <c r="G25" s="12" t="s">
        <v>10</v>
      </c>
      <c r="H25" s="12" t="s">
        <v>16</v>
      </c>
      <c r="I25" s="12" t="s">
        <v>83</v>
      </c>
      <c r="J25" s="13" t="s">
        <v>35</v>
      </c>
      <c r="K25" s="15"/>
      <c r="L25" s="15" t="s">
        <v>125</v>
      </c>
      <c r="M25" s="15"/>
      <c r="N25" s="93" t="s">
        <v>69</v>
      </c>
      <c r="O25" s="94" t="s">
        <v>69</v>
      </c>
      <c r="P25" s="94" t="s">
        <v>69</v>
      </c>
      <c r="Q25" s="94" t="s">
        <v>69</v>
      </c>
      <c r="R25" s="94" t="s">
        <v>69</v>
      </c>
      <c r="S25" s="94"/>
      <c r="T25" s="94" t="s">
        <v>69</v>
      </c>
      <c r="U25" s="94" t="s">
        <v>69</v>
      </c>
      <c r="V25" s="94" t="s">
        <v>69</v>
      </c>
      <c r="W25" s="94" t="s">
        <v>69</v>
      </c>
      <c r="X25" s="94" t="s">
        <v>69</v>
      </c>
      <c r="Y25" s="95"/>
      <c r="Z25" s="96">
        <f>SUM(IF(N25="X",$N$6*'Scoring Dropdowns'!$B$3,0),IF(O25="X",$O$6*'Scoring Dropdowns'!$B$3,0),IF(P25="X",$P$6*'Scoring Dropdowns'!$B$3,0),IF(Q25="X",$Q$6*'Scoring Dropdowns'!$B$3,0),IF(R25="X",$R$6*'Scoring Dropdowns'!$B$3,0),IF(S25="X",$S$6*'Scoring Dropdowns'!$B$3,0),IF(T25="X",$T$6*'Scoring Dropdowns'!$B$3,0),IF(U25="X",$U$6*'Scoring Dropdowns'!$B$3,0),IF(V25="X",$V$6*'Scoring Dropdowns'!$B$3,0),IF(W25="X",$W$6*'Scoring Dropdowns'!$B$3,0),IF(X25="X",$X$6*'Scoring Dropdowns'!$B$3,0),IF(Y25="X",$Y$6*'Scoring Dropdowns'!$B$3,0))</f>
        <v>20</v>
      </c>
      <c r="AA25" s="25"/>
      <c r="AB25" s="37" t="s">
        <v>15</v>
      </c>
      <c r="AC25" s="204" t="s">
        <v>15</v>
      </c>
      <c r="AD25" s="32">
        <f>IF(AB25="",0,IF(AB25='Scoring Dropdowns'!$A$8,'Scoring Dropdowns'!$B$8*'Original Concept List'!$AB$6*'Scoring Dropdowns'!$B$3,IF(AB25='Scoring Dropdowns'!$A$9,'Scoring Dropdowns'!$B$9*'Original Concept List'!$AB$6*'Scoring Dropdowns'!$B$3,IF(AB25='Scoring Dropdowns'!$A$10,'Scoring Dropdowns'!$B$10*'Original Concept List'!$AB$6*'Scoring Dropdowns'!$B$3,"Oops"))))+IF(AC25="",0,IF(AC25='Scoring Dropdowns'!$A$8,'Scoring Dropdowns'!$B$8*'Original Concept List'!$AC$6*'Scoring Dropdowns'!$B$3,IF(AC25='Scoring Dropdowns'!$A$9,'Scoring Dropdowns'!$B$9*'Original Concept List'!$AC$6*'Scoring Dropdowns'!$B$3,IF(AC25='Scoring Dropdowns'!$A$10,'Scoring Dropdowns'!$B$10*'Original Concept List'!$AC$6*'Scoring Dropdowns'!$B$3,"Oops"))))</f>
        <v>30</v>
      </c>
      <c r="AE25" s="25"/>
      <c r="AF25" s="37" t="s">
        <v>15</v>
      </c>
      <c r="AG25" s="14" t="s">
        <v>20</v>
      </c>
      <c r="AH25" s="12" t="s">
        <v>15</v>
      </c>
      <c r="AI25" s="32" t="s">
        <v>15</v>
      </c>
      <c r="AJ25" s="32">
        <f t="shared" si="0"/>
        <v>20</v>
      </c>
      <c r="AK25" s="25"/>
      <c r="AL25" s="15">
        <f t="shared" si="1"/>
        <v>70</v>
      </c>
      <c r="AM25" s="25"/>
      <c r="AN25" s="11" t="s">
        <v>15</v>
      </c>
      <c r="AO25" s="12" t="s">
        <v>15</v>
      </c>
      <c r="AP25" s="12" t="s">
        <v>15</v>
      </c>
      <c r="AQ25" s="12" t="s">
        <v>15</v>
      </c>
      <c r="AR25" s="32">
        <f>IF(AN25="",0,IF(AN25='Scoring Dropdowns'!$A$8,'Scoring Dropdowns'!$B$8*'Original Concept List'!$AN$6*'Scoring Dropdowns'!$B$4,IF(AN25='Scoring Dropdowns'!$A$9,'Scoring Dropdowns'!$B$9*'Original Concept List'!$AN$6*'Scoring Dropdowns'!$B$4,IF(AN25='Scoring Dropdowns'!$A$10,'Scoring Dropdowns'!$B$10*'Original Concept List'!$AN$6*'Scoring Dropdowns'!$B$4,"Oops"))))+IF(AO25="",0,IF(AO25='Scoring Dropdowns'!$A$8,'Scoring Dropdowns'!$B$8*'Original Concept List'!$AO$6*'Scoring Dropdowns'!$B$4,IF(AO25='Scoring Dropdowns'!$A$9,'Scoring Dropdowns'!$B$9*'Original Concept List'!$AO$6*'Scoring Dropdowns'!$B$4,IF(AO25='Scoring Dropdowns'!$A$10,'Scoring Dropdowns'!$B$10*'Original Concept List'!$AO$6*'Scoring Dropdowns'!$B$4,"Oops"))))+IF(AP25="",0,IF(AP25='Scoring Dropdowns'!$A$8,'Scoring Dropdowns'!$B$8*'Original Concept List'!$AP$6*'Scoring Dropdowns'!$B$4,IF(AP25='Scoring Dropdowns'!$A$9,'Scoring Dropdowns'!$B$9*'Original Concept List'!$AP$6*'Scoring Dropdowns'!$B$4,IF(AP25='Scoring Dropdowns'!$A$10,'Scoring Dropdowns'!$B$10*'Original Concept List'!$AP$6*'Scoring Dropdowns'!$B$4,"Oops"))))+IF(AQ25="",0,IF(AQ25='Scoring Dropdowns'!$A$8,'Scoring Dropdowns'!$B$8*'Original Concept List'!$AQ$6*'Scoring Dropdowns'!$B$4,IF(AQ25='Scoring Dropdowns'!$A$9,'Scoring Dropdowns'!$B$9*'Original Concept List'!$AQ$6*'Scoring Dropdowns'!$B$4,IF(AQ25='Scoring Dropdowns'!$A$10,'Scoring Dropdowns'!$B$10*'Original Concept List'!$AQ$6*'Scoring Dropdowns'!$B$4,"Oops"))))</f>
        <v>100</v>
      </c>
      <c r="AS25" s="26"/>
      <c r="AT25" s="26"/>
    </row>
    <row r="26" spans="1:46" ht="75" x14ac:dyDescent="0.25">
      <c r="A26" s="11">
        <v>19</v>
      </c>
      <c r="B26" s="77" t="s">
        <v>93</v>
      </c>
      <c r="C26" s="70" t="s">
        <v>258</v>
      </c>
      <c r="D26" s="3" t="s">
        <v>5</v>
      </c>
      <c r="E26" s="12" t="s">
        <v>32</v>
      </c>
      <c r="F26" s="3" t="s">
        <v>9</v>
      </c>
      <c r="G26" s="3" t="s">
        <v>10</v>
      </c>
      <c r="H26" s="3" t="s">
        <v>16</v>
      </c>
      <c r="I26" s="3" t="s">
        <v>83</v>
      </c>
      <c r="J26" s="7" t="s">
        <v>37</v>
      </c>
      <c r="K26" s="10"/>
      <c r="L26" s="10" t="s">
        <v>125</v>
      </c>
      <c r="M26" s="10"/>
      <c r="N26" s="97" t="s">
        <v>69</v>
      </c>
      <c r="O26" s="98" t="s">
        <v>69</v>
      </c>
      <c r="P26" s="98" t="s">
        <v>69</v>
      </c>
      <c r="Q26" s="98" t="s">
        <v>69</v>
      </c>
      <c r="R26" s="98" t="s">
        <v>69</v>
      </c>
      <c r="S26" s="98"/>
      <c r="T26" s="98" t="s">
        <v>69</v>
      </c>
      <c r="U26" s="98" t="s">
        <v>69</v>
      </c>
      <c r="V26" s="98" t="s">
        <v>69</v>
      </c>
      <c r="W26" s="98" t="s">
        <v>69</v>
      </c>
      <c r="X26" s="98" t="s">
        <v>69</v>
      </c>
      <c r="Y26" s="99"/>
      <c r="Z26" s="96">
        <f>SUM(IF(N26="X",$N$6*'Scoring Dropdowns'!$B$3,0),IF(O26="X",$O$6*'Scoring Dropdowns'!$B$3,0),IF(P26="X",$P$6*'Scoring Dropdowns'!$B$3,0),IF(Q26="X",$Q$6*'Scoring Dropdowns'!$B$3,0),IF(R26="X",$R$6*'Scoring Dropdowns'!$B$3,0),IF(S26="X",$S$6*'Scoring Dropdowns'!$B$3,0),IF(T26="X",$T$6*'Scoring Dropdowns'!$B$3,0),IF(U26="X",$U$6*'Scoring Dropdowns'!$B$3,0),IF(V26="X",$V$6*'Scoring Dropdowns'!$B$3,0),IF(W26="X",$W$6*'Scoring Dropdowns'!$B$3,0),IF(X26="X",$X$6*'Scoring Dropdowns'!$B$3,0),IF(Y26="X",$Y$6*'Scoring Dropdowns'!$B$3,0))</f>
        <v>20</v>
      </c>
      <c r="AA26" s="25"/>
      <c r="AB26" s="20" t="s">
        <v>15</v>
      </c>
      <c r="AC26" s="9" t="s">
        <v>14</v>
      </c>
      <c r="AD26" s="32">
        <f>IF(AB26="",0,IF(AB26='Scoring Dropdowns'!$A$8,'Scoring Dropdowns'!$B$8*'Original Concept List'!$AB$6*'Scoring Dropdowns'!$B$3,IF(AB26='Scoring Dropdowns'!$A$9,'Scoring Dropdowns'!$B$9*'Original Concept List'!$AB$6*'Scoring Dropdowns'!$B$3,IF(AB26='Scoring Dropdowns'!$A$10,'Scoring Dropdowns'!$B$10*'Original Concept List'!$AB$6*'Scoring Dropdowns'!$B$3,"Oops"))))+IF(AC26="",0,IF(AC26='Scoring Dropdowns'!$A$8,'Scoring Dropdowns'!$B$8*'Original Concept List'!$AC$6*'Scoring Dropdowns'!$B$3,IF(AC26='Scoring Dropdowns'!$A$9,'Scoring Dropdowns'!$B$9*'Original Concept List'!$AC$6*'Scoring Dropdowns'!$B$3,IF(AC26='Scoring Dropdowns'!$A$10,'Scoring Dropdowns'!$B$10*'Original Concept List'!$AC$6*'Scoring Dropdowns'!$B$3,"Oops"))))</f>
        <v>22.5</v>
      </c>
      <c r="AE26" s="25"/>
      <c r="AF26" s="37" t="s">
        <v>15</v>
      </c>
      <c r="AG26" s="14" t="s">
        <v>20</v>
      </c>
      <c r="AH26" s="12" t="s">
        <v>14</v>
      </c>
      <c r="AI26" s="32" t="s">
        <v>15</v>
      </c>
      <c r="AJ26" s="32">
        <f t="shared" si="0"/>
        <v>20</v>
      </c>
      <c r="AK26" s="25"/>
      <c r="AL26" s="15">
        <f t="shared" si="1"/>
        <v>62.5</v>
      </c>
      <c r="AM26" s="25"/>
      <c r="AN26" s="11" t="s">
        <v>15</v>
      </c>
      <c r="AO26" s="12" t="s">
        <v>15</v>
      </c>
      <c r="AP26" s="12" t="s">
        <v>15</v>
      </c>
      <c r="AQ26" s="12" t="s">
        <v>15</v>
      </c>
      <c r="AR26" s="32">
        <f>IF(AN26="",0,IF(AN26='Scoring Dropdowns'!$A$8,'Scoring Dropdowns'!$B$8*'Original Concept List'!$AN$6*'Scoring Dropdowns'!$B$4,IF(AN26='Scoring Dropdowns'!$A$9,'Scoring Dropdowns'!$B$9*'Original Concept List'!$AN$6*'Scoring Dropdowns'!$B$4,IF(AN26='Scoring Dropdowns'!$A$10,'Scoring Dropdowns'!$B$10*'Original Concept List'!$AN$6*'Scoring Dropdowns'!$B$4,"Oops"))))+IF(AO26="",0,IF(AO26='Scoring Dropdowns'!$A$8,'Scoring Dropdowns'!$B$8*'Original Concept List'!$AO$6*'Scoring Dropdowns'!$B$4,IF(AO26='Scoring Dropdowns'!$A$9,'Scoring Dropdowns'!$B$9*'Original Concept List'!$AO$6*'Scoring Dropdowns'!$B$4,IF(AO26='Scoring Dropdowns'!$A$10,'Scoring Dropdowns'!$B$10*'Original Concept List'!$AO$6*'Scoring Dropdowns'!$B$4,"Oops"))))+IF(AP26="",0,IF(AP26='Scoring Dropdowns'!$A$8,'Scoring Dropdowns'!$B$8*'Original Concept List'!$AP$6*'Scoring Dropdowns'!$B$4,IF(AP26='Scoring Dropdowns'!$A$9,'Scoring Dropdowns'!$B$9*'Original Concept List'!$AP$6*'Scoring Dropdowns'!$B$4,IF(AP26='Scoring Dropdowns'!$A$10,'Scoring Dropdowns'!$B$10*'Original Concept List'!$AP$6*'Scoring Dropdowns'!$B$4,"Oops"))))+IF(AQ26="",0,IF(AQ26='Scoring Dropdowns'!$A$8,'Scoring Dropdowns'!$B$8*'Original Concept List'!$AQ$6*'Scoring Dropdowns'!$B$4,IF(AQ26='Scoring Dropdowns'!$A$9,'Scoring Dropdowns'!$B$9*'Original Concept List'!$AQ$6*'Scoring Dropdowns'!$B$4,IF(AQ26='Scoring Dropdowns'!$A$10,'Scoring Dropdowns'!$B$10*'Original Concept List'!$AQ$6*'Scoring Dropdowns'!$B$4,"Oops"))))</f>
        <v>100</v>
      </c>
      <c r="AS26" s="26"/>
      <c r="AT26" s="26"/>
    </row>
    <row r="27" spans="1:46" ht="56.25" x14ac:dyDescent="0.25">
      <c r="A27" s="6">
        <v>20</v>
      </c>
      <c r="B27" s="77" t="s">
        <v>88</v>
      </c>
      <c r="C27" s="73" t="s">
        <v>129</v>
      </c>
      <c r="D27" s="3" t="s">
        <v>5</v>
      </c>
      <c r="E27" s="12" t="s">
        <v>32</v>
      </c>
      <c r="F27" s="3" t="s">
        <v>9</v>
      </c>
      <c r="G27" s="3" t="s">
        <v>10</v>
      </c>
      <c r="H27" s="3" t="s">
        <v>16</v>
      </c>
      <c r="I27" s="3" t="s">
        <v>46</v>
      </c>
      <c r="J27" s="7" t="s">
        <v>37</v>
      </c>
      <c r="K27" s="10"/>
      <c r="L27" s="27" t="s">
        <v>126</v>
      </c>
      <c r="M27" s="10"/>
      <c r="N27" s="97" t="s">
        <v>69</v>
      </c>
      <c r="O27" s="98" t="s">
        <v>69</v>
      </c>
      <c r="P27" s="98" t="s">
        <v>69</v>
      </c>
      <c r="Q27" s="98"/>
      <c r="R27" s="98"/>
      <c r="S27" s="98"/>
      <c r="T27" s="98"/>
      <c r="U27" s="98"/>
      <c r="V27" s="98" t="s">
        <v>69</v>
      </c>
      <c r="W27" s="98"/>
      <c r="X27" s="98" t="s">
        <v>69</v>
      </c>
      <c r="Y27" s="99"/>
      <c r="Z27" s="96">
        <f>SUM(IF(N27="X",$N$6*'Scoring Dropdowns'!$B$3,0),IF(O27="X",$O$6*'Scoring Dropdowns'!$B$3,0),IF(P27="X",$P$6*'Scoring Dropdowns'!$B$3,0),IF(Q27="X",$Q$6*'Scoring Dropdowns'!$B$3,0),IF(R27="X",$R$6*'Scoring Dropdowns'!$B$3,0),IF(S27="X",$S$6*'Scoring Dropdowns'!$B$3,0),IF(T27="X",$T$6*'Scoring Dropdowns'!$B$3,0),IF(U27="X",$U$6*'Scoring Dropdowns'!$B$3,0),IF(V27="X",$V$6*'Scoring Dropdowns'!$B$3,0),IF(W27="X",$W$6*'Scoring Dropdowns'!$B$3,0),IF(X27="X",$X$6*'Scoring Dropdowns'!$B$3,0),IF(Y27="X",$Y$6*'Scoring Dropdowns'!$B$3,0))</f>
        <v>20</v>
      </c>
      <c r="AA27" s="25"/>
      <c r="AB27" s="205" t="s">
        <v>14</v>
      </c>
      <c r="AC27" s="9" t="s">
        <v>14</v>
      </c>
      <c r="AD27" s="32">
        <f>IF(AB27="",0,IF(AB27='Scoring Dropdowns'!$A$8,'Scoring Dropdowns'!$B$8*'Original Concept List'!$AB$6*'Scoring Dropdowns'!$B$3,IF(AB27='Scoring Dropdowns'!$A$9,'Scoring Dropdowns'!$B$9*'Original Concept List'!$AB$6*'Scoring Dropdowns'!$B$3,IF(AB27='Scoring Dropdowns'!$A$10,'Scoring Dropdowns'!$B$10*'Original Concept List'!$AB$6*'Scoring Dropdowns'!$B$3,"Oops"))))+IF(AC27="",0,IF(AC27='Scoring Dropdowns'!$A$8,'Scoring Dropdowns'!$B$8*'Original Concept List'!$AC$6*'Scoring Dropdowns'!$B$3,IF(AC27='Scoring Dropdowns'!$A$9,'Scoring Dropdowns'!$B$9*'Original Concept List'!$AC$6*'Scoring Dropdowns'!$B$3,IF(AC27='Scoring Dropdowns'!$A$10,'Scoring Dropdowns'!$B$10*'Original Concept List'!$AC$6*'Scoring Dropdowns'!$B$3,"Oops"))))</f>
        <v>15</v>
      </c>
      <c r="AE27" s="25"/>
      <c r="AF27" s="37" t="s">
        <v>15</v>
      </c>
      <c r="AG27" s="14" t="s">
        <v>20</v>
      </c>
      <c r="AH27" s="12" t="s">
        <v>14</v>
      </c>
      <c r="AI27" s="209" t="s">
        <v>15</v>
      </c>
      <c r="AJ27" s="32">
        <f t="shared" si="0"/>
        <v>20</v>
      </c>
      <c r="AK27" s="25"/>
      <c r="AL27" s="15">
        <f t="shared" si="1"/>
        <v>55</v>
      </c>
      <c r="AM27" s="25"/>
      <c r="AN27" s="11" t="s">
        <v>20</v>
      </c>
      <c r="AO27" s="12" t="s">
        <v>15</v>
      </c>
      <c r="AP27" s="12" t="s">
        <v>20</v>
      </c>
      <c r="AQ27" s="12" t="s">
        <v>15</v>
      </c>
      <c r="AR27" s="32">
        <f>IF(AN27="",0,IF(AN27='Scoring Dropdowns'!$A$8,'Scoring Dropdowns'!$B$8*'Original Concept List'!$AN$6*'Scoring Dropdowns'!$B$4,IF(AN27='Scoring Dropdowns'!$A$9,'Scoring Dropdowns'!$B$9*'Original Concept List'!$AN$6*'Scoring Dropdowns'!$B$4,IF(AN27='Scoring Dropdowns'!$A$10,'Scoring Dropdowns'!$B$10*'Original Concept List'!$AN$6*'Scoring Dropdowns'!$B$4,"Oops"))))+IF(AO27="",0,IF(AO27='Scoring Dropdowns'!$A$8,'Scoring Dropdowns'!$B$8*'Original Concept List'!$AO$6*'Scoring Dropdowns'!$B$4,IF(AO27='Scoring Dropdowns'!$A$9,'Scoring Dropdowns'!$B$9*'Original Concept List'!$AO$6*'Scoring Dropdowns'!$B$4,IF(AO27='Scoring Dropdowns'!$A$10,'Scoring Dropdowns'!$B$10*'Original Concept List'!$AO$6*'Scoring Dropdowns'!$B$4,"Oops"))))+IF(AP27="",0,IF(AP27='Scoring Dropdowns'!$A$8,'Scoring Dropdowns'!$B$8*'Original Concept List'!$AP$6*'Scoring Dropdowns'!$B$4,IF(AP27='Scoring Dropdowns'!$A$9,'Scoring Dropdowns'!$B$9*'Original Concept List'!$AP$6*'Scoring Dropdowns'!$B$4,IF(AP27='Scoring Dropdowns'!$A$10,'Scoring Dropdowns'!$B$10*'Original Concept List'!$AP$6*'Scoring Dropdowns'!$B$4,"Oops"))))+IF(AQ27="",0,IF(AQ27='Scoring Dropdowns'!$A$8,'Scoring Dropdowns'!$B$8*'Original Concept List'!$AQ$6*'Scoring Dropdowns'!$B$4,IF(AQ27='Scoring Dropdowns'!$A$9,'Scoring Dropdowns'!$B$9*'Original Concept List'!$AQ$6*'Scoring Dropdowns'!$B$4,IF(AQ27='Scoring Dropdowns'!$A$10,'Scoring Dropdowns'!$B$10*'Original Concept List'!$AQ$6*'Scoring Dropdowns'!$B$4,"Oops"))))</f>
        <v>70</v>
      </c>
      <c r="AS27" s="26"/>
      <c r="AT27" s="26"/>
    </row>
    <row r="28" spans="1:46" ht="56.25" x14ac:dyDescent="0.25">
      <c r="A28" s="11">
        <v>21</v>
      </c>
      <c r="B28" s="77" t="s">
        <v>90</v>
      </c>
      <c r="C28" s="70" t="s">
        <v>105</v>
      </c>
      <c r="D28" s="3" t="s">
        <v>5</v>
      </c>
      <c r="E28" s="12" t="s">
        <v>32</v>
      </c>
      <c r="F28" s="3" t="s">
        <v>9</v>
      </c>
      <c r="G28" s="3" t="s">
        <v>10</v>
      </c>
      <c r="H28" s="3" t="s">
        <v>16</v>
      </c>
      <c r="I28" s="3" t="s">
        <v>17</v>
      </c>
      <c r="J28" s="7" t="s">
        <v>19</v>
      </c>
      <c r="K28" s="10"/>
      <c r="L28" s="10" t="s">
        <v>127</v>
      </c>
      <c r="M28" s="10"/>
      <c r="N28" s="97" t="s">
        <v>69</v>
      </c>
      <c r="O28" s="98"/>
      <c r="P28" s="98"/>
      <c r="Q28" s="98" t="s">
        <v>69</v>
      </c>
      <c r="R28" s="98" t="s">
        <v>69</v>
      </c>
      <c r="S28" s="98"/>
      <c r="T28" s="98" t="s">
        <v>69</v>
      </c>
      <c r="U28" s="98" t="s">
        <v>69</v>
      </c>
      <c r="V28" s="98" t="s">
        <v>69</v>
      </c>
      <c r="W28" s="98"/>
      <c r="X28" s="98" t="s">
        <v>69</v>
      </c>
      <c r="Y28" s="99"/>
      <c r="Z28" s="96">
        <f>SUM(IF(N28="X",$N$6*'Scoring Dropdowns'!$B$3,0),IF(O28="X",$O$6*'Scoring Dropdowns'!$B$3,0),IF(P28="X",$P$6*'Scoring Dropdowns'!$B$3,0),IF(Q28="X",$Q$6*'Scoring Dropdowns'!$B$3,0),IF(R28="X",$R$6*'Scoring Dropdowns'!$B$3,0),IF(S28="X",$S$6*'Scoring Dropdowns'!$B$3,0),IF(T28="X",$T$6*'Scoring Dropdowns'!$B$3,0),IF(U28="X",$U$6*'Scoring Dropdowns'!$B$3,0),IF(V28="X",$V$6*'Scoring Dropdowns'!$B$3,0),IF(W28="X",$W$6*'Scoring Dropdowns'!$B$3,0),IF(X28="X",$X$6*'Scoring Dropdowns'!$B$3,0),IF(Y28="X",$Y$6*'Scoring Dropdowns'!$B$3,0))</f>
        <v>5</v>
      </c>
      <c r="AA28" s="25"/>
      <c r="AB28" s="20" t="s">
        <v>20</v>
      </c>
      <c r="AC28" s="9" t="s">
        <v>14</v>
      </c>
      <c r="AD28" s="32">
        <f>IF(AB28="",0,IF(AB28='Scoring Dropdowns'!$A$8,'Scoring Dropdowns'!$B$8*'Original Concept List'!$AB$6*'Scoring Dropdowns'!$B$3,IF(AB28='Scoring Dropdowns'!$A$9,'Scoring Dropdowns'!$B$9*'Original Concept List'!$AB$6*'Scoring Dropdowns'!$B$3,IF(AB28='Scoring Dropdowns'!$A$10,'Scoring Dropdowns'!$B$10*'Original Concept List'!$AB$6*'Scoring Dropdowns'!$B$3,"Oops"))))+IF(AC28="",0,IF(AC28='Scoring Dropdowns'!$A$8,'Scoring Dropdowns'!$B$8*'Original Concept List'!$AC$6*'Scoring Dropdowns'!$B$3,IF(AC28='Scoring Dropdowns'!$A$9,'Scoring Dropdowns'!$B$9*'Original Concept List'!$AC$6*'Scoring Dropdowns'!$B$3,IF(AC28='Scoring Dropdowns'!$A$10,'Scoring Dropdowns'!$B$10*'Original Concept List'!$AC$6*'Scoring Dropdowns'!$B$3,"Oops"))))</f>
        <v>7.5</v>
      </c>
      <c r="AE28" s="25"/>
      <c r="AF28" s="37" t="s">
        <v>15</v>
      </c>
      <c r="AG28" s="14" t="s">
        <v>20</v>
      </c>
      <c r="AH28" s="12" t="s">
        <v>20</v>
      </c>
      <c r="AI28" s="32" t="s">
        <v>20</v>
      </c>
      <c r="AJ28" s="32">
        <f t="shared" si="0"/>
        <v>10</v>
      </c>
      <c r="AK28" s="25"/>
      <c r="AL28" s="15">
        <f t="shared" si="1"/>
        <v>22.5</v>
      </c>
      <c r="AM28" s="25"/>
      <c r="AN28" s="11" t="s">
        <v>15</v>
      </c>
      <c r="AO28" s="12" t="s">
        <v>14</v>
      </c>
      <c r="AP28" s="12" t="s">
        <v>14</v>
      </c>
      <c r="AQ28" s="12" t="s">
        <v>15</v>
      </c>
      <c r="AR28" s="32">
        <f>IF(AN28="",0,IF(AN28='Scoring Dropdowns'!$A$8,'Scoring Dropdowns'!$B$8*'Original Concept List'!$AN$6*'Scoring Dropdowns'!$B$4,IF(AN28='Scoring Dropdowns'!$A$9,'Scoring Dropdowns'!$B$9*'Original Concept List'!$AN$6*'Scoring Dropdowns'!$B$4,IF(AN28='Scoring Dropdowns'!$A$10,'Scoring Dropdowns'!$B$10*'Original Concept List'!$AN$6*'Scoring Dropdowns'!$B$4,"Oops"))))+IF(AO28="",0,IF(AO28='Scoring Dropdowns'!$A$8,'Scoring Dropdowns'!$B$8*'Original Concept List'!$AO$6*'Scoring Dropdowns'!$B$4,IF(AO28='Scoring Dropdowns'!$A$9,'Scoring Dropdowns'!$B$9*'Original Concept List'!$AO$6*'Scoring Dropdowns'!$B$4,IF(AO28='Scoring Dropdowns'!$A$10,'Scoring Dropdowns'!$B$10*'Original Concept List'!$AO$6*'Scoring Dropdowns'!$B$4,"Oops"))))+IF(AP28="",0,IF(AP28='Scoring Dropdowns'!$A$8,'Scoring Dropdowns'!$B$8*'Original Concept List'!$AP$6*'Scoring Dropdowns'!$B$4,IF(AP28='Scoring Dropdowns'!$A$9,'Scoring Dropdowns'!$B$9*'Original Concept List'!$AP$6*'Scoring Dropdowns'!$B$4,IF(AP28='Scoring Dropdowns'!$A$10,'Scoring Dropdowns'!$B$10*'Original Concept List'!$AP$6*'Scoring Dropdowns'!$B$4,"Oops"))))+IF(AQ28="",0,IF(AQ28='Scoring Dropdowns'!$A$8,'Scoring Dropdowns'!$B$8*'Original Concept List'!$AQ$6*'Scoring Dropdowns'!$B$4,IF(AQ28='Scoring Dropdowns'!$A$9,'Scoring Dropdowns'!$B$9*'Original Concept List'!$AQ$6*'Scoring Dropdowns'!$B$4,IF(AQ28='Scoring Dropdowns'!$A$10,'Scoring Dropdowns'!$B$10*'Original Concept List'!$AQ$6*'Scoring Dropdowns'!$B$4,"Oops"))))</f>
        <v>70</v>
      </c>
      <c r="AS28" s="26"/>
      <c r="AT28" s="26"/>
    </row>
    <row r="29" spans="1:46" ht="75" x14ac:dyDescent="0.25">
      <c r="A29" s="6">
        <v>22</v>
      </c>
      <c r="B29" s="77" t="s">
        <v>51</v>
      </c>
      <c r="C29" s="70" t="s">
        <v>107</v>
      </c>
      <c r="D29" s="3" t="s">
        <v>5</v>
      </c>
      <c r="E29" s="12" t="s">
        <v>32</v>
      </c>
      <c r="F29" s="3" t="s">
        <v>9</v>
      </c>
      <c r="G29" s="3" t="s">
        <v>10</v>
      </c>
      <c r="H29" s="3" t="s">
        <v>11</v>
      </c>
      <c r="I29" s="3" t="s">
        <v>46</v>
      </c>
      <c r="J29" s="7" t="s">
        <v>19</v>
      </c>
      <c r="K29" s="10"/>
      <c r="L29" s="10" t="s">
        <v>128</v>
      </c>
      <c r="M29" s="10"/>
      <c r="N29" s="97" t="s">
        <v>69</v>
      </c>
      <c r="O29" s="98" t="s">
        <v>69</v>
      </c>
      <c r="P29" s="98" t="s">
        <v>69</v>
      </c>
      <c r="Q29" s="98" t="s">
        <v>69</v>
      </c>
      <c r="R29" s="98" t="s">
        <v>69</v>
      </c>
      <c r="S29" s="98"/>
      <c r="T29" s="98"/>
      <c r="U29" s="98"/>
      <c r="V29" s="98" t="s">
        <v>69</v>
      </c>
      <c r="W29" s="98" t="s">
        <v>69</v>
      </c>
      <c r="X29" s="98" t="s">
        <v>69</v>
      </c>
      <c r="Y29" s="99"/>
      <c r="Z29" s="96">
        <f>SUM(IF(N29="X",$N$6*'Scoring Dropdowns'!$B$3,0),IF(O29="X",$O$6*'Scoring Dropdowns'!$B$3,0),IF(P29="X",$P$6*'Scoring Dropdowns'!$B$3,0),IF(Q29="X",$Q$6*'Scoring Dropdowns'!$B$3,0),IF(R29="X",$R$6*'Scoring Dropdowns'!$B$3,0),IF(S29="X",$S$6*'Scoring Dropdowns'!$B$3,0),IF(T29="X",$T$6*'Scoring Dropdowns'!$B$3,0),IF(U29="X",$U$6*'Scoring Dropdowns'!$B$3,0),IF(V29="X",$V$6*'Scoring Dropdowns'!$B$3,0),IF(W29="X",$W$6*'Scoring Dropdowns'!$B$3,0),IF(X29="X",$X$6*'Scoring Dropdowns'!$B$3,0),IF(Y29="X",$Y$6*'Scoring Dropdowns'!$B$3,0))</f>
        <v>20</v>
      </c>
      <c r="AA29" s="25"/>
      <c r="AB29" s="20" t="s">
        <v>20</v>
      </c>
      <c r="AC29" s="9" t="s">
        <v>14</v>
      </c>
      <c r="AD29" s="32">
        <f>IF(AB29="",0,IF(AB29='Scoring Dropdowns'!$A$8,'Scoring Dropdowns'!$B$8*'Original Concept List'!$AB$6*'Scoring Dropdowns'!$B$3,IF(AB29='Scoring Dropdowns'!$A$9,'Scoring Dropdowns'!$B$9*'Original Concept List'!$AB$6*'Scoring Dropdowns'!$B$3,IF(AB29='Scoring Dropdowns'!$A$10,'Scoring Dropdowns'!$B$10*'Original Concept List'!$AB$6*'Scoring Dropdowns'!$B$3,"Oops"))))+IF(AC29="",0,IF(AC29='Scoring Dropdowns'!$A$8,'Scoring Dropdowns'!$B$8*'Original Concept List'!$AC$6*'Scoring Dropdowns'!$B$3,IF(AC29='Scoring Dropdowns'!$A$9,'Scoring Dropdowns'!$B$9*'Original Concept List'!$AC$6*'Scoring Dropdowns'!$B$3,IF(AC29='Scoring Dropdowns'!$A$10,'Scoring Dropdowns'!$B$10*'Original Concept List'!$AC$6*'Scoring Dropdowns'!$B$3,"Oops"))))</f>
        <v>7.5</v>
      </c>
      <c r="AE29" s="25"/>
      <c r="AF29" s="37" t="s">
        <v>14</v>
      </c>
      <c r="AG29" s="14" t="s">
        <v>15</v>
      </c>
      <c r="AH29" s="12" t="s">
        <v>20</v>
      </c>
      <c r="AI29" s="32" t="s">
        <v>15</v>
      </c>
      <c r="AJ29" s="32">
        <f t="shared" si="0"/>
        <v>25</v>
      </c>
      <c r="AK29" s="25"/>
      <c r="AL29" s="15">
        <f t="shared" si="1"/>
        <v>52.5</v>
      </c>
      <c r="AM29" s="25"/>
      <c r="AN29" s="11" t="s">
        <v>14</v>
      </c>
      <c r="AO29" s="12" t="s">
        <v>14</v>
      </c>
      <c r="AP29" s="12" t="s">
        <v>20</v>
      </c>
      <c r="AQ29" s="12" t="s">
        <v>20</v>
      </c>
      <c r="AR29" s="32">
        <f>IF(AN29="",0,IF(AN29='Scoring Dropdowns'!$A$8,'Scoring Dropdowns'!$B$8*'Original Concept List'!$AN$6*'Scoring Dropdowns'!$B$4,IF(AN29='Scoring Dropdowns'!$A$9,'Scoring Dropdowns'!$B$9*'Original Concept List'!$AN$6*'Scoring Dropdowns'!$B$4,IF(AN29='Scoring Dropdowns'!$A$10,'Scoring Dropdowns'!$B$10*'Original Concept List'!$AN$6*'Scoring Dropdowns'!$B$4,"Oops"))))+IF(AO29="",0,IF(AO29='Scoring Dropdowns'!$A$8,'Scoring Dropdowns'!$B$8*'Original Concept List'!$AO$6*'Scoring Dropdowns'!$B$4,IF(AO29='Scoring Dropdowns'!$A$9,'Scoring Dropdowns'!$B$9*'Original Concept List'!$AO$6*'Scoring Dropdowns'!$B$4,IF(AO29='Scoring Dropdowns'!$A$10,'Scoring Dropdowns'!$B$10*'Original Concept List'!$AO$6*'Scoring Dropdowns'!$B$4,"Oops"))))+IF(AP29="",0,IF(AP29='Scoring Dropdowns'!$A$8,'Scoring Dropdowns'!$B$8*'Original Concept List'!$AP$6*'Scoring Dropdowns'!$B$4,IF(AP29='Scoring Dropdowns'!$A$9,'Scoring Dropdowns'!$B$9*'Original Concept List'!$AP$6*'Scoring Dropdowns'!$B$4,IF(AP29='Scoring Dropdowns'!$A$10,'Scoring Dropdowns'!$B$10*'Original Concept List'!$AP$6*'Scoring Dropdowns'!$B$4,"Oops"))))+IF(AQ29="",0,IF(AQ29='Scoring Dropdowns'!$A$8,'Scoring Dropdowns'!$B$8*'Original Concept List'!$AQ$6*'Scoring Dropdowns'!$B$4,IF(AQ29='Scoring Dropdowns'!$A$9,'Scoring Dropdowns'!$B$9*'Original Concept List'!$AQ$6*'Scoring Dropdowns'!$B$4,IF(AQ29='Scoring Dropdowns'!$A$10,'Scoring Dropdowns'!$B$10*'Original Concept List'!$AQ$6*'Scoring Dropdowns'!$B$4,"Oops"))))</f>
        <v>25</v>
      </c>
      <c r="AS29" s="26"/>
      <c r="AT29" s="26"/>
    </row>
    <row r="30" spans="1:46" ht="56.25" x14ac:dyDescent="0.25">
      <c r="A30" s="11">
        <v>23</v>
      </c>
      <c r="B30" s="77" t="s">
        <v>52</v>
      </c>
      <c r="C30" s="70" t="s">
        <v>106</v>
      </c>
      <c r="D30" s="3" t="s">
        <v>5</v>
      </c>
      <c r="E30" s="12" t="s">
        <v>32</v>
      </c>
      <c r="F30" s="3" t="s">
        <v>9</v>
      </c>
      <c r="G30" s="3" t="s">
        <v>10</v>
      </c>
      <c r="H30" s="3" t="s">
        <v>11</v>
      </c>
      <c r="I30" s="3" t="s">
        <v>46</v>
      </c>
      <c r="J30" s="7" t="s">
        <v>19</v>
      </c>
      <c r="K30" s="10"/>
      <c r="L30" s="10" t="s">
        <v>128</v>
      </c>
      <c r="M30" s="10"/>
      <c r="N30" s="97" t="s">
        <v>69</v>
      </c>
      <c r="O30" s="98" t="s">
        <v>69</v>
      </c>
      <c r="P30" s="98" t="s">
        <v>69</v>
      </c>
      <c r="Q30" s="98" t="s">
        <v>69</v>
      </c>
      <c r="R30" s="98" t="s">
        <v>69</v>
      </c>
      <c r="S30" s="98"/>
      <c r="T30" s="98"/>
      <c r="U30" s="98"/>
      <c r="V30" s="98" t="s">
        <v>69</v>
      </c>
      <c r="W30" s="98" t="s">
        <v>69</v>
      </c>
      <c r="X30" s="98" t="s">
        <v>69</v>
      </c>
      <c r="Y30" s="99"/>
      <c r="Z30" s="96">
        <f>SUM(IF(N30="X",$N$6*'Scoring Dropdowns'!$B$3,0),IF(O30="X",$O$6*'Scoring Dropdowns'!$B$3,0),IF(P30="X",$P$6*'Scoring Dropdowns'!$B$3,0),IF(Q30="X",$Q$6*'Scoring Dropdowns'!$B$3,0),IF(R30="X",$R$6*'Scoring Dropdowns'!$B$3,0),IF(S30="X",$S$6*'Scoring Dropdowns'!$B$3,0),IF(T30="X",$T$6*'Scoring Dropdowns'!$B$3,0),IF(U30="X",$U$6*'Scoring Dropdowns'!$B$3,0),IF(V30="X",$V$6*'Scoring Dropdowns'!$B$3,0),IF(W30="X",$W$6*'Scoring Dropdowns'!$B$3,0),IF(X30="X",$X$6*'Scoring Dropdowns'!$B$3,0),IF(Y30="X",$Y$6*'Scoring Dropdowns'!$B$3,0))</f>
        <v>20</v>
      </c>
      <c r="AA30" s="25"/>
      <c r="AB30" s="20" t="s">
        <v>20</v>
      </c>
      <c r="AC30" s="9" t="s">
        <v>14</v>
      </c>
      <c r="AD30" s="32">
        <f>IF(AB30="",0,IF(AB30='Scoring Dropdowns'!$A$8,'Scoring Dropdowns'!$B$8*'Original Concept List'!$AB$6*'Scoring Dropdowns'!$B$3,IF(AB30='Scoring Dropdowns'!$A$9,'Scoring Dropdowns'!$B$9*'Original Concept List'!$AB$6*'Scoring Dropdowns'!$B$3,IF(AB30='Scoring Dropdowns'!$A$10,'Scoring Dropdowns'!$B$10*'Original Concept List'!$AB$6*'Scoring Dropdowns'!$B$3,"Oops"))))+IF(AC30="",0,IF(AC30='Scoring Dropdowns'!$A$8,'Scoring Dropdowns'!$B$8*'Original Concept List'!$AC$6*'Scoring Dropdowns'!$B$3,IF(AC30='Scoring Dropdowns'!$A$9,'Scoring Dropdowns'!$B$9*'Original Concept List'!$AC$6*'Scoring Dropdowns'!$B$3,IF(AC30='Scoring Dropdowns'!$A$10,'Scoring Dropdowns'!$B$10*'Original Concept List'!$AC$6*'Scoring Dropdowns'!$B$3,"Oops"))))</f>
        <v>7.5</v>
      </c>
      <c r="AE30" s="25"/>
      <c r="AF30" s="37" t="s">
        <v>14</v>
      </c>
      <c r="AG30" s="14" t="s">
        <v>15</v>
      </c>
      <c r="AH30" s="12" t="s">
        <v>20</v>
      </c>
      <c r="AI30" s="32" t="s">
        <v>14</v>
      </c>
      <c r="AJ30" s="32">
        <f t="shared" si="0"/>
        <v>20</v>
      </c>
      <c r="AK30" s="25"/>
      <c r="AL30" s="15">
        <f t="shared" si="1"/>
        <v>47.5</v>
      </c>
      <c r="AM30" s="25"/>
      <c r="AN30" s="11" t="s">
        <v>14</v>
      </c>
      <c r="AO30" s="12" t="s">
        <v>14</v>
      </c>
      <c r="AP30" s="12" t="s">
        <v>20</v>
      </c>
      <c r="AQ30" s="12" t="s">
        <v>20</v>
      </c>
      <c r="AR30" s="32">
        <f>IF(AN30="",0,IF(AN30='Scoring Dropdowns'!$A$8,'Scoring Dropdowns'!$B$8*'Original Concept List'!$AN$6*'Scoring Dropdowns'!$B$4,IF(AN30='Scoring Dropdowns'!$A$9,'Scoring Dropdowns'!$B$9*'Original Concept List'!$AN$6*'Scoring Dropdowns'!$B$4,IF(AN30='Scoring Dropdowns'!$A$10,'Scoring Dropdowns'!$B$10*'Original Concept List'!$AN$6*'Scoring Dropdowns'!$B$4,"Oops"))))+IF(AO30="",0,IF(AO30='Scoring Dropdowns'!$A$8,'Scoring Dropdowns'!$B$8*'Original Concept List'!$AO$6*'Scoring Dropdowns'!$B$4,IF(AO30='Scoring Dropdowns'!$A$9,'Scoring Dropdowns'!$B$9*'Original Concept List'!$AO$6*'Scoring Dropdowns'!$B$4,IF(AO30='Scoring Dropdowns'!$A$10,'Scoring Dropdowns'!$B$10*'Original Concept List'!$AO$6*'Scoring Dropdowns'!$B$4,"Oops"))))+IF(AP30="",0,IF(AP30='Scoring Dropdowns'!$A$8,'Scoring Dropdowns'!$B$8*'Original Concept List'!$AP$6*'Scoring Dropdowns'!$B$4,IF(AP30='Scoring Dropdowns'!$A$9,'Scoring Dropdowns'!$B$9*'Original Concept List'!$AP$6*'Scoring Dropdowns'!$B$4,IF(AP30='Scoring Dropdowns'!$A$10,'Scoring Dropdowns'!$B$10*'Original Concept List'!$AP$6*'Scoring Dropdowns'!$B$4,"Oops"))))+IF(AQ30="",0,IF(AQ30='Scoring Dropdowns'!$A$8,'Scoring Dropdowns'!$B$8*'Original Concept List'!$AQ$6*'Scoring Dropdowns'!$B$4,IF(AQ30='Scoring Dropdowns'!$A$9,'Scoring Dropdowns'!$B$9*'Original Concept List'!$AQ$6*'Scoring Dropdowns'!$B$4,IF(AQ30='Scoring Dropdowns'!$A$10,'Scoring Dropdowns'!$B$10*'Original Concept List'!$AQ$6*'Scoring Dropdowns'!$B$4,"Oops"))))</f>
        <v>25</v>
      </c>
      <c r="AS30" s="26"/>
      <c r="AT30" s="26"/>
    </row>
    <row r="31" spans="1:46" ht="75.75" thickBot="1" x14ac:dyDescent="0.3">
      <c r="A31" s="6">
        <v>24</v>
      </c>
      <c r="B31" s="77" t="s">
        <v>92</v>
      </c>
      <c r="C31" s="70" t="s">
        <v>287</v>
      </c>
      <c r="D31" s="53" t="s">
        <v>5</v>
      </c>
      <c r="E31" s="12" t="s">
        <v>32</v>
      </c>
      <c r="F31" s="53" t="s">
        <v>9</v>
      </c>
      <c r="G31" s="53" t="s">
        <v>24</v>
      </c>
      <c r="H31" s="53" t="s">
        <v>16</v>
      </c>
      <c r="I31" s="53" t="s">
        <v>83</v>
      </c>
      <c r="J31" s="54" t="s">
        <v>19</v>
      </c>
      <c r="K31" s="55"/>
      <c r="L31" s="55" t="s">
        <v>125</v>
      </c>
      <c r="M31" s="55"/>
      <c r="N31" s="100" t="s">
        <v>69</v>
      </c>
      <c r="O31" s="101" t="s">
        <v>69</v>
      </c>
      <c r="P31" s="101" t="s">
        <v>69</v>
      </c>
      <c r="Q31" s="101" t="s">
        <v>69</v>
      </c>
      <c r="R31" s="101" t="s">
        <v>69</v>
      </c>
      <c r="S31" s="101"/>
      <c r="T31" s="101" t="s">
        <v>69</v>
      </c>
      <c r="U31" s="101" t="s">
        <v>69</v>
      </c>
      <c r="V31" s="101" t="s">
        <v>69</v>
      </c>
      <c r="W31" s="101" t="s">
        <v>69</v>
      </c>
      <c r="X31" s="101" t="s">
        <v>69</v>
      </c>
      <c r="Y31" s="102"/>
      <c r="Z31" s="96">
        <f>SUM(IF(N31="X",$N$6*'Scoring Dropdowns'!$B$3,0),IF(O31="X",$O$6*'Scoring Dropdowns'!$B$3,0),IF(P31="X",$P$6*'Scoring Dropdowns'!$B$3,0),IF(Q31="X",$Q$6*'Scoring Dropdowns'!$B$3,0),IF(R31="X",$R$6*'Scoring Dropdowns'!$B$3,0),IF(S31="X",$S$6*'Scoring Dropdowns'!$B$3,0),IF(T31="X",$T$6*'Scoring Dropdowns'!$B$3,0),IF(U31="X",$U$6*'Scoring Dropdowns'!$B$3,0),IF(V31="X",$V$6*'Scoring Dropdowns'!$B$3,0),IF(W31="X",$W$6*'Scoring Dropdowns'!$B$3,0),IF(X31="X",$X$6*'Scoring Dropdowns'!$B$3,0),IF(Y31="X",$Y$6*'Scoring Dropdowns'!$B$3,0))</f>
        <v>20</v>
      </c>
      <c r="AA31" s="25"/>
      <c r="AB31" s="21" t="s">
        <v>15</v>
      </c>
      <c r="AC31" s="56" t="s">
        <v>14</v>
      </c>
      <c r="AD31" s="32">
        <f>IF(AB31="",0,IF(AB31='Scoring Dropdowns'!$A$8,'Scoring Dropdowns'!$B$8*'Original Concept List'!$AB$6*'Scoring Dropdowns'!$B$3,IF(AB31='Scoring Dropdowns'!$A$9,'Scoring Dropdowns'!$B$9*'Original Concept List'!$AB$6*'Scoring Dropdowns'!$B$3,IF(AB31='Scoring Dropdowns'!$A$10,'Scoring Dropdowns'!$B$10*'Original Concept List'!$AB$6*'Scoring Dropdowns'!$B$3,"Oops"))))+IF(AC31="",0,IF(AC31='Scoring Dropdowns'!$A$8,'Scoring Dropdowns'!$B$8*'Original Concept List'!$AC$6*'Scoring Dropdowns'!$B$3,IF(AC31='Scoring Dropdowns'!$A$9,'Scoring Dropdowns'!$B$9*'Original Concept List'!$AC$6*'Scoring Dropdowns'!$B$3,IF(AC31='Scoring Dropdowns'!$A$10,'Scoring Dropdowns'!$B$10*'Original Concept List'!$AC$6*'Scoring Dropdowns'!$B$3,"Oops"))))</f>
        <v>22.5</v>
      </c>
      <c r="AE31" s="25"/>
      <c r="AF31" s="37" t="s">
        <v>14</v>
      </c>
      <c r="AG31" s="59" t="s">
        <v>20</v>
      </c>
      <c r="AH31" s="57" t="s">
        <v>14</v>
      </c>
      <c r="AI31" s="60" t="s">
        <v>14</v>
      </c>
      <c r="AJ31" s="32">
        <f t="shared" si="0"/>
        <v>10</v>
      </c>
      <c r="AK31" s="25"/>
      <c r="AL31" s="15">
        <f t="shared" si="1"/>
        <v>52.5</v>
      </c>
      <c r="AM31" s="25"/>
      <c r="AN31" s="84" t="s">
        <v>15</v>
      </c>
      <c r="AO31" s="57" t="s">
        <v>14</v>
      </c>
      <c r="AP31" s="57" t="s">
        <v>15</v>
      </c>
      <c r="AQ31" s="57" t="s">
        <v>15</v>
      </c>
      <c r="AR31" s="32">
        <f>IF(AN31="",0,IF(AN31='Scoring Dropdowns'!$A$8,'Scoring Dropdowns'!$B$8*'Original Concept List'!$AN$6*'Scoring Dropdowns'!$B$4,IF(AN31='Scoring Dropdowns'!$A$9,'Scoring Dropdowns'!$B$9*'Original Concept List'!$AN$6*'Scoring Dropdowns'!$B$4,IF(AN31='Scoring Dropdowns'!$A$10,'Scoring Dropdowns'!$B$10*'Original Concept List'!$AN$6*'Scoring Dropdowns'!$B$4,"Oops"))))+IF(AO31="",0,IF(AO31='Scoring Dropdowns'!$A$8,'Scoring Dropdowns'!$B$8*'Original Concept List'!$AO$6*'Scoring Dropdowns'!$B$4,IF(AO31='Scoring Dropdowns'!$A$9,'Scoring Dropdowns'!$B$9*'Original Concept List'!$AO$6*'Scoring Dropdowns'!$B$4,IF(AO31='Scoring Dropdowns'!$A$10,'Scoring Dropdowns'!$B$10*'Original Concept List'!$AO$6*'Scoring Dropdowns'!$B$4,"Oops"))))+IF(AP31="",0,IF(AP31='Scoring Dropdowns'!$A$8,'Scoring Dropdowns'!$B$8*'Original Concept List'!$AP$6*'Scoring Dropdowns'!$B$4,IF(AP31='Scoring Dropdowns'!$A$9,'Scoring Dropdowns'!$B$9*'Original Concept List'!$AP$6*'Scoring Dropdowns'!$B$4,IF(AP31='Scoring Dropdowns'!$A$10,'Scoring Dropdowns'!$B$10*'Original Concept List'!$AP$6*'Scoring Dropdowns'!$B$4,"Oops"))))+IF(AQ31="",0,IF(AQ31='Scoring Dropdowns'!$A$8,'Scoring Dropdowns'!$B$8*'Original Concept List'!$AQ$6*'Scoring Dropdowns'!$B$4,IF(AQ31='Scoring Dropdowns'!$A$9,'Scoring Dropdowns'!$B$9*'Original Concept List'!$AQ$6*'Scoring Dropdowns'!$B$4,IF(AQ31='Scoring Dropdowns'!$A$10,'Scoring Dropdowns'!$B$10*'Original Concept List'!$AQ$6*'Scoring Dropdowns'!$B$4,"Oops"))))</f>
        <v>80</v>
      </c>
      <c r="AS31" s="26"/>
      <c r="AT31" s="26"/>
    </row>
    <row r="32" spans="1:46" ht="93.75" x14ac:dyDescent="0.25">
      <c r="A32" s="11">
        <v>25</v>
      </c>
      <c r="B32" s="77" t="s">
        <v>54</v>
      </c>
      <c r="C32" s="74" t="s">
        <v>108</v>
      </c>
      <c r="D32" s="61" t="s">
        <v>5</v>
      </c>
      <c r="E32" s="12" t="s">
        <v>32</v>
      </c>
      <c r="F32" s="62" t="s">
        <v>18</v>
      </c>
      <c r="G32" s="62" t="s">
        <v>41</v>
      </c>
      <c r="H32" s="62" t="s">
        <v>11</v>
      </c>
      <c r="I32" s="62" t="s">
        <v>45</v>
      </c>
      <c r="J32" s="63" t="s">
        <v>19</v>
      </c>
      <c r="K32" s="23"/>
      <c r="L32" s="23" t="s">
        <v>127</v>
      </c>
      <c r="M32" s="23"/>
      <c r="N32" s="103"/>
      <c r="O32" s="104"/>
      <c r="P32" s="104" t="s">
        <v>69</v>
      </c>
      <c r="Q32" s="104"/>
      <c r="R32" s="104"/>
      <c r="S32" s="104" t="s">
        <v>69</v>
      </c>
      <c r="T32" s="104"/>
      <c r="U32" s="104"/>
      <c r="V32" s="104"/>
      <c r="W32" s="104"/>
      <c r="X32" s="104"/>
      <c r="Y32" s="105"/>
      <c r="Z32" s="96">
        <f>SUM(IF(N32="X",$N$6*'Scoring Dropdowns'!$B$3,0),IF(O32="X",$O$6*'Scoring Dropdowns'!$B$3,0),IF(P32="X",$P$6*'Scoring Dropdowns'!$B$3,0),IF(Q32="X",$Q$6*'Scoring Dropdowns'!$B$3,0),IF(R32="X",$R$6*'Scoring Dropdowns'!$B$3,0),IF(S32="X",$S$6*'Scoring Dropdowns'!$B$3,0),IF(T32="X",$T$6*'Scoring Dropdowns'!$B$3,0),IF(U32="X",$U$6*'Scoring Dropdowns'!$B$3,0),IF(V32="X",$V$6*'Scoring Dropdowns'!$B$3,0),IF(W32="X",$W$6*'Scoring Dropdowns'!$B$3,0),IF(X32="X",$X$6*'Scoring Dropdowns'!$B$3,0),IF(Y32="X",$Y$6*'Scoring Dropdowns'!$B$3,0))</f>
        <v>15</v>
      </c>
      <c r="AA32" s="25"/>
      <c r="AB32" s="65" t="s">
        <v>14</v>
      </c>
      <c r="AC32" s="64" t="s">
        <v>15</v>
      </c>
      <c r="AD32" s="32">
        <f>IF(AB32="",0,IF(AB32='Scoring Dropdowns'!$A$8,'Scoring Dropdowns'!$B$8*'Original Concept List'!$AB$6*'Scoring Dropdowns'!$B$3,IF(AB32='Scoring Dropdowns'!$A$9,'Scoring Dropdowns'!$B$9*'Original Concept List'!$AB$6*'Scoring Dropdowns'!$B$3,IF(AB32='Scoring Dropdowns'!$A$10,'Scoring Dropdowns'!$B$10*'Original Concept List'!$AB$6*'Scoring Dropdowns'!$B$3,"Oops"))))+IF(AC32="",0,IF(AC32='Scoring Dropdowns'!$A$8,'Scoring Dropdowns'!$B$8*'Original Concept List'!$AC$6*'Scoring Dropdowns'!$B$3,IF(AC32='Scoring Dropdowns'!$A$9,'Scoring Dropdowns'!$B$9*'Original Concept List'!$AC$6*'Scoring Dropdowns'!$B$3,IF(AC32='Scoring Dropdowns'!$A$10,'Scoring Dropdowns'!$B$10*'Original Concept List'!$AC$6*'Scoring Dropdowns'!$B$3,"Oops"))))</f>
        <v>22.5</v>
      </c>
      <c r="AE32" s="25"/>
      <c r="AF32" s="210" t="s">
        <v>14</v>
      </c>
      <c r="AG32" s="64" t="s">
        <v>20</v>
      </c>
      <c r="AH32" s="62" t="s">
        <v>14</v>
      </c>
      <c r="AI32" s="66" t="s">
        <v>14</v>
      </c>
      <c r="AJ32" s="32">
        <f t="shared" si="0"/>
        <v>10</v>
      </c>
      <c r="AK32" s="25"/>
      <c r="AL32" s="15">
        <f t="shared" si="1"/>
        <v>47.5</v>
      </c>
      <c r="AM32" s="25"/>
      <c r="AN32" s="61" t="s">
        <v>14</v>
      </c>
      <c r="AO32" s="62" t="s">
        <v>14</v>
      </c>
      <c r="AP32" s="62" t="s">
        <v>15</v>
      </c>
      <c r="AQ32" s="62" t="s">
        <v>14</v>
      </c>
      <c r="AR32" s="32">
        <f>IF(AN32="",0,IF(AN32='Scoring Dropdowns'!$A$8,'Scoring Dropdowns'!$B$8*'Original Concept List'!$AN$6*'Scoring Dropdowns'!$B$4,IF(AN32='Scoring Dropdowns'!$A$9,'Scoring Dropdowns'!$B$9*'Original Concept List'!$AN$6*'Scoring Dropdowns'!$B$4,IF(AN32='Scoring Dropdowns'!$A$10,'Scoring Dropdowns'!$B$10*'Original Concept List'!$AN$6*'Scoring Dropdowns'!$B$4,"Oops"))))+IF(AO32="",0,IF(AO32='Scoring Dropdowns'!$A$8,'Scoring Dropdowns'!$B$8*'Original Concept List'!$AO$6*'Scoring Dropdowns'!$B$4,IF(AO32='Scoring Dropdowns'!$A$9,'Scoring Dropdowns'!$B$9*'Original Concept List'!$AO$6*'Scoring Dropdowns'!$B$4,IF(AO32='Scoring Dropdowns'!$A$10,'Scoring Dropdowns'!$B$10*'Original Concept List'!$AO$6*'Scoring Dropdowns'!$B$4,"Oops"))))+IF(AP32="",0,IF(AP32='Scoring Dropdowns'!$A$8,'Scoring Dropdowns'!$B$8*'Original Concept List'!$AP$6*'Scoring Dropdowns'!$B$4,IF(AP32='Scoring Dropdowns'!$A$9,'Scoring Dropdowns'!$B$9*'Original Concept List'!$AP$6*'Scoring Dropdowns'!$B$4,IF(AP32='Scoring Dropdowns'!$A$10,'Scoring Dropdowns'!$B$10*'Original Concept List'!$AP$6*'Scoring Dropdowns'!$B$4,"Oops"))))+IF(AQ32="",0,IF(AQ32='Scoring Dropdowns'!$A$8,'Scoring Dropdowns'!$B$8*'Original Concept List'!$AQ$6*'Scoring Dropdowns'!$B$4,IF(AQ32='Scoring Dropdowns'!$A$9,'Scoring Dropdowns'!$B$9*'Original Concept List'!$AQ$6*'Scoring Dropdowns'!$B$4,IF(AQ32='Scoring Dropdowns'!$A$10,'Scoring Dropdowns'!$B$10*'Original Concept List'!$AQ$6*'Scoring Dropdowns'!$B$4,"Oops"))))</f>
        <v>60</v>
      </c>
      <c r="AS32" s="26"/>
      <c r="AT32" s="26"/>
    </row>
    <row r="33" spans="1:46" ht="93.75" x14ac:dyDescent="0.25">
      <c r="A33" s="6">
        <v>26</v>
      </c>
      <c r="B33" s="77" t="s">
        <v>33</v>
      </c>
      <c r="C33" s="74" t="s">
        <v>109</v>
      </c>
      <c r="D33" s="6" t="s">
        <v>5</v>
      </c>
      <c r="E33" s="12" t="s">
        <v>32</v>
      </c>
      <c r="F33" s="3" t="s">
        <v>18</v>
      </c>
      <c r="G33" s="3" t="s">
        <v>41</v>
      </c>
      <c r="H33" s="3" t="s">
        <v>11</v>
      </c>
      <c r="I33" s="3" t="s">
        <v>45</v>
      </c>
      <c r="J33" s="7" t="s">
        <v>19</v>
      </c>
      <c r="K33" s="10"/>
      <c r="L33" s="10" t="s">
        <v>127</v>
      </c>
      <c r="M33" s="10"/>
      <c r="N33" s="97"/>
      <c r="O33" s="98"/>
      <c r="P33" s="98" t="s">
        <v>69</v>
      </c>
      <c r="Q33" s="98"/>
      <c r="R33" s="98"/>
      <c r="S33" s="98" t="s">
        <v>69</v>
      </c>
      <c r="T33" s="98"/>
      <c r="U33" s="98"/>
      <c r="V33" s="98"/>
      <c r="W33" s="98"/>
      <c r="X33" s="98"/>
      <c r="Y33" s="99"/>
      <c r="Z33" s="96">
        <f>SUM(IF(N33="X",$N$6*'Scoring Dropdowns'!$B$3,0),IF(O33="X",$O$6*'Scoring Dropdowns'!$B$3,0),IF(P33="X",$P$6*'Scoring Dropdowns'!$B$3,0),IF(Q33="X",$Q$6*'Scoring Dropdowns'!$B$3,0),IF(R33="X",$R$6*'Scoring Dropdowns'!$B$3,0),IF(S33="X",$S$6*'Scoring Dropdowns'!$B$3,0),IF(T33="X",$T$6*'Scoring Dropdowns'!$B$3,0),IF(U33="X",$U$6*'Scoring Dropdowns'!$B$3,0),IF(V33="X",$V$6*'Scoring Dropdowns'!$B$3,0),IF(W33="X",$W$6*'Scoring Dropdowns'!$B$3,0),IF(X33="X",$X$6*'Scoring Dropdowns'!$B$3,0),IF(Y33="X",$Y$6*'Scoring Dropdowns'!$B$3,0))</f>
        <v>15</v>
      </c>
      <c r="AA33" s="25"/>
      <c r="AB33" s="20" t="s">
        <v>14</v>
      </c>
      <c r="AC33" s="9" t="s">
        <v>15</v>
      </c>
      <c r="AD33" s="32">
        <f>IF(AB33="",0,IF(AB33='Scoring Dropdowns'!$A$8,'Scoring Dropdowns'!$B$8*'Original Concept List'!$AB$6*'Scoring Dropdowns'!$B$3,IF(AB33='Scoring Dropdowns'!$A$9,'Scoring Dropdowns'!$B$9*'Original Concept List'!$AB$6*'Scoring Dropdowns'!$B$3,IF(AB33='Scoring Dropdowns'!$A$10,'Scoring Dropdowns'!$B$10*'Original Concept List'!$AB$6*'Scoring Dropdowns'!$B$3,"Oops"))))+IF(AC33="",0,IF(AC33='Scoring Dropdowns'!$A$8,'Scoring Dropdowns'!$B$8*'Original Concept List'!$AC$6*'Scoring Dropdowns'!$B$3,IF(AC33='Scoring Dropdowns'!$A$9,'Scoring Dropdowns'!$B$9*'Original Concept List'!$AC$6*'Scoring Dropdowns'!$B$3,IF(AC33='Scoring Dropdowns'!$A$10,'Scoring Dropdowns'!$B$10*'Original Concept List'!$AC$6*'Scoring Dropdowns'!$B$3,"Oops"))))</f>
        <v>22.5</v>
      </c>
      <c r="AE33" s="25"/>
      <c r="AF33" s="37" t="s">
        <v>14</v>
      </c>
      <c r="AG33" s="204" t="s">
        <v>14</v>
      </c>
      <c r="AH33" s="12" t="s">
        <v>14</v>
      </c>
      <c r="AI33" s="32" t="s">
        <v>14</v>
      </c>
      <c r="AJ33" s="32">
        <f t="shared" si="0"/>
        <v>15</v>
      </c>
      <c r="AK33" s="25"/>
      <c r="AL33" s="15">
        <f t="shared" si="1"/>
        <v>52.5</v>
      </c>
      <c r="AM33" s="25"/>
      <c r="AN33" s="11" t="s">
        <v>20</v>
      </c>
      <c r="AO33" s="12" t="s">
        <v>14</v>
      </c>
      <c r="AP33" s="12" t="s">
        <v>15</v>
      </c>
      <c r="AQ33" s="12" t="s">
        <v>14</v>
      </c>
      <c r="AR33" s="32">
        <f>IF(AN33="",0,IF(AN33='Scoring Dropdowns'!$A$8,'Scoring Dropdowns'!$B$8*'Original Concept List'!$AN$6*'Scoring Dropdowns'!$B$4,IF(AN33='Scoring Dropdowns'!$A$9,'Scoring Dropdowns'!$B$9*'Original Concept List'!$AN$6*'Scoring Dropdowns'!$B$4,IF(AN33='Scoring Dropdowns'!$A$10,'Scoring Dropdowns'!$B$10*'Original Concept List'!$AN$6*'Scoring Dropdowns'!$B$4,"Oops"))))+IF(AO33="",0,IF(AO33='Scoring Dropdowns'!$A$8,'Scoring Dropdowns'!$B$8*'Original Concept List'!$AO$6*'Scoring Dropdowns'!$B$4,IF(AO33='Scoring Dropdowns'!$A$9,'Scoring Dropdowns'!$B$9*'Original Concept List'!$AO$6*'Scoring Dropdowns'!$B$4,IF(AO33='Scoring Dropdowns'!$A$10,'Scoring Dropdowns'!$B$10*'Original Concept List'!$AO$6*'Scoring Dropdowns'!$B$4,"Oops"))))+IF(AP33="",0,IF(AP33='Scoring Dropdowns'!$A$8,'Scoring Dropdowns'!$B$8*'Original Concept List'!$AP$6*'Scoring Dropdowns'!$B$4,IF(AP33='Scoring Dropdowns'!$A$9,'Scoring Dropdowns'!$B$9*'Original Concept List'!$AP$6*'Scoring Dropdowns'!$B$4,IF(AP33='Scoring Dropdowns'!$A$10,'Scoring Dropdowns'!$B$10*'Original Concept List'!$AP$6*'Scoring Dropdowns'!$B$4,"Oops"))))+IF(AQ33="",0,IF(AQ33='Scoring Dropdowns'!$A$8,'Scoring Dropdowns'!$B$8*'Original Concept List'!$AQ$6*'Scoring Dropdowns'!$B$4,IF(AQ33='Scoring Dropdowns'!$A$9,'Scoring Dropdowns'!$B$9*'Original Concept List'!$AQ$6*'Scoring Dropdowns'!$B$4,IF(AQ33='Scoring Dropdowns'!$A$10,'Scoring Dropdowns'!$B$10*'Original Concept List'!$AQ$6*'Scoring Dropdowns'!$B$4,"Oops"))))</f>
        <v>55</v>
      </c>
      <c r="AS33" s="26"/>
      <c r="AT33" s="26"/>
    </row>
    <row r="34" spans="1:46" ht="56.25" x14ac:dyDescent="0.25">
      <c r="A34" s="11">
        <v>27</v>
      </c>
      <c r="B34" s="77" t="s">
        <v>53</v>
      </c>
      <c r="C34" s="74" t="s">
        <v>114</v>
      </c>
      <c r="D34" s="6" t="s">
        <v>5</v>
      </c>
      <c r="E34" s="12" t="s">
        <v>32</v>
      </c>
      <c r="F34" s="3" t="s">
        <v>18</v>
      </c>
      <c r="G34" s="3" t="s">
        <v>23</v>
      </c>
      <c r="H34" s="3" t="s">
        <v>11</v>
      </c>
      <c r="I34" s="3" t="s">
        <v>43</v>
      </c>
      <c r="J34" s="7" t="s">
        <v>19</v>
      </c>
      <c r="K34" s="10"/>
      <c r="L34" s="10" t="s">
        <v>127</v>
      </c>
      <c r="M34" s="10"/>
      <c r="N34" s="97"/>
      <c r="O34" s="98"/>
      <c r="P34" s="98" t="s">
        <v>69</v>
      </c>
      <c r="Q34" s="98"/>
      <c r="R34" s="98"/>
      <c r="S34" s="98"/>
      <c r="T34" s="98"/>
      <c r="U34" s="98"/>
      <c r="V34" s="98"/>
      <c r="W34" s="98"/>
      <c r="X34" s="98"/>
      <c r="Y34" s="99"/>
      <c r="Z34" s="96">
        <f>SUM(IF(N34="X",$N$6*'Scoring Dropdowns'!$B$3,0),IF(O34="X",$O$6*'Scoring Dropdowns'!$B$3,0),IF(P34="X",$P$6*'Scoring Dropdowns'!$B$3,0),IF(Q34="X",$Q$6*'Scoring Dropdowns'!$B$3,0),IF(R34="X",$R$6*'Scoring Dropdowns'!$B$3,0),IF(S34="X",$S$6*'Scoring Dropdowns'!$B$3,0),IF(T34="X",$T$6*'Scoring Dropdowns'!$B$3,0),IF(U34="X",$U$6*'Scoring Dropdowns'!$B$3,0),IF(V34="X",$V$6*'Scoring Dropdowns'!$B$3,0),IF(W34="X",$W$6*'Scoring Dropdowns'!$B$3,0),IF(X34="X",$X$6*'Scoring Dropdowns'!$B$3,0),IF(Y34="X",$Y$6*'Scoring Dropdowns'!$B$3,0))</f>
        <v>15</v>
      </c>
      <c r="AA34" s="25"/>
      <c r="AB34" s="20" t="s">
        <v>14</v>
      </c>
      <c r="AC34" s="9" t="s">
        <v>15</v>
      </c>
      <c r="AD34" s="32">
        <f>IF(AB34="",0,IF(AB34='Scoring Dropdowns'!$A$8,'Scoring Dropdowns'!$B$8*'Original Concept List'!$AB$6*'Scoring Dropdowns'!$B$3,IF(AB34='Scoring Dropdowns'!$A$9,'Scoring Dropdowns'!$B$9*'Original Concept List'!$AB$6*'Scoring Dropdowns'!$B$3,IF(AB34='Scoring Dropdowns'!$A$10,'Scoring Dropdowns'!$B$10*'Original Concept List'!$AB$6*'Scoring Dropdowns'!$B$3,"Oops"))))+IF(AC34="",0,IF(AC34='Scoring Dropdowns'!$A$8,'Scoring Dropdowns'!$B$8*'Original Concept List'!$AC$6*'Scoring Dropdowns'!$B$3,IF(AC34='Scoring Dropdowns'!$A$9,'Scoring Dropdowns'!$B$9*'Original Concept List'!$AC$6*'Scoring Dropdowns'!$B$3,IF(AC34='Scoring Dropdowns'!$A$10,'Scoring Dropdowns'!$B$10*'Original Concept List'!$AC$6*'Scoring Dropdowns'!$B$3,"Oops"))))</f>
        <v>22.5</v>
      </c>
      <c r="AE34" s="25"/>
      <c r="AF34" s="37" t="s">
        <v>14</v>
      </c>
      <c r="AG34" s="204" t="s">
        <v>14</v>
      </c>
      <c r="AH34" s="12" t="s">
        <v>14</v>
      </c>
      <c r="AI34" s="32" t="s">
        <v>20</v>
      </c>
      <c r="AJ34" s="32">
        <f t="shared" si="0"/>
        <v>10</v>
      </c>
      <c r="AK34" s="25"/>
      <c r="AL34" s="15">
        <f t="shared" si="1"/>
        <v>47.5</v>
      </c>
      <c r="AM34" s="25"/>
      <c r="AN34" s="11" t="s">
        <v>15</v>
      </c>
      <c r="AO34" s="12" t="s">
        <v>14</v>
      </c>
      <c r="AP34" s="12" t="s">
        <v>14</v>
      </c>
      <c r="AQ34" s="12" t="s">
        <v>14</v>
      </c>
      <c r="AR34" s="32">
        <f>IF(AN34="",0,IF(AN34='Scoring Dropdowns'!$A$8,'Scoring Dropdowns'!$B$8*'Original Concept List'!$AN$6*'Scoring Dropdowns'!$B$4,IF(AN34='Scoring Dropdowns'!$A$9,'Scoring Dropdowns'!$B$9*'Original Concept List'!$AN$6*'Scoring Dropdowns'!$B$4,IF(AN34='Scoring Dropdowns'!$A$10,'Scoring Dropdowns'!$B$10*'Original Concept List'!$AN$6*'Scoring Dropdowns'!$B$4,"Oops"))))+IF(AO34="",0,IF(AO34='Scoring Dropdowns'!$A$8,'Scoring Dropdowns'!$B$8*'Original Concept List'!$AO$6*'Scoring Dropdowns'!$B$4,IF(AO34='Scoring Dropdowns'!$A$9,'Scoring Dropdowns'!$B$9*'Original Concept List'!$AO$6*'Scoring Dropdowns'!$B$4,IF(AO34='Scoring Dropdowns'!$A$10,'Scoring Dropdowns'!$B$10*'Original Concept List'!$AO$6*'Scoring Dropdowns'!$B$4,"Oops"))))+IF(AP34="",0,IF(AP34='Scoring Dropdowns'!$A$8,'Scoring Dropdowns'!$B$8*'Original Concept List'!$AP$6*'Scoring Dropdowns'!$B$4,IF(AP34='Scoring Dropdowns'!$A$9,'Scoring Dropdowns'!$B$9*'Original Concept List'!$AP$6*'Scoring Dropdowns'!$B$4,IF(AP34='Scoring Dropdowns'!$A$10,'Scoring Dropdowns'!$B$10*'Original Concept List'!$AP$6*'Scoring Dropdowns'!$B$4,"Oops"))))+IF(AQ34="",0,IF(AQ34='Scoring Dropdowns'!$A$8,'Scoring Dropdowns'!$B$8*'Original Concept List'!$AQ$6*'Scoring Dropdowns'!$B$4,IF(AQ34='Scoring Dropdowns'!$A$9,'Scoring Dropdowns'!$B$9*'Original Concept List'!$AQ$6*'Scoring Dropdowns'!$B$4,IF(AQ34='Scoring Dropdowns'!$A$10,'Scoring Dropdowns'!$B$10*'Original Concept List'!$AQ$6*'Scoring Dropdowns'!$B$4,"Oops"))))</f>
        <v>55</v>
      </c>
      <c r="AS34" s="26"/>
      <c r="AT34" s="26"/>
    </row>
    <row r="35" spans="1:46" ht="75" x14ac:dyDescent="0.25">
      <c r="A35" s="6">
        <v>28</v>
      </c>
      <c r="B35" s="77" t="s">
        <v>86</v>
      </c>
      <c r="C35" s="74" t="s">
        <v>112</v>
      </c>
      <c r="D35" s="6" t="s">
        <v>5</v>
      </c>
      <c r="E35" s="12" t="s">
        <v>32</v>
      </c>
      <c r="F35" s="3" t="s">
        <v>18</v>
      </c>
      <c r="G35" s="3" t="s">
        <v>23</v>
      </c>
      <c r="H35" s="3" t="s">
        <v>11</v>
      </c>
      <c r="I35" s="3" t="s">
        <v>42</v>
      </c>
      <c r="J35" s="7" t="s">
        <v>19</v>
      </c>
      <c r="K35" s="10"/>
      <c r="L35" s="10" t="s">
        <v>126</v>
      </c>
      <c r="M35" s="10"/>
      <c r="N35" s="97"/>
      <c r="O35" s="98"/>
      <c r="P35" s="98" t="s">
        <v>69</v>
      </c>
      <c r="Q35" s="98"/>
      <c r="R35" s="98"/>
      <c r="S35" s="98" t="s">
        <v>69</v>
      </c>
      <c r="T35" s="98"/>
      <c r="U35" s="98"/>
      <c r="V35" s="98"/>
      <c r="W35" s="98"/>
      <c r="X35" s="98"/>
      <c r="Y35" s="99"/>
      <c r="Z35" s="96">
        <f>SUM(IF(N35="X",$N$6*'Scoring Dropdowns'!$B$3,0),IF(O35="X",$O$6*'Scoring Dropdowns'!$B$3,0),IF(P35="X",$P$6*'Scoring Dropdowns'!$B$3,0),IF(Q35="X",$Q$6*'Scoring Dropdowns'!$B$3,0),IF(R35="X",$R$6*'Scoring Dropdowns'!$B$3,0),IF(S35="X",$S$6*'Scoring Dropdowns'!$B$3,0),IF(T35="X",$T$6*'Scoring Dropdowns'!$B$3,0),IF(U35="X",$U$6*'Scoring Dropdowns'!$B$3,0),IF(V35="X",$V$6*'Scoring Dropdowns'!$B$3,0),IF(W35="X",$W$6*'Scoring Dropdowns'!$B$3,0),IF(X35="X",$X$6*'Scoring Dropdowns'!$B$3,0),IF(Y35="X",$Y$6*'Scoring Dropdowns'!$B$3,0))</f>
        <v>15</v>
      </c>
      <c r="AA35" s="25"/>
      <c r="AB35" s="205" t="s">
        <v>14</v>
      </c>
      <c r="AC35" s="208" t="s">
        <v>15</v>
      </c>
      <c r="AD35" s="32">
        <f>IF(AB35="",0,IF(AB35='Scoring Dropdowns'!$A$8,'Scoring Dropdowns'!$B$8*'Original Concept List'!$AB$6*'Scoring Dropdowns'!$B$3,IF(AB35='Scoring Dropdowns'!$A$9,'Scoring Dropdowns'!$B$9*'Original Concept List'!$AB$6*'Scoring Dropdowns'!$B$3,IF(AB35='Scoring Dropdowns'!$A$10,'Scoring Dropdowns'!$B$10*'Original Concept List'!$AB$6*'Scoring Dropdowns'!$B$3,"Oops"))))+IF(AC35="",0,IF(AC35='Scoring Dropdowns'!$A$8,'Scoring Dropdowns'!$B$8*'Original Concept List'!$AC$6*'Scoring Dropdowns'!$B$3,IF(AC35='Scoring Dropdowns'!$A$9,'Scoring Dropdowns'!$B$9*'Original Concept List'!$AC$6*'Scoring Dropdowns'!$B$3,IF(AC35='Scoring Dropdowns'!$A$10,'Scoring Dropdowns'!$B$10*'Original Concept List'!$AC$6*'Scoring Dropdowns'!$B$3,"Oops"))))</f>
        <v>22.5</v>
      </c>
      <c r="AE35" s="25"/>
      <c r="AF35" s="210" t="s">
        <v>14</v>
      </c>
      <c r="AG35" s="204" t="s">
        <v>14</v>
      </c>
      <c r="AH35" s="12" t="s">
        <v>15</v>
      </c>
      <c r="AI35" s="209" t="s">
        <v>14</v>
      </c>
      <c r="AJ35" s="32">
        <f t="shared" si="0"/>
        <v>15</v>
      </c>
      <c r="AK35" s="25"/>
      <c r="AL35" s="15">
        <f t="shared" si="1"/>
        <v>52.5</v>
      </c>
      <c r="AM35" s="25"/>
      <c r="AN35" s="11" t="s">
        <v>15</v>
      </c>
      <c r="AO35" s="12" t="s">
        <v>14</v>
      </c>
      <c r="AP35" s="12" t="s">
        <v>14</v>
      </c>
      <c r="AQ35" s="12" t="s">
        <v>14</v>
      </c>
      <c r="AR35" s="32">
        <f>IF(AN35="",0,IF(AN35='Scoring Dropdowns'!$A$8,'Scoring Dropdowns'!$B$8*'Original Concept List'!$AN$6*'Scoring Dropdowns'!$B$4,IF(AN35='Scoring Dropdowns'!$A$9,'Scoring Dropdowns'!$B$9*'Original Concept List'!$AN$6*'Scoring Dropdowns'!$B$4,IF(AN35='Scoring Dropdowns'!$A$10,'Scoring Dropdowns'!$B$10*'Original Concept List'!$AN$6*'Scoring Dropdowns'!$B$4,"Oops"))))+IF(AO35="",0,IF(AO35='Scoring Dropdowns'!$A$8,'Scoring Dropdowns'!$B$8*'Original Concept List'!$AO$6*'Scoring Dropdowns'!$B$4,IF(AO35='Scoring Dropdowns'!$A$9,'Scoring Dropdowns'!$B$9*'Original Concept List'!$AO$6*'Scoring Dropdowns'!$B$4,IF(AO35='Scoring Dropdowns'!$A$10,'Scoring Dropdowns'!$B$10*'Original Concept List'!$AO$6*'Scoring Dropdowns'!$B$4,"Oops"))))+IF(AP35="",0,IF(AP35='Scoring Dropdowns'!$A$8,'Scoring Dropdowns'!$B$8*'Original Concept List'!$AP$6*'Scoring Dropdowns'!$B$4,IF(AP35='Scoring Dropdowns'!$A$9,'Scoring Dropdowns'!$B$9*'Original Concept List'!$AP$6*'Scoring Dropdowns'!$B$4,IF(AP35='Scoring Dropdowns'!$A$10,'Scoring Dropdowns'!$B$10*'Original Concept List'!$AP$6*'Scoring Dropdowns'!$B$4,"Oops"))))+IF(AQ35="",0,IF(AQ35='Scoring Dropdowns'!$A$8,'Scoring Dropdowns'!$B$8*'Original Concept List'!$AQ$6*'Scoring Dropdowns'!$B$4,IF(AQ35='Scoring Dropdowns'!$A$9,'Scoring Dropdowns'!$B$9*'Original Concept List'!$AQ$6*'Scoring Dropdowns'!$B$4,IF(AQ35='Scoring Dropdowns'!$A$10,'Scoring Dropdowns'!$B$10*'Original Concept List'!$AQ$6*'Scoring Dropdowns'!$B$4,"Oops"))))</f>
        <v>55</v>
      </c>
      <c r="AS35" s="26"/>
      <c r="AT35" s="26"/>
    </row>
    <row r="36" spans="1:46" ht="56.25" x14ac:dyDescent="0.25">
      <c r="A36" s="11">
        <v>29</v>
      </c>
      <c r="B36" s="77" t="s">
        <v>39</v>
      </c>
      <c r="C36" s="74" t="s">
        <v>115</v>
      </c>
      <c r="D36" s="6" t="s">
        <v>5</v>
      </c>
      <c r="E36" s="12" t="s">
        <v>32</v>
      </c>
      <c r="F36" s="3" t="s">
        <v>18</v>
      </c>
      <c r="G36" s="3" t="s">
        <v>23</v>
      </c>
      <c r="H36" s="3" t="s">
        <v>11</v>
      </c>
      <c r="I36" s="3" t="s">
        <v>42</v>
      </c>
      <c r="J36" s="7" t="s">
        <v>19</v>
      </c>
      <c r="K36" s="10"/>
      <c r="L36" s="10" t="s">
        <v>127</v>
      </c>
      <c r="M36" s="10"/>
      <c r="N36" s="97"/>
      <c r="O36" s="98"/>
      <c r="P36" s="98" t="s">
        <v>69</v>
      </c>
      <c r="Q36" s="98"/>
      <c r="R36" s="98"/>
      <c r="S36" s="98" t="s">
        <v>69</v>
      </c>
      <c r="T36" s="98"/>
      <c r="U36" s="98"/>
      <c r="V36" s="98" t="s">
        <v>69</v>
      </c>
      <c r="W36" s="98"/>
      <c r="X36" s="98"/>
      <c r="Y36" s="99" t="s">
        <v>69</v>
      </c>
      <c r="Z36" s="96">
        <f>SUM(IF(N36="X",$N$6*'Scoring Dropdowns'!$B$3,0),IF(O36="X",$O$6*'Scoring Dropdowns'!$B$3,0),IF(P36="X",$P$6*'Scoring Dropdowns'!$B$3,0),IF(Q36="X",$Q$6*'Scoring Dropdowns'!$B$3,0),IF(R36="X",$R$6*'Scoring Dropdowns'!$B$3,0),IF(S36="X",$S$6*'Scoring Dropdowns'!$B$3,0),IF(T36="X",$T$6*'Scoring Dropdowns'!$B$3,0),IF(U36="X",$U$6*'Scoring Dropdowns'!$B$3,0),IF(V36="X",$V$6*'Scoring Dropdowns'!$B$3,0),IF(W36="X",$W$6*'Scoring Dropdowns'!$B$3,0),IF(X36="X",$X$6*'Scoring Dropdowns'!$B$3,0),IF(Y36="X",$Y$6*'Scoring Dropdowns'!$B$3,0))</f>
        <v>35</v>
      </c>
      <c r="AA36" s="25"/>
      <c r="AB36" s="20" t="s">
        <v>20</v>
      </c>
      <c r="AC36" s="9" t="s">
        <v>14</v>
      </c>
      <c r="AD36" s="32">
        <f>IF(AB36="",0,IF(AB36='Scoring Dropdowns'!$A$8,'Scoring Dropdowns'!$B$8*'Original Concept List'!$AB$6*'Scoring Dropdowns'!$B$3,IF(AB36='Scoring Dropdowns'!$A$9,'Scoring Dropdowns'!$B$9*'Original Concept List'!$AB$6*'Scoring Dropdowns'!$B$3,IF(AB36='Scoring Dropdowns'!$A$10,'Scoring Dropdowns'!$B$10*'Original Concept List'!$AB$6*'Scoring Dropdowns'!$B$3,"Oops"))))+IF(AC36="",0,IF(AC36='Scoring Dropdowns'!$A$8,'Scoring Dropdowns'!$B$8*'Original Concept List'!$AC$6*'Scoring Dropdowns'!$B$3,IF(AC36='Scoring Dropdowns'!$A$9,'Scoring Dropdowns'!$B$9*'Original Concept List'!$AC$6*'Scoring Dropdowns'!$B$3,IF(AC36='Scoring Dropdowns'!$A$10,'Scoring Dropdowns'!$B$10*'Original Concept List'!$AC$6*'Scoring Dropdowns'!$B$3,"Oops"))))</f>
        <v>7.5</v>
      </c>
      <c r="AE36" s="25"/>
      <c r="AF36" s="37" t="s">
        <v>20</v>
      </c>
      <c r="AG36" s="14" t="s">
        <v>14</v>
      </c>
      <c r="AH36" s="12" t="s">
        <v>14</v>
      </c>
      <c r="AI36" s="209" t="s">
        <v>14</v>
      </c>
      <c r="AJ36" s="32">
        <f t="shared" si="0"/>
        <v>10</v>
      </c>
      <c r="AK36" s="25"/>
      <c r="AL36" s="15">
        <f t="shared" si="1"/>
        <v>52.5</v>
      </c>
      <c r="AM36" s="25"/>
      <c r="AN36" s="11" t="s">
        <v>15</v>
      </c>
      <c r="AO36" s="12" t="s">
        <v>14</v>
      </c>
      <c r="AP36" s="12" t="s">
        <v>14</v>
      </c>
      <c r="AQ36" s="12" t="s">
        <v>14</v>
      </c>
      <c r="AR36" s="32">
        <f>IF(AN36="",0,IF(AN36='Scoring Dropdowns'!$A$8,'Scoring Dropdowns'!$B$8*'Original Concept List'!$AN$6*'Scoring Dropdowns'!$B$4,IF(AN36='Scoring Dropdowns'!$A$9,'Scoring Dropdowns'!$B$9*'Original Concept List'!$AN$6*'Scoring Dropdowns'!$B$4,IF(AN36='Scoring Dropdowns'!$A$10,'Scoring Dropdowns'!$B$10*'Original Concept List'!$AN$6*'Scoring Dropdowns'!$B$4,"Oops"))))+IF(AO36="",0,IF(AO36='Scoring Dropdowns'!$A$8,'Scoring Dropdowns'!$B$8*'Original Concept List'!$AO$6*'Scoring Dropdowns'!$B$4,IF(AO36='Scoring Dropdowns'!$A$9,'Scoring Dropdowns'!$B$9*'Original Concept List'!$AO$6*'Scoring Dropdowns'!$B$4,IF(AO36='Scoring Dropdowns'!$A$10,'Scoring Dropdowns'!$B$10*'Original Concept List'!$AO$6*'Scoring Dropdowns'!$B$4,"Oops"))))+IF(AP36="",0,IF(AP36='Scoring Dropdowns'!$A$8,'Scoring Dropdowns'!$B$8*'Original Concept List'!$AP$6*'Scoring Dropdowns'!$B$4,IF(AP36='Scoring Dropdowns'!$A$9,'Scoring Dropdowns'!$B$9*'Original Concept List'!$AP$6*'Scoring Dropdowns'!$B$4,IF(AP36='Scoring Dropdowns'!$A$10,'Scoring Dropdowns'!$B$10*'Original Concept List'!$AP$6*'Scoring Dropdowns'!$B$4,"Oops"))))+IF(AQ36="",0,IF(AQ36='Scoring Dropdowns'!$A$8,'Scoring Dropdowns'!$B$8*'Original Concept List'!$AQ$6*'Scoring Dropdowns'!$B$4,IF(AQ36='Scoring Dropdowns'!$A$9,'Scoring Dropdowns'!$B$9*'Original Concept List'!$AQ$6*'Scoring Dropdowns'!$B$4,IF(AQ36='Scoring Dropdowns'!$A$10,'Scoring Dropdowns'!$B$10*'Original Concept List'!$AQ$6*'Scoring Dropdowns'!$B$4,"Oops"))))</f>
        <v>55</v>
      </c>
      <c r="AS36" s="26"/>
      <c r="AT36" s="26"/>
    </row>
    <row r="37" spans="1:46" ht="75" x14ac:dyDescent="0.25">
      <c r="A37" s="6">
        <v>30</v>
      </c>
      <c r="B37" s="77" t="s">
        <v>56</v>
      </c>
      <c r="C37" s="75" t="s">
        <v>151</v>
      </c>
      <c r="D37" s="6" t="s">
        <v>5</v>
      </c>
      <c r="E37" s="12" t="s">
        <v>32</v>
      </c>
      <c r="F37" s="3" t="s">
        <v>9</v>
      </c>
      <c r="G37" s="3" t="s">
        <v>10</v>
      </c>
      <c r="H37" s="3" t="s">
        <v>11</v>
      </c>
      <c r="I37" s="3" t="s">
        <v>46</v>
      </c>
      <c r="J37" s="7" t="s">
        <v>19</v>
      </c>
      <c r="K37" s="10"/>
      <c r="L37" s="10" t="s">
        <v>126</v>
      </c>
      <c r="M37" s="10"/>
      <c r="N37" s="97" t="s">
        <v>69</v>
      </c>
      <c r="O37" s="98" t="s">
        <v>69</v>
      </c>
      <c r="P37" s="98" t="s">
        <v>69</v>
      </c>
      <c r="Q37" s="98" t="s">
        <v>69</v>
      </c>
      <c r="R37" s="98" t="s">
        <v>69</v>
      </c>
      <c r="S37" s="98"/>
      <c r="T37" s="98"/>
      <c r="U37" s="98"/>
      <c r="V37" s="98" t="s">
        <v>69</v>
      </c>
      <c r="W37" s="98" t="s">
        <v>69</v>
      </c>
      <c r="X37" s="98" t="s">
        <v>69</v>
      </c>
      <c r="Y37" s="99"/>
      <c r="Z37" s="96">
        <f>SUM(IF(N37="X",$N$6*'Scoring Dropdowns'!$B$3,0),IF(O37="X",$O$6*'Scoring Dropdowns'!$B$3,0),IF(P37="X",$P$6*'Scoring Dropdowns'!$B$3,0),IF(Q37="X",$Q$6*'Scoring Dropdowns'!$B$3,0),IF(R37="X",$R$6*'Scoring Dropdowns'!$B$3,0),IF(S37="X",$S$6*'Scoring Dropdowns'!$B$3,0),IF(T37="X",$T$6*'Scoring Dropdowns'!$B$3,0),IF(U37="X",$U$6*'Scoring Dropdowns'!$B$3,0),IF(V37="X",$V$6*'Scoring Dropdowns'!$B$3,0),IF(W37="X",$W$6*'Scoring Dropdowns'!$B$3,0),IF(X37="X",$X$6*'Scoring Dropdowns'!$B$3,0),IF(Y37="X",$Y$6*'Scoring Dropdowns'!$B$3,0))</f>
        <v>20</v>
      </c>
      <c r="AA37" s="25"/>
      <c r="AB37" s="20" t="s">
        <v>14</v>
      </c>
      <c r="AC37" s="9" t="s">
        <v>15</v>
      </c>
      <c r="AD37" s="32">
        <f>IF(AB37="",0,IF(AB37='Scoring Dropdowns'!$A$8,'Scoring Dropdowns'!$B$8*'Original Concept List'!$AB$6*'Scoring Dropdowns'!$B$3,IF(AB37='Scoring Dropdowns'!$A$9,'Scoring Dropdowns'!$B$9*'Original Concept List'!$AB$6*'Scoring Dropdowns'!$B$3,IF(AB37='Scoring Dropdowns'!$A$10,'Scoring Dropdowns'!$B$10*'Original Concept List'!$AB$6*'Scoring Dropdowns'!$B$3,"Oops"))))+IF(AC37="",0,IF(AC37='Scoring Dropdowns'!$A$8,'Scoring Dropdowns'!$B$8*'Original Concept List'!$AC$6*'Scoring Dropdowns'!$B$3,IF(AC37='Scoring Dropdowns'!$A$9,'Scoring Dropdowns'!$B$9*'Original Concept List'!$AC$6*'Scoring Dropdowns'!$B$3,IF(AC37='Scoring Dropdowns'!$A$10,'Scoring Dropdowns'!$B$10*'Original Concept List'!$AC$6*'Scoring Dropdowns'!$B$3,"Oops"))))</f>
        <v>22.5</v>
      </c>
      <c r="AE37" s="25"/>
      <c r="AF37" s="37" t="s">
        <v>14</v>
      </c>
      <c r="AG37" s="14" t="s">
        <v>14</v>
      </c>
      <c r="AH37" s="12" t="s">
        <v>14</v>
      </c>
      <c r="AI37" s="32" t="s">
        <v>15</v>
      </c>
      <c r="AJ37" s="32">
        <f t="shared" si="0"/>
        <v>20</v>
      </c>
      <c r="AK37" s="25"/>
      <c r="AL37" s="15">
        <f t="shared" si="1"/>
        <v>62.5</v>
      </c>
      <c r="AM37" s="25"/>
      <c r="AN37" s="11" t="s">
        <v>14</v>
      </c>
      <c r="AO37" s="12" t="s">
        <v>14</v>
      </c>
      <c r="AP37" s="12" t="s">
        <v>14</v>
      </c>
      <c r="AQ37" s="12" t="s">
        <v>14</v>
      </c>
      <c r="AR37" s="32">
        <f>IF(AN37="",0,IF(AN37='Scoring Dropdowns'!$A$8,'Scoring Dropdowns'!$B$8*'Original Concept List'!$AN$6*'Scoring Dropdowns'!$B$4,IF(AN37='Scoring Dropdowns'!$A$9,'Scoring Dropdowns'!$B$9*'Original Concept List'!$AN$6*'Scoring Dropdowns'!$B$4,IF(AN37='Scoring Dropdowns'!$A$10,'Scoring Dropdowns'!$B$10*'Original Concept List'!$AN$6*'Scoring Dropdowns'!$B$4,"Oops"))))+IF(AO37="",0,IF(AO37='Scoring Dropdowns'!$A$8,'Scoring Dropdowns'!$B$8*'Original Concept List'!$AO$6*'Scoring Dropdowns'!$B$4,IF(AO37='Scoring Dropdowns'!$A$9,'Scoring Dropdowns'!$B$9*'Original Concept List'!$AO$6*'Scoring Dropdowns'!$B$4,IF(AO37='Scoring Dropdowns'!$A$10,'Scoring Dropdowns'!$B$10*'Original Concept List'!$AO$6*'Scoring Dropdowns'!$B$4,"Oops"))))+IF(AP37="",0,IF(AP37='Scoring Dropdowns'!$A$8,'Scoring Dropdowns'!$B$8*'Original Concept List'!$AP$6*'Scoring Dropdowns'!$B$4,IF(AP37='Scoring Dropdowns'!$A$9,'Scoring Dropdowns'!$B$9*'Original Concept List'!$AP$6*'Scoring Dropdowns'!$B$4,IF(AP37='Scoring Dropdowns'!$A$10,'Scoring Dropdowns'!$B$10*'Original Concept List'!$AP$6*'Scoring Dropdowns'!$B$4,"Oops"))))+IF(AQ37="",0,IF(AQ37='Scoring Dropdowns'!$A$8,'Scoring Dropdowns'!$B$8*'Original Concept List'!$AQ$6*'Scoring Dropdowns'!$B$4,IF(AQ37='Scoring Dropdowns'!$A$9,'Scoring Dropdowns'!$B$9*'Original Concept List'!$AQ$6*'Scoring Dropdowns'!$B$4,IF(AQ37='Scoring Dropdowns'!$A$10,'Scoring Dropdowns'!$B$10*'Original Concept List'!$AQ$6*'Scoring Dropdowns'!$B$4,"Oops"))))</f>
        <v>50</v>
      </c>
      <c r="AS37" s="26"/>
      <c r="AT37" s="26"/>
    </row>
    <row r="38" spans="1:46" ht="37.5" x14ac:dyDescent="0.25">
      <c r="A38" s="11">
        <v>31</v>
      </c>
      <c r="B38" s="77" t="s">
        <v>31</v>
      </c>
      <c r="C38" s="74" t="s">
        <v>34</v>
      </c>
      <c r="D38" s="6" t="s">
        <v>5</v>
      </c>
      <c r="E38" s="12" t="s">
        <v>32</v>
      </c>
      <c r="F38" s="3" t="s">
        <v>18</v>
      </c>
      <c r="G38" s="3" t="s">
        <v>10</v>
      </c>
      <c r="H38" s="3" t="s">
        <v>11</v>
      </c>
      <c r="I38" s="3" t="s">
        <v>46</v>
      </c>
      <c r="J38" s="7" t="s">
        <v>37</v>
      </c>
      <c r="K38" s="10"/>
      <c r="L38" s="27" t="s">
        <v>127</v>
      </c>
      <c r="M38" s="10"/>
      <c r="N38" s="97"/>
      <c r="O38" s="98"/>
      <c r="P38" s="98"/>
      <c r="Q38" s="98"/>
      <c r="R38" s="98"/>
      <c r="S38" s="98"/>
      <c r="T38" s="98"/>
      <c r="U38" s="98"/>
      <c r="V38" s="98"/>
      <c r="W38" s="98"/>
      <c r="X38" s="98"/>
      <c r="Y38" s="99"/>
      <c r="Z38" s="96">
        <f>SUM(IF(N38="X",$N$6*'Scoring Dropdowns'!$B$3,0),IF(O38="X",$O$6*'Scoring Dropdowns'!$B$3,0),IF(P38="X",$P$6*'Scoring Dropdowns'!$B$3,0),IF(Q38="X",$Q$6*'Scoring Dropdowns'!$B$3,0),IF(R38="X",$R$6*'Scoring Dropdowns'!$B$3,0),IF(S38="X",$S$6*'Scoring Dropdowns'!$B$3,0),IF(T38="X",$T$6*'Scoring Dropdowns'!$B$3,0),IF(U38="X",$U$6*'Scoring Dropdowns'!$B$3,0),IF(V38="X",$V$6*'Scoring Dropdowns'!$B$3,0),IF(W38="X",$W$6*'Scoring Dropdowns'!$B$3,0),IF(X38="X",$X$6*'Scoring Dropdowns'!$B$3,0),IF(Y38="X",$Y$6*'Scoring Dropdowns'!$B$3,0))</f>
        <v>0</v>
      </c>
      <c r="AA38" s="25"/>
      <c r="AB38" s="20" t="s">
        <v>20</v>
      </c>
      <c r="AC38" s="9" t="s">
        <v>20</v>
      </c>
      <c r="AD38" s="32">
        <f>IF(AB38="",0,IF(AB38='Scoring Dropdowns'!$A$8,'Scoring Dropdowns'!$B$8*'Original Concept List'!$AB$6*'Scoring Dropdowns'!$B$3,IF(AB38='Scoring Dropdowns'!$A$9,'Scoring Dropdowns'!$B$9*'Original Concept List'!$AB$6*'Scoring Dropdowns'!$B$3,IF(AB38='Scoring Dropdowns'!$A$10,'Scoring Dropdowns'!$B$10*'Original Concept List'!$AB$6*'Scoring Dropdowns'!$B$3,"Oops"))))+IF(AC38="",0,IF(AC38='Scoring Dropdowns'!$A$8,'Scoring Dropdowns'!$B$8*'Original Concept List'!$AC$6*'Scoring Dropdowns'!$B$3,IF(AC38='Scoring Dropdowns'!$A$9,'Scoring Dropdowns'!$B$9*'Original Concept List'!$AC$6*'Scoring Dropdowns'!$B$3,IF(AC38='Scoring Dropdowns'!$A$10,'Scoring Dropdowns'!$B$10*'Original Concept List'!$AC$6*'Scoring Dropdowns'!$B$3,"Oops"))))</f>
        <v>0</v>
      </c>
      <c r="AE38" s="25"/>
      <c r="AF38" s="37" t="s">
        <v>20</v>
      </c>
      <c r="AG38" s="14" t="s">
        <v>14</v>
      </c>
      <c r="AH38" s="12" t="s">
        <v>20</v>
      </c>
      <c r="AI38" s="32" t="s">
        <v>20</v>
      </c>
      <c r="AJ38" s="32">
        <f t="shared" si="0"/>
        <v>5</v>
      </c>
      <c r="AK38" s="25"/>
      <c r="AL38" s="15">
        <f t="shared" si="1"/>
        <v>5</v>
      </c>
      <c r="AM38" s="25"/>
      <c r="AN38" s="11" t="s">
        <v>20</v>
      </c>
      <c r="AO38" s="12" t="s">
        <v>14</v>
      </c>
      <c r="AP38" s="12" t="s">
        <v>20</v>
      </c>
      <c r="AQ38" s="12" t="s">
        <v>14</v>
      </c>
      <c r="AR38" s="32">
        <f>IF(AN38="",0,IF(AN38='Scoring Dropdowns'!$A$8,'Scoring Dropdowns'!$B$8*'Original Concept List'!$AN$6*'Scoring Dropdowns'!$B$4,IF(AN38='Scoring Dropdowns'!$A$9,'Scoring Dropdowns'!$B$9*'Original Concept List'!$AN$6*'Scoring Dropdowns'!$B$4,IF(AN38='Scoring Dropdowns'!$A$10,'Scoring Dropdowns'!$B$10*'Original Concept List'!$AN$6*'Scoring Dropdowns'!$B$4,"Oops"))))+IF(AO38="",0,IF(AO38='Scoring Dropdowns'!$A$8,'Scoring Dropdowns'!$B$8*'Original Concept List'!$AO$6*'Scoring Dropdowns'!$B$4,IF(AO38='Scoring Dropdowns'!$A$9,'Scoring Dropdowns'!$B$9*'Original Concept List'!$AO$6*'Scoring Dropdowns'!$B$4,IF(AO38='Scoring Dropdowns'!$A$10,'Scoring Dropdowns'!$B$10*'Original Concept List'!$AO$6*'Scoring Dropdowns'!$B$4,"Oops"))))+IF(AP38="",0,IF(AP38='Scoring Dropdowns'!$A$8,'Scoring Dropdowns'!$B$8*'Original Concept List'!$AP$6*'Scoring Dropdowns'!$B$4,IF(AP38='Scoring Dropdowns'!$A$9,'Scoring Dropdowns'!$B$9*'Original Concept List'!$AP$6*'Scoring Dropdowns'!$B$4,IF(AP38='Scoring Dropdowns'!$A$10,'Scoring Dropdowns'!$B$10*'Original Concept List'!$AP$6*'Scoring Dropdowns'!$B$4,"Oops"))))+IF(AQ38="",0,IF(AQ38='Scoring Dropdowns'!$A$8,'Scoring Dropdowns'!$B$8*'Original Concept List'!$AQ$6*'Scoring Dropdowns'!$B$4,IF(AQ38='Scoring Dropdowns'!$A$9,'Scoring Dropdowns'!$B$9*'Original Concept List'!$AQ$6*'Scoring Dropdowns'!$B$4,IF(AQ38='Scoring Dropdowns'!$A$10,'Scoring Dropdowns'!$B$10*'Original Concept List'!$AQ$6*'Scoring Dropdowns'!$B$4,"Oops"))))</f>
        <v>35</v>
      </c>
      <c r="AS38" s="26"/>
      <c r="AT38" s="26"/>
    </row>
    <row r="39" spans="1:46" ht="75" x14ac:dyDescent="0.25">
      <c r="A39" s="6">
        <v>32</v>
      </c>
      <c r="B39" s="77" t="s">
        <v>89</v>
      </c>
      <c r="C39" s="74" t="s">
        <v>116</v>
      </c>
      <c r="D39" s="6" t="s">
        <v>5</v>
      </c>
      <c r="E39" s="12" t="s">
        <v>32</v>
      </c>
      <c r="F39" s="3" t="s">
        <v>18</v>
      </c>
      <c r="G39" s="3" t="s">
        <v>23</v>
      </c>
      <c r="H39" s="3" t="s">
        <v>11</v>
      </c>
      <c r="I39" s="3" t="s">
        <v>46</v>
      </c>
      <c r="J39" s="7" t="s">
        <v>19</v>
      </c>
      <c r="K39" s="10"/>
      <c r="L39" s="10" t="s">
        <v>128</v>
      </c>
      <c r="M39" s="10"/>
      <c r="N39" s="97"/>
      <c r="O39" s="98"/>
      <c r="P39" s="98" t="s">
        <v>69</v>
      </c>
      <c r="Q39" s="98"/>
      <c r="R39" s="98"/>
      <c r="S39" s="98" t="s">
        <v>69</v>
      </c>
      <c r="T39" s="98"/>
      <c r="U39" s="98"/>
      <c r="V39" s="98"/>
      <c r="W39" s="98"/>
      <c r="X39" s="98"/>
      <c r="Y39" s="99"/>
      <c r="Z39" s="96">
        <f>SUM(IF(N39="X",$N$6*'Scoring Dropdowns'!$B$3,0),IF(O39="X",$O$6*'Scoring Dropdowns'!$B$3,0),IF(P39="X",$P$6*'Scoring Dropdowns'!$B$3,0),IF(Q39="X",$Q$6*'Scoring Dropdowns'!$B$3,0),IF(R39="X",$R$6*'Scoring Dropdowns'!$B$3,0),IF(S39="X",$S$6*'Scoring Dropdowns'!$B$3,0),IF(T39="X",$T$6*'Scoring Dropdowns'!$B$3,0),IF(U39="X",$U$6*'Scoring Dropdowns'!$B$3,0),IF(V39="X",$V$6*'Scoring Dropdowns'!$B$3,0),IF(W39="X",$W$6*'Scoring Dropdowns'!$B$3,0),IF(X39="X",$X$6*'Scoring Dropdowns'!$B$3,0),IF(Y39="X",$Y$6*'Scoring Dropdowns'!$B$3,0))</f>
        <v>15</v>
      </c>
      <c r="AA39" s="25"/>
      <c r="AB39" s="20" t="s">
        <v>20</v>
      </c>
      <c r="AC39" s="9" t="s">
        <v>14</v>
      </c>
      <c r="AD39" s="32">
        <f>IF(AB39="",0,IF(AB39='Scoring Dropdowns'!$A$8,'Scoring Dropdowns'!$B$8*'Original Concept List'!$AB$6*'Scoring Dropdowns'!$B$3,IF(AB39='Scoring Dropdowns'!$A$9,'Scoring Dropdowns'!$B$9*'Original Concept List'!$AB$6*'Scoring Dropdowns'!$B$3,IF(AB39='Scoring Dropdowns'!$A$10,'Scoring Dropdowns'!$B$10*'Original Concept List'!$AB$6*'Scoring Dropdowns'!$B$3,"Oops"))))+IF(AC39="",0,IF(AC39='Scoring Dropdowns'!$A$8,'Scoring Dropdowns'!$B$8*'Original Concept List'!$AC$6*'Scoring Dropdowns'!$B$3,IF(AC39='Scoring Dropdowns'!$A$9,'Scoring Dropdowns'!$B$9*'Original Concept List'!$AC$6*'Scoring Dropdowns'!$B$3,IF(AC39='Scoring Dropdowns'!$A$10,'Scoring Dropdowns'!$B$10*'Original Concept List'!$AC$6*'Scoring Dropdowns'!$B$3,"Oops"))))</f>
        <v>7.5</v>
      </c>
      <c r="AE39" s="25"/>
      <c r="AF39" s="210" t="s">
        <v>20</v>
      </c>
      <c r="AG39" s="204" t="s">
        <v>20</v>
      </c>
      <c r="AH39" s="12" t="s">
        <v>20</v>
      </c>
      <c r="AI39" s="32" t="s">
        <v>20</v>
      </c>
      <c r="AJ39" s="32">
        <f t="shared" si="0"/>
        <v>0</v>
      </c>
      <c r="AK39" s="25"/>
      <c r="AL39" s="15">
        <f t="shared" si="1"/>
        <v>22.5</v>
      </c>
      <c r="AM39" s="25"/>
      <c r="AN39" s="11" t="s">
        <v>14</v>
      </c>
      <c r="AO39" s="12" t="s">
        <v>20</v>
      </c>
      <c r="AP39" s="12" t="s">
        <v>14</v>
      </c>
      <c r="AQ39" s="12" t="s">
        <v>14</v>
      </c>
      <c r="AR39" s="32">
        <f>IF(AN39="",0,IF(AN39='Scoring Dropdowns'!$A$8,'Scoring Dropdowns'!$B$8*'Original Concept List'!$AN$6*'Scoring Dropdowns'!$B$4,IF(AN39='Scoring Dropdowns'!$A$9,'Scoring Dropdowns'!$B$9*'Original Concept List'!$AN$6*'Scoring Dropdowns'!$B$4,IF(AN39='Scoring Dropdowns'!$A$10,'Scoring Dropdowns'!$B$10*'Original Concept List'!$AN$6*'Scoring Dropdowns'!$B$4,"Oops"))))+IF(AO39="",0,IF(AO39='Scoring Dropdowns'!$A$8,'Scoring Dropdowns'!$B$8*'Original Concept List'!$AO$6*'Scoring Dropdowns'!$B$4,IF(AO39='Scoring Dropdowns'!$A$9,'Scoring Dropdowns'!$B$9*'Original Concept List'!$AO$6*'Scoring Dropdowns'!$B$4,IF(AO39='Scoring Dropdowns'!$A$10,'Scoring Dropdowns'!$B$10*'Original Concept List'!$AO$6*'Scoring Dropdowns'!$B$4,"Oops"))))+IF(AP39="",0,IF(AP39='Scoring Dropdowns'!$A$8,'Scoring Dropdowns'!$B$8*'Original Concept List'!$AP$6*'Scoring Dropdowns'!$B$4,IF(AP39='Scoring Dropdowns'!$A$9,'Scoring Dropdowns'!$B$9*'Original Concept List'!$AP$6*'Scoring Dropdowns'!$B$4,IF(AP39='Scoring Dropdowns'!$A$10,'Scoring Dropdowns'!$B$10*'Original Concept List'!$AP$6*'Scoring Dropdowns'!$B$4,"Oops"))))+IF(AQ39="",0,IF(AQ39='Scoring Dropdowns'!$A$8,'Scoring Dropdowns'!$B$8*'Original Concept List'!$AQ$6*'Scoring Dropdowns'!$B$4,IF(AQ39='Scoring Dropdowns'!$A$9,'Scoring Dropdowns'!$B$9*'Original Concept List'!$AQ$6*'Scoring Dropdowns'!$B$4,IF(AQ39='Scoring Dropdowns'!$A$10,'Scoring Dropdowns'!$B$10*'Original Concept List'!$AQ$6*'Scoring Dropdowns'!$B$4,"Oops"))))</f>
        <v>30</v>
      </c>
      <c r="AS39" s="26"/>
      <c r="AT39" s="26"/>
    </row>
    <row r="40" spans="1:46" ht="56.25" x14ac:dyDescent="0.25">
      <c r="A40" s="11">
        <v>33</v>
      </c>
      <c r="B40" s="77" t="s">
        <v>30</v>
      </c>
      <c r="C40" s="74" t="s">
        <v>117</v>
      </c>
      <c r="D40" s="6" t="s">
        <v>5</v>
      </c>
      <c r="E40" s="12" t="s">
        <v>32</v>
      </c>
      <c r="F40" s="3" t="s">
        <v>18</v>
      </c>
      <c r="G40" s="3" t="s">
        <v>23</v>
      </c>
      <c r="H40" s="3" t="s">
        <v>11</v>
      </c>
      <c r="I40" s="3" t="s">
        <v>43</v>
      </c>
      <c r="J40" s="7" t="s">
        <v>19</v>
      </c>
      <c r="K40" s="10"/>
      <c r="L40" s="10" t="s">
        <v>125</v>
      </c>
      <c r="M40" s="10"/>
      <c r="N40" s="97"/>
      <c r="O40" s="98"/>
      <c r="P40" s="98" t="s">
        <v>69</v>
      </c>
      <c r="Q40" s="98"/>
      <c r="R40" s="98"/>
      <c r="S40" s="98"/>
      <c r="T40" s="98"/>
      <c r="U40" s="98"/>
      <c r="V40" s="98"/>
      <c r="W40" s="98"/>
      <c r="X40" s="98"/>
      <c r="Y40" s="99"/>
      <c r="Z40" s="96">
        <f>SUM(IF(N40="X",$N$6*'Scoring Dropdowns'!$B$3,0),IF(O40="X",$O$6*'Scoring Dropdowns'!$B$3,0),IF(P40="X",$P$6*'Scoring Dropdowns'!$B$3,0),IF(Q40="X",$Q$6*'Scoring Dropdowns'!$B$3,0),IF(R40="X",$R$6*'Scoring Dropdowns'!$B$3,0),IF(S40="X",$S$6*'Scoring Dropdowns'!$B$3,0),IF(T40="X",$T$6*'Scoring Dropdowns'!$B$3,0),IF(U40="X",$U$6*'Scoring Dropdowns'!$B$3,0),IF(V40="X",$V$6*'Scoring Dropdowns'!$B$3,0),IF(W40="X",$W$6*'Scoring Dropdowns'!$B$3,0),IF(X40="X",$X$6*'Scoring Dropdowns'!$B$3,0),IF(Y40="X",$Y$6*'Scoring Dropdowns'!$B$3,0))</f>
        <v>15</v>
      </c>
      <c r="AA40" s="25"/>
      <c r="AB40" s="20" t="s">
        <v>14</v>
      </c>
      <c r="AC40" s="9" t="s">
        <v>15</v>
      </c>
      <c r="AD40" s="32">
        <f>IF(AB40="",0,IF(AB40='Scoring Dropdowns'!$A$8,'Scoring Dropdowns'!$B$8*'Original Concept List'!$AB$6*'Scoring Dropdowns'!$B$3,IF(AB40='Scoring Dropdowns'!$A$9,'Scoring Dropdowns'!$B$9*'Original Concept List'!$AB$6*'Scoring Dropdowns'!$B$3,IF(AB40='Scoring Dropdowns'!$A$10,'Scoring Dropdowns'!$B$10*'Original Concept List'!$AB$6*'Scoring Dropdowns'!$B$3,"Oops"))))+IF(AC40="",0,IF(AC40='Scoring Dropdowns'!$A$8,'Scoring Dropdowns'!$B$8*'Original Concept List'!$AC$6*'Scoring Dropdowns'!$B$3,IF(AC40='Scoring Dropdowns'!$A$9,'Scoring Dropdowns'!$B$9*'Original Concept List'!$AC$6*'Scoring Dropdowns'!$B$3,IF(AC40='Scoring Dropdowns'!$A$10,'Scoring Dropdowns'!$B$10*'Original Concept List'!$AC$6*'Scoring Dropdowns'!$B$3,"Oops"))))</f>
        <v>22.5</v>
      </c>
      <c r="AE40" s="25"/>
      <c r="AF40" s="37" t="s">
        <v>20</v>
      </c>
      <c r="AG40" s="14" t="s">
        <v>14</v>
      </c>
      <c r="AH40" s="12" t="s">
        <v>15</v>
      </c>
      <c r="AI40" s="209" t="s">
        <v>14</v>
      </c>
      <c r="AJ40" s="32">
        <f t="shared" si="0"/>
        <v>10</v>
      </c>
      <c r="AK40" s="25"/>
      <c r="AL40" s="15">
        <f t="shared" si="1"/>
        <v>47.5</v>
      </c>
      <c r="AM40" s="25"/>
      <c r="AN40" s="11" t="s">
        <v>15</v>
      </c>
      <c r="AO40" s="12" t="s">
        <v>15</v>
      </c>
      <c r="AP40" s="12" t="s">
        <v>15</v>
      </c>
      <c r="AQ40" s="12" t="s">
        <v>15</v>
      </c>
      <c r="AR40" s="32">
        <f>IF(AN40="",0,IF(AN40='Scoring Dropdowns'!$A$8,'Scoring Dropdowns'!$B$8*'Original Concept List'!$AN$6*'Scoring Dropdowns'!$B$4,IF(AN40='Scoring Dropdowns'!$A$9,'Scoring Dropdowns'!$B$9*'Original Concept List'!$AN$6*'Scoring Dropdowns'!$B$4,IF(AN40='Scoring Dropdowns'!$A$10,'Scoring Dropdowns'!$B$10*'Original Concept List'!$AN$6*'Scoring Dropdowns'!$B$4,"Oops"))))+IF(AO40="",0,IF(AO40='Scoring Dropdowns'!$A$8,'Scoring Dropdowns'!$B$8*'Original Concept List'!$AO$6*'Scoring Dropdowns'!$B$4,IF(AO40='Scoring Dropdowns'!$A$9,'Scoring Dropdowns'!$B$9*'Original Concept List'!$AO$6*'Scoring Dropdowns'!$B$4,IF(AO40='Scoring Dropdowns'!$A$10,'Scoring Dropdowns'!$B$10*'Original Concept List'!$AO$6*'Scoring Dropdowns'!$B$4,"Oops"))))+IF(AP40="",0,IF(AP40='Scoring Dropdowns'!$A$8,'Scoring Dropdowns'!$B$8*'Original Concept List'!$AP$6*'Scoring Dropdowns'!$B$4,IF(AP40='Scoring Dropdowns'!$A$9,'Scoring Dropdowns'!$B$9*'Original Concept List'!$AP$6*'Scoring Dropdowns'!$B$4,IF(AP40='Scoring Dropdowns'!$A$10,'Scoring Dropdowns'!$B$10*'Original Concept List'!$AP$6*'Scoring Dropdowns'!$B$4,"Oops"))))+IF(AQ40="",0,IF(AQ40='Scoring Dropdowns'!$A$8,'Scoring Dropdowns'!$B$8*'Original Concept List'!$AQ$6*'Scoring Dropdowns'!$B$4,IF(AQ40='Scoring Dropdowns'!$A$9,'Scoring Dropdowns'!$B$9*'Original Concept List'!$AQ$6*'Scoring Dropdowns'!$B$4,IF(AQ40='Scoring Dropdowns'!$A$10,'Scoring Dropdowns'!$B$10*'Original Concept List'!$AQ$6*'Scoring Dropdowns'!$B$4,"Oops"))))</f>
        <v>100</v>
      </c>
      <c r="AS40" s="26"/>
      <c r="AT40" s="26"/>
    </row>
    <row r="41" spans="1:46" ht="75" x14ac:dyDescent="0.25">
      <c r="A41" s="6">
        <v>34</v>
      </c>
      <c r="B41" s="77" t="s">
        <v>87</v>
      </c>
      <c r="C41" s="74" t="s">
        <v>113</v>
      </c>
      <c r="D41" s="6" t="s">
        <v>5</v>
      </c>
      <c r="E41" s="12" t="s">
        <v>32</v>
      </c>
      <c r="F41" s="3" t="s">
        <v>18</v>
      </c>
      <c r="G41" s="3" t="s">
        <v>23</v>
      </c>
      <c r="H41" s="3" t="s">
        <v>11</v>
      </c>
      <c r="I41" s="3" t="s">
        <v>42</v>
      </c>
      <c r="J41" s="7" t="s">
        <v>19</v>
      </c>
      <c r="K41" s="10"/>
      <c r="L41" s="10" t="s">
        <v>127</v>
      </c>
      <c r="M41" s="10"/>
      <c r="N41" s="97"/>
      <c r="O41" s="98"/>
      <c r="P41" s="98" t="s">
        <v>69</v>
      </c>
      <c r="Q41" s="98"/>
      <c r="R41" s="98"/>
      <c r="S41" s="98" t="s">
        <v>69</v>
      </c>
      <c r="T41" s="98"/>
      <c r="U41" s="98"/>
      <c r="V41" s="98"/>
      <c r="W41" s="98"/>
      <c r="X41" s="98"/>
      <c r="Y41" s="99"/>
      <c r="Z41" s="96">
        <f>SUM(IF(N41="X",$N$6*'Scoring Dropdowns'!$B$3,0),IF(O41="X",$O$6*'Scoring Dropdowns'!$B$3,0),IF(P41="X",$P$6*'Scoring Dropdowns'!$B$3,0),IF(Q41="X",$Q$6*'Scoring Dropdowns'!$B$3,0),IF(R41="X",$R$6*'Scoring Dropdowns'!$B$3,0),IF(S41="X",$S$6*'Scoring Dropdowns'!$B$3,0),IF(T41="X",$T$6*'Scoring Dropdowns'!$B$3,0),IF(U41="X",$U$6*'Scoring Dropdowns'!$B$3,0),IF(V41="X",$V$6*'Scoring Dropdowns'!$B$3,0),IF(W41="X",$W$6*'Scoring Dropdowns'!$B$3,0),IF(X41="X",$X$6*'Scoring Dropdowns'!$B$3,0),IF(Y41="X",$Y$6*'Scoring Dropdowns'!$B$3,0))</f>
        <v>15</v>
      </c>
      <c r="AA41" s="25"/>
      <c r="AB41" s="20" t="s">
        <v>20</v>
      </c>
      <c r="AC41" s="9" t="s">
        <v>14</v>
      </c>
      <c r="AD41" s="32">
        <f>IF(AB41="",0,IF(AB41='Scoring Dropdowns'!$A$8,'Scoring Dropdowns'!$B$8*'Original Concept List'!$AB$6*'Scoring Dropdowns'!$B$3,IF(AB41='Scoring Dropdowns'!$A$9,'Scoring Dropdowns'!$B$9*'Original Concept List'!$AB$6*'Scoring Dropdowns'!$B$3,IF(AB41='Scoring Dropdowns'!$A$10,'Scoring Dropdowns'!$B$10*'Original Concept List'!$AB$6*'Scoring Dropdowns'!$B$3,"Oops"))))+IF(AC41="",0,IF(AC41='Scoring Dropdowns'!$A$8,'Scoring Dropdowns'!$B$8*'Original Concept List'!$AC$6*'Scoring Dropdowns'!$B$3,IF(AC41='Scoring Dropdowns'!$A$9,'Scoring Dropdowns'!$B$9*'Original Concept List'!$AC$6*'Scoring Dropdowns'!$B$3,IF(AC41='Scoring Dropdowns'!$A$10,'Scoring Dropdowns'!$B$10*'Original Concept List'!$AC$6*'Scoring Dropdowns'!$B$3,"Oops"))))</f>
        <v>7.5</v>
      </c>
      <c r="AE41" s="25"/>
      <c r="AF41" s="37" t="s">
        <v>20</v>
      </c>
      <c r="AG41" s="14" t="s">
        <v>14</v>
      </c>
      <c r="AH41" s="12" t="s">
        <v>14</v>
      </c>
      <c r="AI41" s="32" t="s">
        <v>20</v>
      </c>
      <c r="AJ41" s="32">
        <f t="shared" si="0"/>
        <v>5</v>
      </c>
      <c r="AK41" s="25"/>
      <c r="AL41" s="15">
        <f t="shared" si="1"/>
        <v>27.5</v>
      </c>
      <c r="AM41" s="25"/>
      <c r="AN41" s="11" t="s">
        <v>15</v>
      </c>
      <c r="AO41" s="12" t="s">
        <v>15</v>
      </c>
      <c r="AP41" s="12" t="s">
        <v>14</v>
      </c>
      <c r="AQ41" s="12" t="s">
        <v>15</v>
      </c>
      <c r="AR41" s="32">
        <f>IF(AN41="",0,IF(AN41='Scoring Dropdowns'!$A$8,'Scoring Dropdowns'!$B$8*'Original Concept List'!$AN$6*'Scoring Dropdowns'!$B$4,IF(AN41='Scoring Dropdowns'!$A$9,'Scoring Dropdowns'!$B$9*'Original Concept List'!$AN$6*'Scoring Dropdowns'!$B$4,IF(AN41='Scoring Dropdowns'!$A$10,'Scoring Dropdowns'!$B$10*'Original Concept List'!$AN$6*'Scoring Dropdowns'!$B$4,"Oops"))))+IF(AO41="",0,IF(AO41='Scoring Dropdowns'!$A$8,'Scoring Dropdowns'!$B$8*'Original Concept List'!$AO$6*'Scoring Dropdowns'!$B$4,IF(AO41='Scoring Dropdowns'!$A$9,'Scoring Dropdowns'!$B$9*'Original Concept List'!$AO$6*'Scoring Dropdowns'!$B$4,IF(AO41='Scoring Dropdowns'!$A$10,'Scoring Dropdowns'!$B$10*'Original Concept List'!$AO$6*'Scoring Dropdowns'!$B$4,"Oops"))))+IF(AP41="",0,IF(AP41='Scoring Dropdowns'!$A$8,'Scoring Dropdowns'!$B$8*'Original Concept List'!$AP$6*'Scoring Dropdowns'!$B$4,IF(AP41='Scoring Dropdowns'!$A$9,'Scoring Dropdowns'!$B$9*'Original Concept List'!$AP$6*'Scoring Dropdowns'!$B$4,IF(AP41='Scoring Dropdowns'!$A$10,'Scoring Dropdowns'!$B$10*'Original Concept List'!$AP$6*'Scoring Dropdowns'!$B$4,"Oops"))))+IF(AQ41="",0,IF(AQ41='Scoring Dropdowns'!$A$8,'Scoring Dropdowns'!$B$8*'Original Concept List'!$AQ$6*'Scoring Dropdowns'!$B$4,IF(AQ41='Scoring Dropdowns'!$A$9,'Scoring Dropdowns'!$B$9*'Original Concept List'!$AQ$6*'Scoring Dropdowns'!$B$4,IF(AQ41='Scoring Dropdowns'!$A$10,'Scoring Dropdowns'!$B$10*'Original Concept List'!$AQ$6*'Scoring Dropdowns'!$B$4,"Oops"))))</f>
        <v>90</v>
      </c>
      <c r="AS41" s="26"/>
      <c r="AT41" s="26"/>
    </row>
    <row r="42" spans="1:46" ht="56.25" x14ac:dyDescent="0.25">
      <c r="A42" s="11">
        <v>35</v>
      </c>
      <c r="B42" s="77" t="s">
        <v>38</v>
      </c>
      <c r="C42" s="74" t="s">
        <v>118</v>
      </c>
      <c r="D42" s="6" t="s">
        <v>5</v>
      </c>
      <c r="E42" s="12" t="s">
        <v>32</v>
      </c>
      <c r="F42" s="3" t="s">
        <v>18</v>
      </c>
      <c r="G42" s="3" t="s">
        <v>23</v>
      </c>
      <c r="H42" s="3" t="s">
        <v>11</v>
      </c>
      <c r="I42" s="3" t="s">
        <v>42</v>
      </c>
      <c r="J42" s="7" t="s">
        <v>19</v>
      </c>
      <c r="K42" s="10"/>
      <c r="L42" s="10" t="s">
        <v>127</v>
      </c>
      <c r="M42" s="10"/>
      <c r="N42" s="97"/>
      <c r="O42" s="98"/>
      <c r="P42" s="98" t="s">
        <v>69</v>
      </c>
      <c r="Q42" s="98"/>
      <c r="R42" s="98"/>
      <c r="S42" s="98" t="s">
        <v>69</v>
      </c>
      <c r="T42" s="98"/>
      <c r="U42" s="98"/>
      <c r="V42" s="98" t="s">
        <v>69</v>
      </c>
      <c r="W42" s="98"/>
      <c r="X42" s="98"/>
      <c r="Y42" s="99" t="s">
        <v>69</v>
      </c>
      <c r="Z42" s="96">
        <f>SUM(IF(N42="X",$N$6*'Scoring Dropdowns'!$B$3,0),IF(O42="X",$O$6*'Scoring Dropdowns'!$B$3,0),IF(P42="X",$P$6*'Scoring Dropdowns'!$B$3,0),IF(Q42="X",$Q$6*'Scoring Dropdowns'!$B$3,0),IF(R42="X",$R$6*'Scoring Dropdowns'!$B$3,0),IF(S42="X",$S$6*'Scoring Dropdowns'!$B$3,0),IF(T42="X",$T$6*'Scoring Dropdowns'!$B$3,0),IF(U42="X",$U$6*'Scoring Dropdowns'!$B$3,0),IF(V42="X",$V$6*'Scoring Dropdowns'!$B$3,0),IF(W42="X",$W$6*'Scoring Dropdowns'!$B$3,0),IF(X42="X",$X$6*'Scoring Dropdowns'!$B$3,0),IF(Y42="X",$Y$6*'Scoring Dropdowns'!$B$3,0))</f>
        <v>35</v>
      </c>
      <c r="AA42" s="25"/>
      <c r="AB42" s="205" t="s">
        <v>20</v>
      </c>
      <c r="AC42" s="208" t="s">
        <v>14</v>
      </c>
      <c r="AD42" s="32">
        <f>IF(AB42="",0,IF(AB42='Scoring Dropdowns'!$A$8,'Scoring Dropdowns'!$B$8*'Original Concept List'!$AB$6*'Scoring Dropdowns'!$B$3,IF(AB42='Scoring Dropdowns'!$A$9,'Scoring Dropdowns'!$B$9*'Original Concept List'!$AB$6*'Scoring Dropdowns'!$B$3,IF(AB42='Scoring Dropdowns'!$A$10,'Scoring Dropdowns'!$B$10*'Original Concept List'!$AB$6*'Scoring Dropdowns'!$B$3,"Oops"))))+IF(AC42="",0,IF(AC42='Scoring Dropdowns'!$A$8,'Scoring Dropdowns'!$B$8*'Original Concept List'!$AC$6*'Scoring Dropdowns'!$B$3,IF(AC42='Scoring Dropdowns'!$A$9,'Scoring Dropdowns'!$B$9*'Original Concept List'!$AC$6*'Scoring Dropdowns'!$B$3,IF(AC42='Scoring Dropdowns'!$A$10,'Scoring Dropdowns'!$B$10*'Original Concept List'!$AC$6*'Scoring Dropdowns'!$B$3,"Oops"))))</f>
        <v>7.5</v>
      </c>
      <c r="AE42" s="25"/>
      <c r="AF42" s="37" t="s">
        <v>20</v>
      </c>
      <c r="AG42" s="14" t="s">
        <v>14</v>
      </c>
      <c r="AH42" s="12" t="s">
        <v>14</v>
      </c>
      <c r="AI42" s="32" t="s">
        <v>20</v>
      </c>
      <c r="AJ42" s="32">
        <f t="shared" si="0"/>
        <v>5</v>
      </c>
      <c r="AK42" s="25"/>
      <c r="AL42" s="15">
        <f t="shared" si="1"/>
        <v>47.5</v>
      </c>
      <c r="AM42" s="25"/>
      <c r="AN42" s="11" t="s">
        <v>14</v>
      </c>
      <c r="AO42" s="12" t="s">
        <v>14</v>
      </c>
      <c r="AP42" s="12" t="s">
        <v>14</v>
      </c>
      <c r="AQ42" s="12" t="s">
        <v>14</v>
      </c>
      <c r="AR42" s="32">
        <f>IF(AN42="",0,IF(AN42='Scoring Dropdowns'!$A$8,'Scoring Dropdowns'!$B$8*'Original Concept List'!$AN$6*'Scoring Dropdowns'!$B$4,IF(AN42='Scoring Dropdowns'!$A$9,'Scoring Dropdowns'!$B$9*'Original Concept List'!$AN$6*'Scoring Dropdowns'!$B$4,IF(AN42='Scoring Dropdowns'!$A$10,'Scoring Dropdowns'!$B$10*'Original Concept List'!$AN$6*'Scoring Dropdowns'!$B$4,"Oops"))))+IF(AO42="",0,IF(AO42='Scoring Dropdowns'!$A$8,'Scoring Dropdowns'!$B$8*'Original Concept List'!$AO$6*'Scoring Dropdowns'!$B$4,IF(AO42='Scoring Dropdowns'!$A$9,'Scoring Dropdowns'!$B$9*'Original Concept List'!$AO$6*'Scoring Dropdowns'!$B$4,IF(AO42='Scoring Dropdowns'!$A$10,'Scoring Dropdowns'!$B$10*'Original Concept List'!$AO$6*'Scoring Dropdowns'!$B$4,"Oops"))))+IF(AP42="",0,IF(AP42='Scoring Dropdowns'!$A$8,'Scoring Dropdowns'!$B$8*'Original Concept List'!$AP$6*'Scoring Dropdowns'!$B$4,IF(AP42='Scoring Dropdowns'!$A$9,'Scoring Dropdowns'!$B$9*'Original Concept List'!$AP$6*'Scoring Dropdowns'!$B$4,IF(AP42='Scoring Dropdowns'!$A$10,'Scoring Dropdowns'!$B$10*'Original Concept List'!$AP$6*'Scoring Dropdowns'!$B$4,"Oops"))))+IF(AQ42="",0,IF(AQ42='Scoring Dropdowns'!$A$8,'Scoring Dropdowns'!$B$8*'Original Concept List'!$AQ$6*'Scoring Dropdowns'!$B$4,IF(AQ42='Scoring Dropdowns'!$A$9,'Scoring Dropdowns'!$B$9*'Original Concept List'!$AQ$6*'Scoring Dropdowns'!$B$4,IF(AQ42='Scoring Dropdowns'!$A$10,'Scoring Dropdowns'!$B$10*'Original Concept List'!$AQ$6*'Scoring Dropdowns'!$B$4,"Oops"))))</f>
        <v>50</v>
      </c>
      <c r="AS42" s="26"/>
      <c r="AT42" s="26"/>
    </row>
    <row r="43" spans="1:46" ht="56.25" x14ac:dyDescent="0.25">
      <c r="A43" s="6">
        <v>36</v>
      </c>
      <c r="B43" s="77" t="s">
        <v>240</v>
      </c>
      <c r="C43" s="74" t="s">
        <v>119</v>
      </c>
      <c r="D43" s="6" t="s">
        <v>5</v>
      </c>
      <c r="E43" s="12" t="s">
        <v>32</v>
      </c>
      <c r="F43" s="3" t="s">
        <v>18</v>
      </c>
      <c r="G43" s="3" t="s">
        <v>10</v>
      </c>
      <c r="H43" s="3" t="s">
        <v>11</v>
      </c>
      <c r="I43" s="3" t="s">
        <v>46</v>
      </c>
      <c r="J43" s="7" t="s">
        <v>19</v>
      </c>
      <c r="K43" s="10"/>
      <c r="L43" s="10" t="s">
        <v>126</v>
      </c>
      <c r="M43" s="10"/>
      <c r="N43" s="97"/>
      <c r="O43" s="98"/>
      <c r="P43" s="98" t="s">
        <v>69</v>
      </c>
      <c r="Q43" s="98"/>
      <c r="R43" s="98"/>
      <c r="S43" s="98" t="s">
        <v>69</v>
      </c>
      <c r="T43" s="98"/>
      <c r="U43" s="98"/>
      <c r="V43" s="98"/>
      <c r="W43" s="98"/>
      <c r="X43" s="98"/>
      <c r="Y43" s="99"/>
      <c r="Z43" s="96">
        <f>SUM(IF(N43="X",$N$6*'Scoring Dropdowns'!$B$3,0),IF(O43="X",$O$6*'Scoring Dropdowns'!$B$3,0),IF(P43="X",$P$6*'Scoring Dropdowns'!$B$3,0),IF(Q43="X",$Q$6*'Scoring Dropdowns'!$B$3,0),IF(R43="X",$R$6*'Scoring Dropdowns'!$B$3,0),IF(S43="X",$S$6*'Scoring Dropdowns'!$B$3,0),IF(T43="X",$T$6*'Scoring Dropdowns'!$B$3,0),IF(U43="X",$U$6*'Scoring Dropdowns'!$B$3,0),IF(V43="X",$V$6*'Scoring Dropdowns'!$B$3,0),IF(W43="X",$W$6*'Scoring Dropdowns'!$B$3,0),IF(X43="X",$X$6*'Scoring Dropdowns'!$B$3,0),IF(Y43="X",$Y$6*'Scoring Dropdowns'!$B$3,0))</f>
        <v>15</v>
      </c>
      <c r="AA43" s="25"/>
      <c r="AB43" s="20" t="s">
        <v>14</v>
      </c>
      <c r="AC43" s="9" t="s">
        <v>15</v>
      </c>
      <c r="AD43" s="32">
        <f>IF(AB43="",0,IF(AB43='Scoring Dropdowns'!$A$8,'Scoring Dropdowns'!$B$8*'Original Concept List'!$AB$6*'Scoring Dropdowns'!$B$3,IF(AB43='Scoring Dropdowns'!$A$9,'Scoring Dropdowns'!$B$9*'Original Concept List'!$AB$6*'Scoring Dropdowns'!$B$3,IF(AB43='Scoring Dropdowns'!$A$10,'Scoring Dropdowns'!$B$10*'Original Concept List'!$AB$6*'Scoring Dropdowns'!$B$3,"Oops"))))+IF(AC43="",0,IF(AC43='Scoring Dropdowns'!$A$8,'Scoring Dropdowns'!$B$8*'Original Concept List'!$AC$6*'Scoring Dropdowns'!$B$3,IF(AC43='Scoring Dropdowns'!$A$9,'Scoring Dropdowns'!$B$9*'Original Concept List'!$AC$6*'Scoring Dropdowns'!$B$3,IF(AC43='Scoring Dropdowns'!$A$10,'Scoring Dropdowns'!$B$10*'Original Concept List'!$AC$6*'Scoring Dropdowns'!$B$3,"Oops"))))</f>
        <v>22.5</v>
      </c>
      <c r="AE43" s="25"/>
      <c r="AF43" s="37" t="s">
        <v>15</v>
      </c>
      <c r="AG43" s="14" t="s">
        <v>15</v>
      </c>
      <c r="AH43" s="12" t="s">
        <v>15</v>
      </c>
      <c r="AI43" s="209" t="s">
        <v>15</v>
      </c>
      <c r="AJ43" s="32">
        <f t="shared" si="0"/>
        <v>30</v>
      </c>
      <c r="AK43" s="25"/>
      <c r="AL43" s="15">
        <f t="shared" si="1"/>
        <v>67.5</v>
      </c>
      <c r="AM43" s="25"/>
      <c r="AN43" s="11" t="s">
        <v>14</v>
      </c>
      <c r="AO43" s="12" t="s">
        <v>15</v>
      </c>
      <c r="AP43" s="12" t="s">
        <v>20</v>
      </c>
      <c r="AQ43" s="12" t="s">
        <v>14</v>
      </c>
      <c r="AR43" s="32">
        <f>IF(AN43="",0,IF(AN43='Scoring Dropdowns'!$A$8,'Scoring Dropdowns'!$B$8*'Original Concept List'!$AN$6*'Scoring Dropdowns'!$B$4,IF(AN43='Scoring Dropdowns'!$A$9,'Scoring Dropdowns'!$B$9*'Original Concept List'!$AN$6*'Scoring Dropdowns'!$B$4,IF(AN43='Scoring Dropdowns'!$A$10,'Scoring Dropdowns'!$B$10*'Original Concept List'!$AN$6*'Scoring Dropdowns'!$B$4,"Oops"))))+IF(AO43="",0,IF(AO43='Scoring Dropdowns'!$A$8,'Scoring Dropdowns'!$B$8*'Original Concept List'!$AO$6*'Scoring Dropdowns'!$B$4,IF(AO43='Scoring Dropdowns'!$A$9,'Scoring Dropdowns'!$B$9*'Original Concept List'!$AO$6*'Scoring Dropdowns'!$B$4,IF(AO43='Scoring Dropdowns'!$A$10,'Scoring Dropdowns'!$B$10*'Original Concept List'!$AO$6*'Scoring Dropdowns'!$B$4,"Oops"))))+IF(AP43="",0,IF(AP43='Scoring Dropdowns'!$A$8,'Scoring Dropdowns'!$B$8*'Original Concept List'!$AP$6*'Scoring Dropdowns'!$B$4,IF(AP43='Scoring Dropdowns'!$A$9,'Scoring Dropdowns'!$B$9*'Original Concept List'!$AP$6*'Scoring Dropdowns'!$B$4,IF(AP43='Scoring Dropdowns'!$A$10,'Scoring Dropdowns'!$B$10*'Original Concept List'!$AP$6*'Scoring Dropdowns'!$B$4,"Oops"))))+IF(AQ43="",0,IF(AQ43='Scoring Dropdowns'!$A$8,'Scoring Dropdowns'!$B$8*'Original Concept List'!$AQ$6*'Scoring Dropdowns'!$B$4,IF(AQ43='Scoring Dropdowns'!$A$9,'Scoring Dropdowns'!$B$9*'Original Concept List'!$AQ$6*'Scoring Dropdowns'!$B$4,IF(AQ43='Scoring Dropdowns'!$A$10,'Scoring Dropdowns'!$B$10*'Original Concept List'!$AQ$6*'Scoring Dropdowns'!$B$4,"Oops"))))</f>
        <v>60</v>
      </c>
      <c r="AS43" s="26"/>
      <c r="AT43" s="26"/>
    </row>
    <row r="44" spans="1:46" ht="56.25" x14ac:dyDescent="0.25">
      <c r="A44" s="11">
        <v>37</v>
      </c>
      <c r="B44" s="77" t="s">
        <v>241</v>
      </c>
      <c r="C44" s="74" t="s">
        <v>120</v>
      </c>
      <c r="D44" s="6" t="s">
        <v>5</v>
      </c>
      <c r="E44" s="12" t="s">
        <v>32</v>
      </c>
      <c r="F44" s="3" t="s">
        <v>18</v>
      </c>
      <c r="G44" s="3" t="s">
        <v>10</v>
      </c>
      <c r="H44" s="3" t="s">
        <v>11</v>
      </c>
      <c r="I44" s="3" t="s">
        <v>46</v>
      </c>
      <c r="J44" s="7" t="s">
        <v>19</v>
      </c>
      <c r="K44" s="10"/>
      <c r="L44" s="10" t="s">
        <v>126</v>
      </c>
      <c r="M44" s="10"/>
      <c r="N44" s="97"/>
      <c r="O44" s="98"/>
      <c r="P44" s="98" t="s">
        <v>69</v>
      </c>
      <c r="Q44" s="98"/>
      <c r="R44" s="98"/>
      <c r="S44" s="98" t="s">
        <v>69</v>
      </c>
      <c r="T44" s="98"/>
      <c r="U44" s="98"/>
      <c r="V44" s="98"/>
      <c r="W44" s="98"/>
      <c r="X44" s="98"/>
      <c r="Y44" s="99"/>
      <c r="Z44" s="96">
        <f>SUM(IF(N44="X",$N$6*'Scoring Dropdowns'!$B$3,0),IF(O44="X",$O$6*'Scoring Dropdowns'!$B$3,0),IF(P44="X",$P$6*'Scoring Dropdowns'!$B$3,0),IF(Q44="X",$Q$6*'Scoring Dropdowns'!$B$3,0),IF(R44="X",$R$6*'Scoring Dropdowns'!$B$3,0),IF(S44="X",$S$6*'Scoring Dropdowns'!$B$3,0),IF(T44="X",$T$6*'Scoring Dropdowns'!$B$3,0),IF(U44="X",$U$6*'Scoring Dropdowns'!$B$3,0),IF(V44="X",$V$6*'Scoring Dropdowns'!$B$3,0),IF(W44="X",$W$6*'Scoring Dropdowns'!$B$3,0),IF(X44="X",$X$6*'Scoring Dropdowns'!$B$3,0),IF(Y44="X",$Y$6*'Scoring Dropdowns'!$B$3,0))</f>
        <v>15</v>
      </c>
      <c r="AA44" s="25"/>
      <c r="AB44" s="20" t="s">
        <v>20</v>
      </c>
      <c r="AC44" s="9" t="s">
        <v>14</v>
      </c>
      <c r="AD44" s="32">
        <f>IF(AB44="",0,IF(AB44='Scoring Dropdowns'!$A$8,'Scoring Dropdowns'!$B$8*'Original Concept List'!$AB$6*'Scoring Dropdowns'!$B$3,IF(AB44='Scoring Dropdowns'!$A$9,'Scoring Dropdowns'!$B$9*'Original Concept List'!$AB$6*'Scoring Dropdowns'!$B$3,IF(AB44='Scoring Dropdowns'!$A$10,'Scoring Dropdowns'!$B$10*'Original Concept List'!$AB$6*'Scoring Dropdowns'!$B$3,"Oops"))))+IF(AC44="",0,IF(AC44='Scoring Dropdowns'!$A$8,'Scoring Dropdowns'!$B$8*'Original Concept List'!$AC$6*'Scoring Dropdowns'!$B$3,IF(AC44='Scoring Dropdowns'!$A$9,'Scoring Dropdowns'!$B$9*'Original Concept List'!$AC$6*'Scoring Dropdowns'!$B$3,IF(AC44='Scoring Dropdowns'!$A$10,'Scoring Dropdowns'!$B$10*'Original Concept List'!$AC$6*'Scoring Dropdowns'!$B$3,"Oops"))))</f>
        <v>7.5</v>
      </c>
      <c r="AE44" s="25"/>
      <c r="AF44" s="37" t="s">
        <v>15</v>
      </c>
      <c r="AG44" s="14" t="s">
        <v>15</v>
      </c>
      <c r="AH44" s="12" t="s">
        <v>15</v>
      </c>
      <c r="AI44" s="32" t="s">
        <v>15</v>
      </c>
      <c r="AJ44" s="32">
        <f t="shared" si="0"/>
        <v>30</v>
      </c>
      <c r="AK44" s="25"/>
      <c r="AL44" s="15">
        <f t="shared" si="1"/>
        <v>52.5</v>
      </c>
      <c r="AM44" s="25"/>
      <c r="AN44" s="11" t="s">
        <v>14</v>
      </c>
      <c r="AO44" s="12" t="s">
        <v>15</v>
      </c>
      <c r="AP44" s="12" t="s">
        <v>20</v>
      </c>
      <c r="AQ44" s="12" t="s">
        <v>15</v>
      </c>
      <c r="AR44" s="32">
        <f>IF(AN44="",0,IF(AN44='Scoring Dropdowns'!$A$8,'Scoring Dropdowns'!$B$8*'Original Concept List'!$AN$6*'Scoring Dropdowns'!$B$4,IF(AN44='Scoring Dropdowns'!$A$9,'Scoring Dropdowns'!$B$9*'Original Concept List'!$AN$6*'Scoring Dropdowns'!$B$4,IF(AN44='Scoring Dropdowns'!$A$10,'Scoring Dropdowns'!$B$10*'Original Concept List'!$AN$6*'Scoring Dropdowns'!$B$4,"Oops"))))+IF(AO44="",0,IF(AO44='Scoring Dropdowns'!$A$8,'Scoring Dropdowns'!$B$8*'Original Concept List'!$AO$6*'Scoring Dropdowns'!$B$4,IF(AO44='Scoring Dropdowns'!$A$9,'Scoring Dropdowns'!$B$9*'Original Concept List'!$AO$6*'Scoring Dropdowns'!$B$4,IF(AO44='Scoring Dropdowns'!$A$10,'Scoring Dropdowns'!$B$10*'Original Concept List'!$AO$6*'Scoring Dropdowns'!$B$4,"Oops"))))+IF(AP44="",0,IF(AP44='Scoring Dropdowns'!$A$8,'Scoring Dropdowns'!$B$8*'Original Concept List'!$AP$6*'Scoring Dropdowns'!$B$4,IF(AP44='Scoring Dropdowns'!$A$9,'Scoring Dropdowns'!$B$9*'Original Concept List'!$AP$6*'Scoring Dropdowns'!$B$4,IF(AP44='Scoring Dropdowns'!$A$10,'Scoring Dropdowns'!$B$10*'Original Concept List'!$AP$6*'Scoring Dropdowns'!$B$4,"Oops"))))+IF(AQ44="",0,IF(AQ44='Scoring Dropdowns'!$A$8,'Scoring Dropdowns'!$B$8*'Original Concept List'!$AQ$6*'Scoring Dropdowns'!$B$4,IF(AQ44='Scoring Dropdowns'!$A$9,'Scoring Dropdowns'!$B$9*'Original Concept List'!$AQ$6*'Scoring Dropdowns'!$B$4,IF(AQ44='Scoring Dropdowns'!$A$10,'Scoring Dropdowns'!$B$10*'Original Concept List'!$AQ$6*'Scoring Dropdowns'!$B$4,"Oops"))))</f>
        <v>75</v>
      </c>
      <c r="AS44" s="26"/>
      <c r="AT44" s="26"/>
    </row>
    <row r="45" spans="1:46" ht="56.25" x14ac:dyDescent="0.25">
      <c r="A45" s="6">
        <v>38</v>
      </c>
      <c r="B45" s="77" t="s">
        <v>28</v>
      </c>
      <c r="C45" s="74" t="s">
        <v>121</v>
      </c>
      <c r="D45" s="6" t="s">
        <v>5</v>
      </c>
      <c r="E45" s="12" t="s">
        <v>32</v>
      </c>
      <c r="F45" s="3" t="s">
        <v>18</v>
      </c>
      <c r="G45" s="3" t="s">
        <v>72</v>
      </c>
      <c r="H45" s="3" t="s">
        <v>16</v>
      </c>
      <c r="I45" s="3" t="s">
        <v>47</v>
      </c>
      <c r="J45" s="7" t="s">
        <v>19</v>
      </c>
      <c r="K45" s="10"/>
      <c r="L45" s="10" t="s">
        <v>127</v>
      </c>
      <c r="M45" s="10"/>
      <c r="N45" s="97"/>
      <c r="O45" s="98"/>
      <c r="P45" s="98" t="s">
        <v>69</v>
      </c>
      <c r="Q45" s="98"/>
      <c r="R45" s="98"/>
      <c r="S45" s="98" t="s">
        <v>69</v>
      </c>
      <c r="T45" s="98"/>
      <c r="U45" s="98"/>
      <c r="V45" s="98"/>
      <c r="W45" s="98"/>
      <c r="X45" s="98"/>
      <c r="Y45" s="99"/>
      <c r="Z45" s="96">
        <f>SUM(IF(N45="X",$N$6*'Scoring Dropdowns'!$B$3,0),IF(O45="X",$O$6*'Scoring Dropdowns'!$B$3,0),IF(P45="X",$P$6*'Scoring Dropdowns'!$B$3,0),IF(Q45="X",$Q$6*'Scoring Dropdowns'!$B$3,0),IF(R45="X",$R$6*'Scoring Dropdowns'!$B$3,0),IF(S45="X",$S$6*'Scoring Dropdowns'!$B$3,0),IF(T45="X",$T$6*'Scoring Dropdowns'!$B$3,0),IF(U45="X",$U$6*'Scoring Dropdowns'!$B$3,0),IF(V45="X",$V$6*'Scoring Dropdowns'!$B$3,0),IF(W45="X",$W$6*'Scoring Dropdowns'!$B$3,0),IF(X45="X",$X$6*'Scoring Dropdowns'!$B$3,0),IF(Y45="X",$Y$6*'Scoring Dropdowns'!$B$3,0))</f>
        <v>15</v>
      </c>
      <c r="AA45" s="25"/>
      <c r="AB45" s="20" t="s">
        <v>14</v>
      </c>
      <c r="AC45" s="9" t="s">
        <v>14</v>
      </c>
      <c r="AD45" s="32">
        <f>IF(AB45="",0,IF(AB45='Scoring Dropdowns'!$A$8,'Scoring Dropdowns'!$B$8*'Original Concept List'!$AB$6*'Scoring Dropdowns'!$B$3,IF(AB45='Scoring Dropdowns'!$A$9,'Scoring Dropdowns'!$B$9*'Original Concept List'!$AB$6*'Scoring Dropdowns'!$B$3,IF(AB45='Scoring Dropdowns'!$A$10,'Scoring Dropdowns'!$B$10*'Original Concept List'!$AB$6*'Scoring Dropdowns'!$B$3,"Oops"))))+IF(AC45="",0,IF(AC45='Scoring Dropdowns'!$A$8,'Scoring Dropdowns'!$B$8*'Original Concept List'!$AC$6*'Scoring Dropdowns'!$B$3,IF(AC45='Scoring Dropdowns'!$A$9,'Scoring Dropdowns'!$B$9*'Original Concept List'!$AC$6*'Scoring Dropdowns'!$B$3,IF(AC45='Scoring Dropdowns'!$A$10,'Scoring Dropdowns'!$B$10*'Original Concept List'!$AC$6*'Scoring Dropdowns'!$B$3,"Oops"))))</f>
        <v>15</v>
      </c>
      <c r="AE45" s="25"/>
      <c r="AF45" s="37" t="s">
        <v>15</v>
      </c>
      <c r="AG45" s="14" t="s">
        <v>14</v>
      </c>
      <c r="AH45" s="12" t="s">
        <v>14</v>
      </c>
      <c r="AI45" s="32" t="s">
        <v>15</v>
      </c>
      <c r="AJ45" s="32">
        <f t="shared" si="0"/>
        <v>25</v>
      </c>
      <c r="AK45" s="25"/>
      <c r="AL45" s="15">
        <f t="shared" si="1"/>
        <v>55</v>
      </c>
      <c r="AM45" s="25"/>
      <c r="AN45" s="11" t="s">
        <v>14</v>
      </c>
      <c r="AO45" s="12" t="s">
        <v>15</v>
      </c>
      <c r="AP45" s="12" t="s">
        <v>20</v>
      </c>
      <c r="AQ45" s="12" t="s">
        <v>15</v>
      </c>
      <c r="AR45" s="32">
        <f>IF(AN45="",0,IF(AN45='Scoring Dropdowns'!$A$8,'Scoring Dropdowns'!$B$8*'Original Concept List'!$AN$6*'Scoring Dropdowns'!$B$4,IF(AN45='Scoring Dropdowns'!$A$9,'Scoring Dropdowns'!$B$9*'Original Concept List'!$AN$6*'Scoring Dropdowns'!$B$4,IF(AN45='Scoring Dropdowns'!$A$10,'Scoring Dropdowns'!$B$10*'Original Concept List'!$AN$6*'Scoring Dropdowns'!$B$4,"Oops"))))+IF(AO45="",0,IF(AO45='Scoring Dropdowns'!$A$8,'Scoring Dropdowns'!$B$8*'Original Concept List'!$AO$6*'Scoring Dropdowns'!$B$4,IF(AO45='Scoring Dropdowns'!$A$9,'Scoring Dropdowns'!$B$9*'Original Concept List'!$AO$6*'Scoring Dropdowns'!$B$4,IF(AO45='Scoring Dropdowns'!$A$10,'Scoring Dropdowns'!$B$10*'Original Concept List'!$AO$6*'Scoring Dropdowns'!$B$4,"Oops"))))+IF(AP45="",0,IF(AP45='Scoring Dropdowns'!$A$8,'Scoring Dropdowns'!$B$8*'Original Concept List'!$AP$6*'Scoring Dropdowns'!$B$4,IF(AP45='Scoring Dropdowns'!$A$9,'Scoring Dropdowns'!$B$9*'Original Concept List'!$AP$6*'Scoring Dropdowns'!$B$4,IF(AP45='Scoring Dropdowns'!$A$10,'Scoring Dropdowns'!$B$10*'Original Concept List'!$AP$6*'Scoring Dropdowns'!$B$4,"Oops"))))+IF(AQ45="",0,IF(AQ45='Scoring Dropdowns'!$A$8,'Scoring Dropdowns'!$B$8*'Original Concept List'!$AQ$6*'Scoring Dropdowns'!$B$4,IF(AQ45='Scoring Dropdowns'!$A$9,'Scoring Dropdowns'!$B$9*'Original Concept List'!$AQ$6*'Scoring Dropdowns'!$B$4,IF(AQ45='Scoring Dropdowns'!$A$10,'Scoring Dropdowns'!$B$10*'Original Concept List'!$AQ$6*'Scoring Dropdowns'!$B$4,"Oops"))))</f>
        <v>75</v>
      </c>
      <c r="AS45" s="26"/>
      <c r="AT45" s="26"/>
    </row>
    <row r="46" spans="1:46" ht="56.25" x14ac:dyDescent="0.25">
      <c r="A46" s="11">
        <v>39</v>
      </c>
      <c r="B46" s="77" t="s">
        <v>29</v>
      </c>
      <c r="C46" s="74" t="s">
        <v>122</v>
      </c>
      <c r="D46" s="6" t="s">
        <v>5</v>
      </c>
      <c r="E46" s="12" t="s">
        <v>32</v>
      </c>
      <c r="F46" s="3" t="s">
        <v>9</v>
      </c>
      <c r="G46" s="3" t="s">
        <v>10</v>
      </c>
      <c r="H46" s="3" t="s">
        <v>16</v>
      </c>
      <c r="I46" s="3" t="s">
        <v>46</v>
      </c>
      <c r="J46" s="7" t="s">
        <v>19</v>
      </c>
      <c r="K46" s="10"/>
      <c r="L46" s="10" t="s">
        <v>127</v>
      </c>
      <c r="M46" s="10"/>
      <c r="N46" s="97" t="s">
        <v>69</v>
      </c>
      <c r="O46" s="98" t="s">
        <v>69</v>
      </c>
      <c r="P46" s="98" t="s">
        <v>69</v>
      </c>
      <c r="Q46" s="98" t="s">
        <v>69</v>
      </c>
      <c r="R46" s="98" t="s">
        <v>69</v>
      </c>
      <c r="S46" s="98"/>
      <c r="T46" s="98"/>
      <c r="U46" s="98"/>
      <c r="V46" s="98" t="s">
        <v>69</v>
      </c>
      <c r="W46" s="98" t="s">
        <v>69</v>
      </c>
      <c r="X46" s="98" t="s">
        <v>69</v>
      </c>
      <c r="Y46" s="99"/>
      <c r="Z46" s="96">
        <f>SUM(IF(N46="X",$N$6*'Scoring Dropdowns'!$B$3,0),IF(O46="X",$O$6*'Scoring Dropdowns'!$B$3,0),IF(P46="X",$P$6*'Scoring Dropdowns'!$B$3,0),IF(Q46="X",$Q$6*'Scoring Dropdowns'!$B$3,0),IF(R46="X",$R$6*'Scoring Dropdowns'!$B$3,0),IF(S46="X",$S$6*'Scoring Dropdowns'!$B$3,0),IF(T46="X",$T$6*'Scoring Dropdowns'!$B$3,0),IF(U46="X",$U$6*'Scoring Dropdowns'!$B$3,0),IF(V46="X",$V$6*'Scoring Dropdowns'!$B$3,0),IF(W46="X",$W$6*'Scoring Dropdowns'!$B$3,0),IF(X46="X",$X$6*'Scoring Dropdowns'!$B$3,0),IF(Y46="X",$Y$6*'Scoring Dropdowns'!$B$3,0))</f>
        <v>20</v>
      </c>
      <c r="AA46" s="25"/>
      <c r="AB46" s="205" t="s">
        <v>14</v>
      </c>
      <c r="AC46" s="208" t="s">
        <v>15</v>
      </c>
      <c r="AD46" s="32">
        <f>IF(AB46="",0,IF(AB46='Scoring Dropdowns'!$A$8,'Scoring Dropdowns'!$B$8*'Original Concept List'!$AB$6*'Scoring Dropdowns'!$B$3,IF(AB46='Scoring Dropdowns'!$A$9,'Scoring Dropdowns'!$B$9*'Original Concept List'!$AB$6*'Scoring Dropdowns'!$B$3,IF(AB46='Scoring Dropdowns'!$A$10,'Scoring Dropdowns'!$B$10*'Original Concept List'!$AB$6*'Scoring Dropdowns'!$B$3,"Oops"))))+IF(AC46="",0,IF(AC46='Scoring Dropdowns'!$A$8,'Scoring Dropdowns'!$B$8*'Original Concept List'!$AC$6*'Scoring Dropdowns'!$B$3,IF(AC46='Scoring Dropdowns'!$A$9,'Scoring Dropdowns'!$B$9*'Original Concept List'!$AC$6*'Scoring Dropdowns'!$B$3,IF(AC46='Scoring Dropdowns'!$A$10,'Scoring Dropdowns'!$B$10*'Original Concept List'!$AC$6*'Scoring Dropdowns'!$B$3,"Oops"))))</f>
        <v>22.5</v>
      </c>
      <c r="AE46" s="25"/>
      <c r="AF46" s="37" t="s">
        <v>15</v>
      </c>
      <c r="AG46" s="14" t="s">
        <v>20</v>
      </c>
      <c r="AH46" s="12" t="s">
        <v>14</v>
      </c>
      <c r="AI46" s="32" t="s">
        <v>15</v>
      </c>
      <c r="AJ46" s="32">
        <f t="shared" si="0"/>
        <v>20</v>
      </c>
      <c r="AK46" s="25"/>
      <c r="AL46" s="15">
        <f t="shared" si="1"/>
        <v>62.5</v>
      </c>
      <c r="AM46" s="25"/>
      <c r="AN46" s="11" t="s">
        <v>15</v>
      </c>
      <c r="AO46" s="12" t="s">
        <v>15</v>
      </c>
      <c r="AP46" s="12" t="s">
        <v>20</v>
      </c>
      <c r="AQ46" s="12" t="s">
        <v>14</v>
      </c>
      <c r="AR46" s="32">
        <f>IF(AN46="",0,IF(AN46='Scoring Dropdowns'!$A$8,'Scoring Dropdowns'!$B$8*'Original Concept List'!$AN$6*'Scoring Dropdowns'!$B$4,IF(AN46='Scoring Dropdowns'!$A$9,'Scoring Dropdowns'!$B$9*'Original Concept List'!$AN$6*'Scoring Dropdowns'!$B$4,IF(AN46='Scoring Dropdowns'!$A$10,'Scoring Dropdowns'!$B$10*'Original Concept List'!$AN$6*'Scoring Dropdowns'!$B$4,"Oops"))))+IF(AO46="",0,IF(AO46='Scoring Dropdowns'!$A$8,'Scoring Dropdowns'!$B$8*'Original Concept List'!$AO$6*'Scoring Dropdowns'!$B$4,IF(AO46='Scoring Dropdowns'!$A$9,'Scoring Dropdowns'!$B$9*'Original Concept List'!$AO$6*'Scoring Dropdowns'!$B$4,IF(AO46='Scoring Dropdowns'!$A$10,'Scoring Dropdowns'!$B$10*'Original Concept List'!$AO$6*'Scoring Dropdowns'!$B$4,"Oops"))))+IF(AP46="",0,IF(AP46='Scoring Dropdowns'!$A$8,'Scoring Dropdowns'!$B$8*'Original Concept List'!$AP$6*'Scoring Dropdowns'!$B$4,IF(AP46='Scoring Dropdowns'!$A$9,'Scoring Dropdowns'!$B$9*'Original Concept List'!$AP$6*'Scoring Dropdowns'!$B$4,IF(AP46='Scoring Dropdowns'!$A$10,'Scoring Dropdowns'!$B$10*'Original Concept List'!$AP$6*'Scoring Dropdowns'!$B$4,"Oops"))))+IF(AQ46="",0,IF(AQ46='Scoring Dropdowns'!$A$8,'Scoring Dropdowns'!$B$8*'Original Concept List'!$AQ$6*'Scoring Dropdowns'!$B$4,IF(AQ46='Scoring Dropdowns'!$A$9,'Scoring Dropdowns'!$B$9*'Original Concept List'!$AQ$6*'Scoring Dropdowns'!$B$4,IF(AQ46='Scoring Dropdowns'!$A$10,'Scoring Dropdowns'!$B$10*'Original Concept List'!$AQ$6*'Scoring Dropdowns'!$B$4,"Oops"))))</f>
        <v>65</v>
      </c>
      <c r="AS46" s="26"/>
      <c r="AT46" s="26"/>
    </row>
    <row r="47" spans="1:46" ht="75" x14ac:dyDescent="0.25">
      <c r="A47" s="11">
        <v>40</v>
      </c>
      <c r="B47" s="155" t="s">
        <v>263</v>
      </c>
      <c r="C47" s="156" t="s">
        <v>256</v>
      </c>
      <c r="D47" s="157" t="s">
        <v>4</v>
      </c>
      <c r="E47" s="53" t="s">
        <v>271</v>
      </c>
      <c r="F47" s="53" t="s">
        <v>18</v>
      </c>
      <c r="G47" s="53" t="s">
        <v>10</v>
      </c>
      <c r="H47" s="53" t="s">
        <v>11</v>
      </c>
      <c r="I47" s="53" t="s">
        <v>46</v>
      </c>
      <c r="J47" s="54" t="s">
        <v>19</v>
      </c>
      <c r="K47" s="55"/>
      <c r="L47" s="55" t="s">
        <v>124</v>
      </c>
      <c r="M47" s="55"/>
      <c r="N47" s="100"/>
      <c r="O47" s="101"/>
      <c r="P47" s="101" t="s">
        <v>69</v>
      </c>
      <c r="Q47" s="101"/>
      <c r="R47" s="101"/>
      <c r="S47" s="101"/>
      <c r="T47" s="101"/>
      <c r="U47" s="101"/>
      <c r="V47" s="101"/>
      <c r="W47" s="101"/>
      <c r="X47" s="101" t="s">
        <v>69</v>
      </c>
      <c r="Y47" s="102" t="s">
        <v>85</v>
      </c>
      <c r="Z47" s="96">
        <f>SUM(IF(N47="X",$N$6*'Scoring Dropdowns'!$B$3,0),IF(O47="X",$O$6*'Scoring Dropdowns'!$B$3,0),IF(P47="X",$P$6*'Scoring Dropdowns'!$B$3,0),IF(Q47="X",$Q$6*'Scoring Dropdowns'!$B$3,0),IF(R47="X",$R$6*'Scoring Dropdowns'!$B$3,0),IF(S47="X",$S$6*'Scoring Dropdowns'!$B$3,0),IF(T47="X",$T$6*'Scoring Dropdowns'!$B$3,0),IF(U47="X",$U$6*'Scoring Dropdowns'!$B$3,0),IF(V47="X",$V$6*'Scoring Dropdowns'!$B$3,0),IF(W47="X",$W$6*'Scoring Dropdowns'!$B$3,0),IF(X47="X",$X$6*'Scoring Dropdowns'!$B$3,0),IF(Y47="X",$Y$6*'Scoring Dropdowns'!$B$3,0))</f>
        <v>40</v>
      </c>
      <c r="AA47" s="25"/>
      <c r="AB47" s="21" t="s">
        <v>14</v>
      </c>
      <c r="AC47" s="56" t="s">
        <v>15</v>
      </c>
      <c r="AD47" s="32">
        <f>IF(AB47="",0,IF(AB47='Scoring Dropdowns'!$A$8,'Scoring Dropdowns'!$B$8*'Original Concept List'!$AB$6*'Scoring Dropdowns'!$B$3,IF(AB47='Scoring Dropdowns'!$A$9,'Scoring Dropdowns'!$B$9*'Original Concept List'!$AB$6*'Scoring Dropdowns'!$B$3,IF(AB47='Scoring Dropdowns'!$A$10,'Scoring Dropdowns'!$B$10*'Original Concept List'!$AB$6*'Scoring Dropdowns'!$B$3,"Oops"))))+IF(AC47="",0,IF(AC47='Scoring Dropdowns'!$A$8,'Scoring Dropdowns'!$B$8*'Original Concept List'!$AC$6*'Scoring Dropdowns'!$B$3,IF(AC47='Scoring Dropdowns'!$A$9,'Scoring Dropdowns'!$B$9*'Original Concept List'!$AC$6*'Scoring Dropdowns'!$B$3,IF(AC47='Scoring Dropdowns'!$A$10,'Scoring Dropdowns'!$B$10*'Original Concept List'!$AC$6*'Scoring Dropdowns'!$B$3,"Oops"))))</f>
        <v>22.5</v>
      </c>
      <c r="AE47" s="25"/>
      <c r="AF47" s="58" t="s">
        <v>15</v>
      </c>
      <c r="AG47" s="59" t="s">
        <v>15</v>
      </c>
      <c r="AH47" s="57" t="s">
        <v>14</v>
      </c>
      <c r="AI47" s="60" t="s">
        <v>15</v>
      </c>
      <c r="AJ47" s="32">
        <f t="shared" si="0"/>
        <v>30</v>
      </c>
      <c r="AK47" s="25"/>
      <c r="AL47" s="15">
        <f t="shared" si="1"/>
        <v>92.5</v>
      </c>
      <c r="AM47" s="25"/>
      <c r="AN47" s="84" t="s">
        <v>15</v>
      </c>
      <c r="AO47" s="57" t="s">
        <v>14</v>
      </c>
      <c r="AP47" s="57" t="s">
        <v>14</v>
      </c>
      <c r="AQ47" s="57" t="s">
        <v>14</v>
      </c>
      <c r="AR47" s="32">
        <f>IF(AN47="",0,IF(AN47='Scoring Dropdowns'!$A$8,'Scoring Dropdowns'!$B$8*'Original Concept List'!$AN$6*'Scoring Dropdowns'!$B$4,IF(AN47='Scoring Dropdowns'!$A$9,'Scoring Dropdowns'!$B$9*'Original Concept List'!$AN$6*'Scoring Dropdowns'!$B$4,IF(AN47='Scoring Dropdowns'!$A$10,'Scoring Dropdowns'!$B$10*'Original Concept List'!$AN$6*'Scoring Dropdowns'!$B$4,"Oops"))))+IF(AO47="",0,IF(AO47='Scoring Dropdowns'!$A$8,'Scoring Dropdowns'!$B$8*'Original Concept List'!$AO$6*'Scoring Dropdowns'!$B$4,IF(AO47='Scoring Dropdowns'!$A$9,'Scoring Dropdowns'!$B$9*'Original Concept List'!$AO$6*'Scoring Dropdowns'!$B$4,IF(AO47='Scoring Dropdowns'!$A$10,'Scoring Dropdowns'!$B$10*'Original Concept List'!$AO$6*'Scoring Dropdowns'!$B$4,"Oops"))))+IF(AP47="",0,IF(AP47='Scoring Dropdowns'!$A$8,'Scoring Dropdowns'!$B$8*'Original Concept List'!$AP$6*'Scoring Dropdowns'!$B$4,IF(AP47='Scoring Dropdowns'!$A$9,'Scoring Dropdowns'!$B$9*'Original Concept List'!$AP$6*'Scoring Dropdowns'!$B$4,IF(AP47='Scoring Dropdowns'!$A$10,'Scoring Dropdowns'!$B$10*'Original Concept List'!$AP$6*'Scoring Dropdowns'!$B$4,"Oops"))))+IF(AQ47="",0,IF(AQ47='Scoring Dropdowns'!$A$8,'Scoring Dropdowns'!$B$8*'Original Concept List'!$AQ$6*'Scoring Dropdowns'!$B$4,IF(AQ47='Scoring Dropdowns'!$A$9,'Scoring Dropdowns'!$B$9*'Original Concept List'!$AQ$6*'Scoring Dropdowns'!$B$4,IF(AQ47='Scoring Dropdowns'!$A$10,'Scoring Dropdowns'!$B$10*'Original Concept List'!$AQ$6*'Scoring Dropdowns'!$B$4,"Oops"))))</f>
        <v>55</v>
      </c>
      <c r="AS47" s="26"/>
      <c r="AT47" s="26"/>
    </row>
    <row r="48" spans="1:46" x14ac:dyDescent="0.25">
      <c r="AA48" s="26"/>
      <c r="AE48" s="26"/>
      <c r="AK48" s="26"/>
      <c r="AM48" s="26"/>
      <c r="AS48" s="26"/>
    </row>
    <row r="49" spans="1:44" x14ac:dyDescent="0.25">
      <c r="AA49" s="26"/>
    </row>
    <row r="52" spans="1:44" x14ac:dyDescent="0.25">
      <c r="AF52" s="24"/>
      <c r="AG52" s="24"/>
      <c r="AH52" s="24"/>
      <c r="AI52" s="24"/>
      <c r="AJ52" s="24"/>
      <c r="AL52" s="24"/>
      <c r="AN52" s="24"/>
      <c r="AO52" s="24"/>
      <c r="AP52" s="24"/>
      <c r="AQ52" s="24"/>
      <c r="AR52" s="24"/>
    </row>
    <row r="61" spans="1:44" x14ac:dyDescent="0.25">
      <c r="A61" s="1"/>
    </row>
    <row r="62" spans="1:44" x14ac:dyDescent="0.25">
      <c r="A62" s="1"/>
    </row>
    <row r="63" spans="1:44" x14ac:dyDescent="0.25">
      <c r="A63" s="1"/>
    </row>
    <row r="64" spans="1:44"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autoFilter ref="A7:M47"/>
  <mergeCells count="14">
    <mergeCell ref="AN5:AQ5"/>
    <mergeCell ref="AN4:AQ4"/>
    <mergeCell ref="AR3:AR5"/>
    <mergeCell ref="N1:AL1"/>
    <mergeCell ref="N3:Z3"/>
    <mergeCell ref="N4:Z4"/>
    <mergeCell ref="AN3:AQ3"/>
    <mergeCell ref="AN1:AR2"/>
    <mergeCell ref="AF5:AG5"/>
    <mergeCell ref="AL3:AL5"/>
    <mergeCell ref="AB3:AD3"/>
    <mergeCell ref="AB4:AD4"/>
    <mergeCell ref="AF3:AJ3"/>
    <mergeCell ref="AF4:AJ4"/>
  </mergeCells>
  <conditionalFormatting sqref="N8:AI10 N11:AE11 N12:AJ47 AK8:AS47">
    <cfRule type="cellIs" dxfId="65" priority="77" operator="equal">
      <formula>"?"</formula>
    </cfRule>
    <cfRule type="cellIs" dxfId="64" priority="78" operator="equal">
      <formula>"X"</formula>
    </cfRule>
  </conditionalFormatting>
  <conditionalFormatting sqref="AF8:AI10 AF12:AJ47 AB8:AD47 AK8:AR47 K8:M47">
    <cfRule type="cellIs" dxfId="63" priority="73" operator="equal">
      <formula>"None"</formula>
    </cfRule>
    <cfRule type="cellIs" dxfId="62" priority="74" operator="equal">
      <formula>"L"</formula>
    </cfRule>
    <cfRule type="cellIs" dxfId="61" priority="75" operator="equal">
      <formula>"M"</formula>
    </cfRule>
    <cfRule type="cellIs" dxfId="60" priority="76" operator="equal">
      <formula>"H"</formula>
    </cfRule>
  </conditionalFormatting>
  <conditionalFormatting sqref="AJ8:AJ10">
    <cfRule type="cellIs" dxfId="59" priority="29" operator="equal">
      <formula>"?"</formula>
    </cfRule>
    <cfRule type="cellIs" dxfId="58" priority="30" operator="equal">
      <formula>"X"</formula>
    </cfRule>
  </conditionalFormatting>
  <conditionalFormatting sqref="AJ8:AJ10">
    <cfRule type="cellIs" dxfId="57" priority="25" operator="equal">
      <formula>"None"</formula>
    </cfRule>
    <cfRule type="cellIs" dxfId="56" priority="26" operator="equal">
      <formula>"L"</formula>
    </cfRule>
    <cfRule type="cellIs" dxfId="55" priority="27" operator="equal">
      <formula>"M"</formula>
    </cfRule>
    <cfRule type="cellIs" dxfId="54" priority="28" operator="equal">
      <formula>"H"</formula>
    </cfRule>
  </conditionalFormatting>
  <conditionalFormatting sqref="AF11:AI11">
    <cfRule type="cellIs" dxfId="53" priority="23" operator="equal">
      <formula>"?"</formula>
    </cfRule>
    <cfRule type="cellIs" dxfId="52" priority="24" operator="equal">
      <formula>"X"</formula>
    </cfRule>
  </conditionalFormatting>
  <conditionalFormatting sqref="AF11:AI11">
    <cfRule type="cellIs" dxfId="51" priority="19" operator="equal">
      <formula>"None"</formula>
    </cfRule>
    <cfRule type="cellIs" dxfId="50" priority="20" operator="equal">
      <formula>"L"</formula>
    </cfRule>
    <cfRule type="cellIs" dxfId="49" priority="21" operator="equal">
      <formula>"M"</formula>
    </cfRule>
    <cfRule type="cellIs" dxfId="48" priority="22" operator="equal">
      <formula>"H"</formula>
    </cfRule>
  </conditionalFormatting>
  <conditionalFormatting sqref="AJ11">
    <cfRule type="cellIs" dxfId="47" priority="17" operator="equal">
      <formula>"?"</formula>
    </cfRule>
    <cfRule type="cellIs" dxfId="46" priority="18" operator="equal">
      <formula>"X"</formula>
    </cfRule>
  </conditionalFormatting>
  <conditionalFormatting sqref="AJ11">
    <cfRule type="cellIs" dxfId="45" priority="13" operator="equal">
      <formula>"None"</formula>
    </cfRule>
    <cfRule type="cellIs" dxfId="44" priority="14" operator="equal">
      <formula>"L"</formula>
    </cfRule>
    <cfRule type="cellIs" dxfId="43" priority="15" operator="equal">
      <formula>"M"</formula>
    </cfRule>
    <cfRule type="cellIs" dxfId="42" priority="16" operator="equal">
      <formula>"H"</formula>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82"/>
  <sheetViews>
    <sheetView tabSelected="1" zoomScale="60" zoomScaleNormal="60" workbookViewId="0">
      <pane xSplit="3" ySplit="11" topLeftCell="D12" activePane="bottomRight" state="frozen"/>
      <selection activeCell="A3" sqref="A3"/>
      <selection pane="topRight" activeCell="A3" sqref="A3"/>
      <selection pane="bottomLeft" activeCell="A3" sqref="A3"/>
      <selection pane="bottomRight" activeCell="A3" sqref="A3"/>
    </sheetView>
  </sheetViews>
  <sheetFormatPr defaultRowHeight="15" outlineLevelRow="1" outlineLevelCol="1" x14ac:dyDescent="0.25"/>
  <cols>
    <col min="1" max="1" width="18" customWidth="1"/>
    <col min="2" max="2" width="15.7109375" style="253" customWidth="1"/>
    <col min="3" max="3" width="45.7109375" style="22" customWidth="1"/>
    <col min="4" max="4" width="75.7109375" customWidth="1"/>
    <col min="5" max="6" width="12.7109375" customWidth="1"/>
    <col min="7" max="7" width="12.7109375" hidden="1" customWidth="1" outlineLevel="1"/>
    <col min="8" max="8" width="15.7109375" customWidth="1" collapsed="1"/>
    <col min="9" max="10" width="15.7109375" customWidth="1"/>
    <col min="11" max="11" width="45.7109375" customWidth="1"/>
    <col min="12" max="12" width="2.7109375" customWidth="1"/>
    <col min="13" max="13" width="23.85546875" bestFit="1" customWidth="1"/>
    <col min="14" max="15" width="23.85546875" customWidth="1"/>
    <col min="16" max="16" width="21.140625" bestFit="1" customWidth="1"/>
    <col min="17" max="17" width="19.140625" customWidth="1"/>
    <col min="18" max="18" width="23.5703125" bestFit="1" customWidth="1"/>
    <col min="19" max="19" width="24.7109375" bestFit="1" customWidth="1"/>
  </cols>
  <sheetData>
    <row r="1" spans="1:20" x14ac:dyDescent="0.25">
      <c r="A1" t="s">
        <v>291</v>
      </c>
    </row>
    <row r="2" spans="1:20" x14ac:dyDescent="0.25">
      <c r="A2" t="s">
        <v>309</v>
      </c>
    </row>
    <row r="3" spans="1:20" x14ac:dyDescent="0.25">
      <c r="A3" s="274"/>
    </row>
    <row r="4" spans="1:20" hidden="1" outlineLevel="1" x14ac:dyDescent="0.25">
      <c r="A4" s="272" t="s">
        <v>295</v>
      </c>
      <c r="B4" s="253" t="s">
        <v>303</v>
      </c>
    </row>
    <row r="5" spans="1:20" hidden="1" outlineLevel="1" x14ac:dyDescent="0.25">
      <c r="A5" s="272" t="s">
        <v>296</v>
      </c>
      <c r="B5" s="253" t="s">
        <v>301</v>
      </c>
    </row>
    <row r="6" spans="1:20" hidden="1" outlineLevel="1" x14ac:dyDescent="0.25">
      <c r="A6" s="272" t="s">
        <v>297</v>
      </c>
      <c r="B6" s="253" t="s">
        <v>302</v>
      </c>
    </row>
    <row r="7" spans="1:20" hidden="1" outlineLevel="1" x14ac:dyDescent="0.25">
      <c r="A7" s="272" t="s">
        <v>298</v>
      </c>
      <c r="B7" s="253" t="s">
        <v>306</v>
      </c>
    </row>
    <row r="8" spans="1:20" hidden="1" outlineLevel="1" x14ac:dyDescent="0.25">
      <c r="A8" s="272" t="s">
        <v>299</v>
      </c>
      <c r="B8" s="253" t="s">
        <v>304</v>
      </c>
    </row>
    <row r="9" spans="1:20" hidden="1" outlineLevel="1" x14ac:dyDescent="0.25">
      <c r="A9" s="272" t="s">
        <v>300</v>
      </c>
      <c r="B9" s="253" t="s">
        <v>305</v>
      </c>
    </row>
    <row r="10" spans="1:20" hidden="1" outlineLevel="1" x14ac:dyDescent="0.25">
      <c r="E10" s="272" t="s">
        <v>295</v>
      </c>
      <c r="F10" s="272" t="s">
        <v>296</v>
      </c>
      <c r="H10" s="272" t="s">
        <v>298</v>
      </c>
      <c r="I10" s="272" t="s">
        <v>299</v>
      </c>
      <c r="J10" s="272" t="s">
        <v>300</v>
      </c>
    </row>
    <row r="11" spans="1:20" ht="93.75" collapsed="1" x14ac:dyDescent="0.25">
      <c r="A11" s="181" t="s">
        <v>231</v>
      </c>
      <c r="B11" s="181" t="s">
        <v>0</v>
      </c>
      <c r="C11" s="181" t="s">
        <v>254</v>
      </c>
      <c r="D11" s="181" t="s">
        <v>207</v>
      </c>
      <c r="E11" s="181" t="s">
        <v>273</v>
      </c>
      <c r="F11" s="181" t="s">
        <v>274</v>
      </c>
      <c r="G11" s="181" t="s">
        <v>251</v>
      </c>
      <c r="H11" s="181" t="s">
        <v>135</v>
      </c>
      <c r="I11" s="181" t="s">
        <v>132</v>
      </c>
      <c r="J11" s="181" t="s">
        <v>278</v>
      </c>
      <c r="K11" s="181" t="s">
        <v>277</v>
      </c>
      <c r="L11" s="240"/>
      <c r="M11" s="180" t="s">
        <v>229</v>
      </c>
      <c r="N11" s="150"/>
      <c r="O11" s="150" t="s">
        <v>228</v>
      </c>
      <c r="P11" s="174"/>
      <c r="Q11" s="174"/>
      <c r="R11" s="174" t="s">
        <v>223</v>
      </c>
      <c r="S11" s="174" t="s">
        <v>224</v>
      </c>
      <c r="T11" s="174"/>
    </row>
    <row r="12" spans="1:20" ht="38.25" x14ac:dyDescent="0.25">
      <c r="A12" s="197">
        <f t="shared" ref="A12:A18" si="0">RANK(H12,$H$12:$H$68,)</f>
        <v>2</v>
      </c>
      <c r="B12" s="254" t="str">
        <f>VLOOKUP(C12,'Original Concept List'!$B$8:$E$47,4,FALSE)</f>
        <v>Solar</v>
      </c>
      <c r="C12" s="242" t="str">
        <f>'Original Concept List'!B8</f>
        <v>PSE Community Solar</v>
      </c>
      <c r="D12" s="4" t="s">
        <v>100</v>
      </c>
      <c r="E12" s="183" t="str">
        <f>INDEX('Original Concept List'!$B$7:$L$47,MATCH($C12,'Original Concept List'!$B$7:$B$47,0),MATCH(E$11,'Original Concept List'!$B$7:$L$7,0))</f>
        <v>Q1</v>
      </c>
      <c r="F12" s="183" t="str">
        <f t="shared" ref="F12:F18" si="1">IF(AND(H12&gt;=$R$15,I12&gt;=$S$15),"Q1",IF(AND(H12&gt;=$R$15,I12&lt;$S$15),"Q2",IF(AND(H12&lt;$R$15,I12&gt;=$S$15),"Q3",IF(AND(H12&lt;$R$15,I12&lt;$S$15),"Q4"))))</f>
        <v>Q1</v>
      </c>
      <c r="G12" s="183" t="str">
        <f t="shared" ref="G12:G18" si="2">IF(E12=F12, "No", "Yes")</f>
        <v>No</v>
      </c>
      <c r="H12" s="187">
        <f>INDEX('Original Concept List'!$B$7:$AR$47,MATCH($C12,'Original Concept List'!$B$7:$B$47,0),MATCH(H$11,'Original Concept List'!$B$7:$AR$7,0))</f>
        <v>70</v>
      </c>
      <c r="I12" s="187">
        <f>INDEX('Original Concept List'!$B$7:$AR$47,MATCH($C12,'Original Concept List'!$B$7:$B$47,0),MATCH(I$11,'Original Concept List'!$B$7:$AR$7,0))</f>
        <v>100</v>
      </c>
      <c r="J12" s="241" t="s">
        <v>11</v>
      </c>
      <c r="K12" s="250" t="s">
        <v>279</v>
      </c>
      <c r="L12" s="239"/>
      <c r="M12" s="175">
        <f>0</f>
        <v>0</v>
      </c>
      <c r="N12" s="175">
        <f t="shared" ref="N12:N43" si="3">S$15</f>
        <v>67.5</v>
      </c>
      <c r="O12" s="175">
        <f t="shared" ref="O12:O43" si="4">$R$15</f>
        <v>52.5</v>
      </c>
      <c r="P12" s="175">
        <f>M12</f>
        <v>0</v>
      </c>
      <c r="Q12" t="s">
        <v>222</v>
      </c>
      <c r="R12" s="175">
        <f>MAX(H12:H68)</f>
        <v>92.5</v>
      </c>
      <c r="S12" s="175">
        <f>MAX(I12:I68)</f>
        <v>100</v>
      </c>
    </row>
    <row r="13" spans="1:20" ht="25.5" x14ac:dyDescent="0.25">
      <c r="A13" s="198">
        <f t="shared" si="0"/>
        <v>2</v>
      </c>
      <c r="B13" s="254" t="str">
        <f>VLOOKUP(C13,'Original Concept List'!$B$8:$E$47,4,FALSE)</f>
        <v>Battery</v>
      </c>
      <c r="C13" s="242" t="str">
        <f>'Original Concept List'!B25</f>
        <v>PSE Substation Batteries</v>
      </c>
      <c r="D13" s="4" t="s">
        <v>55</v>
      </c>
      <c r="E13" s="183" t="str">
        <f>INDEX('Original Concept List'!$B$7:$L$47,MATCH($C13,'Original Concept List'!$B$7:$B$47,0),MATCH(E$11,'Original Concept List'!$B$7:$L$7,0))</f>
        <v>Q1</v>
      </c>
      <c r="F13" s="183" t="str">
        <f t="shared" si="1"/>
        <v>Q1</v>
      </c>
      <c r="G13" s="183" t="str">
        <f t="shared" si="2"/>
        <v>No</v>
      </c>
      <c r="H13" s="187">
        <f>INDEX('Original Concept List'!$B$7:$AR$47,MATCH($C13,'Original Concept List'!$B$7:$B$47,0),MATCH(H$11,'Original Concept List'!$B$7:$AR$7,0))</f>
        <v>70</v>
      </c>
      <c r="I13" s="187">
        <f>INDEX('Original Concept List'!$B$7:$AR$47,MATCH($C13,'Original Concept List'!$B$7:$B$47,0),MATCH(I$11,'Original Concept List'!$B$7:$AR$7,0))</f>
        <v>100</v>
      </c>
      <c r="J13" s="241" t="s">
        <v>11</v>
      </c>
      <c r="K13" s="250"/>
      <c r="L13" s="239"/>
      <c r="M13" s="175">
        <f>M12+(100/54)</f>
        <v>1.8518518518518519</v>
      </c>
      <c r="N13" s="175">
        <f t="shared" si="3"/>
        <v>67.5</v>
      </c>
      <c r="O13" s="175">
        <f t="shared" si="4"/>
        <v>52.5</v>
      </c>
      <c r="P13" s="175">
        <f t="shared" ref="P13:P68" si="5">M13</f>
        <v>1.8518518518518519</v>
      </c>
      <c r="Q13" t="s">
        <v>225</v>
      </c>
      <c r="R13" s="175">
        <f>MIN(H12:H68)</f>
        <v>5</v>
      </c>
      <c r="S13" s="175">
        <f>MIN(I12:I68)</f>
        <v>0</v>
      </c>
    </row>
    <row r="14" spans="1:20" ht="30" x14ac:dyDescent="0.25">
      <c r="A14" s="198">
        <f t="shared" si="0"/>
        <v>2</v>
      </c>
      <c r="B14" s="254" t="str">
        <f>VLOOKUP(C14,'Original Concept List'!$B$8:$E$47,4,FALSE)</f>
        <v>Solar</v>
      </c>
      <c r="C14" s="242" t="str">
        <f>'Original Concept List'!B24</f>
        <v>Multi-Family Unit Roof-top Solar Leasing</v>
      </c>
      <c r="D14" s="4" t="s">
        <v>49</v>
      </c>
      <c r="E14" s="183" t="str">
        <f>INDEX('Original Concept List'!$B$7:$L$47,MATCH($C14,'Original Concept List'!$B$7:$B$47,0),MATCH(E$11,'Original Concept List'!$B$7:$L$7,0))</f>
        <v>Q4</v>
      </c>
      <c r="F14" s="183" t="str">
        <f t="shared" si="1"/>
        <v>Q2</v>
      </c>
      <c r="G14" s="183" t="str">
        <f t="shared" si="2"/>
        <v>Yes</v>
      </c>
      <c r="H14" s="187">
        <f>INDEX('Original Concept List'!$B$7:$AR$47,MATCH($C14,'Original Concept List'!$B$7:$B$47,0),MATCH(H$11,'Original Concept List'!$B$7:$AR$7,0))</f>
        <v>70</v>
      </c>
      <c r="I14" s="187">
        <f>INDEX('Original Concept List'!$B$7:$AR$47,MATCH($C14,'Original Concept List'!$B$7:$B$47,0),MATCH(I$11,'Original Concept List'!$B$7:$AR$7,0))</f>
        <v>60</v>
      </c>
      <c r="J14" s="241" t="s">
        <v>16</v>
      </c>
      <c r="K14" s="250" t="s">
        <v>286</v>
      </c>
      <c r="L14" s="239"/>
      <c r="M14" s="175">
        <f t="shared" ref="M14:M68" si="6">M13+(100/54)</f>
        <v>3.7037037037037037</v>
      </c>
      <c r="N14" s="175">
        <f t="shared" si="3"/>
        <v>67.5</v>
      </c>
      <c r="O14" s="175">
        <f t="shared" si="4"/>
        <v>52.5</v>
      </c>
      <c r="P14" s="175">
        <f t="shared" si="5"/>
        <v>3.7037037037037037</v>
      </c>
      <c r="Q14" t="s">
        <v>230</v>
      </c>
      <c r="R14" s="175">
        <f>AVERAGE(H12:H68)</f>
        <v>51.875</v>
      </c>
      <c r="S14" s="175">
        <f>AVERAGE(I12:I68)</f>
        <v>65.75</v>
      </c>
    </row>
    <row r="15" spans="1:20" ht="25.5" x14ac:dyDescent="0.25">
      <c r="A15" s="198">
        <f t="shared" si="0"/>
        <v>5</v>
      </c>
      <c r="B15" s="254" t="str">
        <f>VLOOKUP(C15,'Original Concept List'!$B$8:$E$47,4,FALSE)</f>
        <v>Solar</v>
      </c>
      <c r="C15" s="242" t="str">
        <f>'Original Concept List'!B16</f>
        <v>C&amp;I Roof-top Solar Leasing</v>
      </c>
      <c r="D15" s="4" t="s">
        <v>75</v>
      </c>
      <c r="E15" s="183" t="str">
        <f>INDEX('Original Concept List'!$B$7:$L$47,MATCH($C15,'Original Concept List'!$B$7:$B$47,0),MATCH(E$11,'Original Concept List'!$B$7:$L$7,0))</f>
        <v>Q2</v>
      </c>
      <c r="F15" s="183" t="str">
        <f t="shared" si="1"/>
        <v>Q1</v>
      </c>
      <c r="G15" s="183" t="str">
        <f t="shared" si="2"/>
        <v>Yes</v>
      </c>
      <c r="H15" s="187">
        <f>INDEX('Original Concept List'!$B$7:$AR$47,MATCH($C15,'Original Concept List'!$B$7:$B$47,0),MATCH(H$11,'Original Concept List'!$B$7:$AR$7,0))</f>
        <v>67.5</v>
      </c>
      <c r="I15" s="187">
        <f>INDEX('Original Concept List'!$B$7:$AR$47,MATCH($C15,'Original Concept List'!$B$7:$B$47,0),MATCH(I$11,'Original Concept List'!$B$7:$AR$7,0))</f>
        <v>75</v>
      </c>
      <c r="J15" s="241" t="s">
        <v>11</v>
      </c>
      <c r="K15" s="250"/>
      <c r="L15" s="239"/>
      <c r="M15" s="175">
        <f t="shared" si="6"/>
        <v>5.5555555555555554</v>
      </c>
      <c r="N15" s="175">
        <f t="shared" si="3"/>
        <v>67.5</v>
      </c>
      <c r="O15" s="175">
        <f t="shared" si="4"/>
        <v>52.5</v>
      </c>
      <c r="P15" s="175">
        <f t="shared" si="5"/>
        <v>5.5555555555555554</v>
      </c>
      <c r="Q15" t="s">
        <v>226</v>
      </c>
      <c r="R15" s="175">
        <f>MEDIAN(H12:H68)</f>
        <v>52.5</v>
      </c>
      <c r="S15" s="175">
        <f>MEDIAN(I12:I68)</f>
        <v>67.5</v>
      </c>
    </row>
    <row r="16" spans="1:20" ht="38.25" x14ac:dyDescent="0.25">
      <c r="A16" s="198">
        <f t="shared" si="0"/>
        <v>7</v>
      </c>
      <c r="B16" s="254" t="str">
        <f>VLOOKUP(C16,'Original Concept List'!$B$8:$E$47,4,FALSE)</f>
        <v>Battery</v>
      </c>
      <c r="C16" s="242" t="str">
        <f>'Original Concept List'!B26</f>
        <v>PSE Utility-Scale Distributed Battery Stations</v>
      </c>
      <c r="D16" s="4" t="s">
        <v>258</v>
      </c>
      <c r="E16" s="183" t="str">
        <f>INDEX('Original Concept List'!$B$7:$L$47,MATCH($C16,'Original Concept List'!$B$7:$B$47,0),MATCH(E$11,'Original Concept List'!$B$7:$L$7,0))</f>
        <v>Q1</v>
      </c>
      <c r="F16" s="183" t="str">
        <f t="shared" si="1"/>
        <v>Q1</v>
      </c>
      <c r="G16" s="183" t="str">
        <f t="shared" si="2"/>
        <v>No</v>
      </c>
      <c r="H16" s="187">
        <f>INDEX('Original Concept List'!$B$7:$AR$47,MATCH($C16,'Original Concept List'!$B$7:$B$47,0),MATCH(H$11,'Original Concept List'!$B$7:$AR$7,0))</f>
        <v>62.5</v>
      </c>
      <c r="I16" s="187">
        <f>INDEX('Original Concept List'!$B$7:$AR$47,MATCH($C16,'Original Concept List'!$B$7:$B$47,0),MATCH(I$11,'Original Concept List'!$B$7:$AR$7,0))</f>
        <v>100</v>
      </c>
      <c r="J16" s="241" t="s">
        <v>11</v>
      </c>
      <c r="K16" s="250"/>
      <c r="L16" s="239"/>
      <c r="M16" s="175">
        <f>M14+(100/54)</f>
        <v>5.5555555555555554</v>
      </c>
      <c r="N16" s="175">
        <f t="shared" si="3"/>
        <v>67.5</v>
      </c>
      <c r="O16" s="175">
        <f t="shared" si="4"/>
        <v>52.5</v>
      </c>
      <c r="P16" s="175">
        <f t="shared" si="5"/>
        <v>5.5555555555555554</v>
      </c>
      <c r="Q16" t="s">
        <v>227</v>
      </c>
      <c r="R16" s="175">
        <f>_xlfn.STDEV.P(H12:H68)</f>
        <v>15.769333372086468</v>
      </c>
      <c r="S16" s="175">
        <f>_xlfn.STDEV.P(I12:I68)</f>
        <v>23.784185922583099</v>
      </c>
    </row>
    <row r="17" spans="1:18" ht="25.5" x14ac:dyDescent="0.25">
      <c r="A17" s="198">
        <f t="shared" si="0"/>
        <v>7</v>
      </c>
      <c r="B17" s="254" t="str">
        <f>VLOOKUP(C17,'Original Concept List'!$B$8:$E$47,4,FALSE)</f>
        <v>Solar</v>
      </c>
      <c r="C17" s="242" t="str">
        <f>'Original Concept List'!B9</f>
        <v>PSE Community Solar - Low Income</v>
      </c>
      <c r="D17" s="4" t="s">
        <v>13</v>
      </c>
      <c r="E17" s="183" t="str">
        <f>INDEX('Original Concept List'!$B$7:$L$47,MATCH($C17,'Original Concept List'!$B$7:$B$47,0),MATCH(E$11,'Original Concept List'!$B$7:$L$7,0))</f>
        <v>Q1</v>
      </c>
      <c r="F17" s="183" t="str">
        <f t="shared" si="1"/>
        <v>Q1</v>
      </c>
      <c r="G17" s="183" t="str">
        <f t="shared" si="2"/>
        <v>No</v>
      </c>
      <c r="H17" s="187">
        <f>INDEX('Original Concept List'!$B$7:$AR$47,MATCH($C17,'Original Concept List'!$B$7:$B$47,0),MATCH(H$11,'Original Concept List'!$B$7:$AR$7,0))</f>
        <v>62.5</v>
      </c>
      <c r="I17" s="187">
        <f>INDEX('Original Concept List'!$B$7:$AR$47,MATCH($C17,'Original Concept List'!$B$7:$B$47,0),MATCH(I$11,'Original Concept List'!$B$7:$AR$7,0))</f>
        <v>100</v>
      </c>
      <c r="J17" s="241" t="s">
        <v>11</v>
      </c>
      <c r="K17" s="250" t="s">
        <v>279</v>
      </c>
      <c r="L17" s="239"/>
      <c r="M17" s="175">
        <f t="shared" si="6"/>
        <v>7.4074074074074074</v>
      </c>
      <c r="N17" s="175">
        <f t="shared" si="3"/>
        <v>67.5</v>
      </c>
      <c r="O17" s="175">
        <f t="shared" si="4"/>
        <v>52.5</v>
      </c>
      <c r="P17" s="175">
        <f t="shared" si="5"/>
        <v>7.4074074074074074</v>
      </c>
    </row>
    <row r="18" spans="1:18" ht="25.5" x14ac:dyDescent="0.25">
      <c r="A18" s="198">
        <f t="shared" si="0"/>
        <v>7</v>
      </c>
      <c r="B18" s="254" t="str">
        <f>VLOOKUP(C18,'Original Concept List'!$B$8:$E$47,4,FALSE)</f>
        <v>Battery</v>
      </c>
      <c r="C18" s="242" t="str">
        <f>'Original Concept List'!B46</f>
        <v>Public Space Leasing for Batteries</v>
      </c>
      <c r="D18" s="4" t="s">
        <v>122</v>
      </c>
      <c r="E18" s="183" t="str">
        <f>INDEX('Original Concept List'!$B$7:$L$47,MATCH($C18,'Original Concept List'!$B$7:$B$47,0),MATCH(E$11,'Original Concept List'!$B$7:$L$7,0))</f>
        <v>Q3</v>
      </c>
      <c r="F18" s="183" t="str">
        <f t="shared" si="1"/>
        <v>Q2</v>
      </c>
      <c r="G18" s="183" t="str">
        <f t="shared" si="2"/>
        <v>Yes</v>
      </c>
      <c r="H18" s="187">
        <f>INDEX('Original Concept List'!$B$7:$AR$47,MATCH($C18,'Original Concept List'!$B$7:$B$47,0),MATCH(H$11,'Original Concept List'!$B$7:$AR$7,0))</f>
        <v>62.5</v>
      </c>
      <c r="I18" s="187">
        <f>INDEX('Original Concept List'!$B$7:$AR$47,MATCH($C18,'Original Concept List'!$B$7:$B$47,0),MATCH(I$11,'Original Concept List'!$B$7:$AR$7,0))</f>
        <v>65</v>
      </c>
      <c r="J18" s="241" t="s">
        <v>16</v>
      </c>
      <c r="K18" s="250" t="s">
        <v>280</v>
      </c>
      <c r="L18" s="239"/>
      <c r="M18" s="175">
        <f>M17+(100/54)</f>
        <v>9.2592592592592595</v>
      </c>
      <c r="N18" s="175">
        <f t="shared" si="3"/>
        <v>67.5</v>
      </c>
      <c r="O18" s="175">
        <f t="shared" si="4"/>
        <v>52.5</v>
      </c>
      <c r="P18" s="175">
        <f t="shared" si="5"/>
        <v>9.2592592592592595</v>
      </c>
    </row>
    <row r="19" spans="1:18" hidden="1" x14ac:dyDescent="0.25">
      <c r="A19" s="198"/>
      <c r="B19" s="206"/>
      <c r="C19" s="186"/>
      <c r="D19" s="207"/>
      <c r="E19" s="183"/>
      <c r="F19" s="183"/>
      <c r="G19" s="183"/>
      <c r="H19" s="187"/>
      <c r="I19" s="187"/>
      <c r="J19" s="239"/>
      <c r="K19" s="239"/>
      <c r="L19" s="239"/>
      <c r="M19" s="175">
        <f t="shared" si="6"/>
        <v>11.111111111111111</v>
      </c>
      <c r="N19" s="175">
        <f t="shared" si="3"/>
        <v>67.5</v>
      </c>
      <c r="O19" s="175">
        <f t="shared" si="4"/>
        <v>52.5</v>
      </c>
      <c r="P19" s="175">
        <f t="shared" si="5"/>
        <v>11.111111111111111</v>
      </c>
      <c r="Q19" t="s">
        <v>232</v>
      </c>
      <c r="R19">
        <v>54</v>
      </c>
    </row>
    <row r="20" spans="1:18" hidden="1" x14ac:dyDescent="0.25">
      <c r="A20" s="198"/>
      <c r="B20" s="206"/>
      <c r="C20" s="186"/>
      <c r="D20" s="207"/>
      <c r="E20" s="183"/>
      <c r="F20" s="183"/>
      <c r="G20" s="183"/>
      <c r="H20" s="187"/>
      <c r="I20" s="187"/>
      <c r="J20" s="239"/>
      <c r="K20" s="239"/>
      <c r="L20" s="239"/>
      <c r="M20" s="175">
        <f t="shared" si="6"/>
        <v>12.962962962962962</v>
      </c>
      <c r="N20" s="175">
        <f t="shared" si="3"/>
        <v>67.5</v>
      </c>
      <c r="O20" s="175">
        <f t="shared" si="4"/>
        <v>52.5</v>
      </c>
      <c r="P20" s="175">
        <f t="shared" si="5"/>
        <v>12.962962962962962</v>
      </c>
      <c r="Q20" t="s">
        <v>233</v>
      </c>
      <c r="R20">
        <f>COUNTIF(G12:G68,"Yes")</f>
        <v>20</v>
      </c>
    </row>
    <row r="21" spans="1:18" ht="38.25" x14ac:dyDescent="0.25">
      <c r="A21" s="198">
        <f>RANK(H21,$H$12:$H$68,)</f>
        <v>12</v>
      </c>
      <c r="B21" s="254" t="str">
        <f>VLOOKUP(C21,'Original Concept List'!$B$8:$E$47,4,FALSE)</f>
        <v>Solar</v>
      </c>
      <c r="C21" s="242" t="str">
        <f>'Original Concept List'!B17</f>
        <v>C&amp;I Small &amp; Minority-owned Business Roof-top Solar Leasing</v>
      </c>
      <c r="D21" s="4" t="s">
        <v>74</v>
      </c>
      <c r="E21" s="183" t="str">
        <f>INDEX('Original Concept List'!$B$7:$L$47,MATCH($C21,'Original Concept List'!$B$7:$B$47,0),MATCH(E$11,'Original Concept List'!$B$7:$L$7,0))</f>
        <v>Q2</v>
      </c>
      <c r="F21" s="183" t="str">
        <f>IF(AND(H21&gt;=$R$15,I21&gt;=$S$15),"Q1",IF(AND(H21&gt;=$R$15,I21&lt;$S$15),"Q2",IF(AND(H21&lt;$R$15,I21&gt;=$S$15),"Q3",IF(AND(H21&lt;$R$15,I21&lt;$S$15),"Q4"))))</f>
        <v>Q1</v>
      </c>
      <c r="G21" s="183" t="str">
        <f>IF(E21=F21, "No", "Yes")</f>
        <v>Yes</v>
      </c>
      <c r="H21" s="187">
        <f>INDEX('Original Concept List'!$B$7:$AR$47,MATCH($C21,'Original Concept List'!$B$7:$B$47,0),MATCH(H$11,'Original Concept List'!$B$7:$AR$7,0))</f>
        <v>60</v>
      </c>
      <c r="I21" s="187">
        <f>INDEX('Original Concept List'!$B$7:$AR$47,MATCH($C21,'Original Concept List'!$B$7:$B$47,0),MATCH(I$11,'Original Concept List'!$B$7:$AR$7,0))</f>
        <v>75</v>
      </c>
      <c r="J21" s="241" t="s">
        <v>16</v>
      </c>
      <c r="K21" s="250" t="s">
        <v>288</v>
      </c>
      <c r="L21" s="239"/>
      <c r="M21" s="175">
        <f>M20+(100/54)</f>
        <v>14.814814814814813</v>
      </c>
      <c r="N21" s="175">
        <f t="shared" si="3"/>
        <v>67.5</v>
      </c>
      <c r="O21" s="175">
        <f t="shared" si="4"/>
        <v>52.5</v>
      </c>
      <c r="P21" s="175">
        <f t="shared" si="5"/>
        <v>14.814814814814813</v>
      </c>
    </row>
    <row r="22" spans="1:18" hidden="1" x14ac:dyDescent="0.25">
      <c r="A22" s="198"/>
      <c r="B22" s="206"/>
      <c r="C22" s="186"/>
      <c r="D22" s="207"/>
      <c r="E22" s="183"/>
      <c r="F22" s="183"/>
      <c r="G22" s="183"/>
      <c r="H22" s="187"/>
      <c r="I22" s="187"/>
      <c r="J22" s="239"/>
      <c r="K22" s="239"/>
      <c r="L22" s="239"/>
      <c r="M22" s="175">
        <f t="shared" si="6"/>
        <v>16.666666666666664</v>
      </c>
      <c r="N22" s="175">
        <f t="shared" si="3"/>
        <v>67.5</v>
      </c>
      <c r="O22" s="175">
        <f t="shared" si="4"/>
        <v>52.5</v>
      </c>
      <c r="P22" s="175">
        <f t="shared" si="5"/>
        <v>16.666666666666664</v>
      </c>
    </row>
    <row r="23" spans="1:18" ht="25.5" x14ac:dyDescent="0.25">
      <c r="A23" s="198">
        <f t="shared" ref="A23:A28" si="7">RANK(H23,$H$12:$H$68,)</f>
        <v>14</v>
      </c>
      <c r="B23" s="254" t="str">
        <f>VLOOKUP(C23,'Original Concept List'!$B$8:$E$47,4,FALSE)</f>
        <v>Solar</v>
      </c>
      <c r="C23" s="242" t="str">
        <f>'Original Concept List'!B10</f>
        <v>Net Metering (Existing)</v>
      </c>
      <c r="D23" s="4" t="s">
        <v>131</v>
      </c>
      <c r="E23" s="183" t="str">
        <f>INDEX('Original Concept List'!$B$7:$L$47,MATCH($C23,'Original Concept List'!$B$7:$B$47,0),MATCH(E$11,'Original Concept List'!$B$7:$L$7,0))</f>
        <v>Q1</v>
      </c>
      <c r="F23" s="183" t="str">
        <f t="shared" ref="F23:F28" si="8">IF(AND(H23&gt;=$R$15,I23&gt;=$S$15),"Q1",IF(AND(H23&gt;=$R$15,I23&lt;$S$15),"Q2",IF(AND(H23&lt;$R$15,I23&gt;=$S$15),"Q3",IF(AND(H23&lt;$R$15,I23&lt;$S$15),"Q4"))))</f>
        <v>Q1</v>
      </c>
      <c r="G23" s="183" t="str">
        <f t="shared" ref="G23:G28" si="9">IF(E23=F23, "No", "Yes")</f>
        <v>No</v>
      </c>
      <c r="H23" s="187">
        <f>INDEX('Original Concept List'!$B$7:$AR$47,MATCH($C23,'Original Concept List'!$B$7:$B$47,0),MATCH(H$11,'Original Concept List'!$B$7:$AR$7,0))</f>
        <v>55</v>
      </c>
      <c r="I23" s="187">
        <f>INDEX('Original Concept List'!$B$7:$AR$47,MATCH($C23,'Original Concept List'!$B$7:$B$47,0),MATCH(I$11,'Original Concept List'!$B$7:$AR$7,0))</f>
        <v>100</v>
      </c>
      <c r="J23" s="241" t="s">
        <v>11</v>
      </c>
      <c r="K23" s="250" t="s">
        <v>279</v>
      </c>
      <c r="L23" s="239"/>
      <c r="M23" s="175">
        <f>M22+(100/54)</f>
        <v>18.518518518518515</v>
      </c>
      <c r="N23" s="175">
        <f t="shared" si="3"/>
        <v>67.5</v>
      </c>
      <c r="O23" s="175">
        <f t="shared" si="4"/>
        <v>52.5</v>
      </c>
      <c r="P23" s="175">
        <f t="shared" si="5"/>
        <v>18.518518518518515</v>
      </c>
    </row>
    <row r="24" spans="1:18" ht="25.5" x14ac:dyDescent="0.25">
      <c r="A24" s="198">
        <f t="shared" si="7"/>
        <v>14</v>
      </c>
      <c r="B24" s="254" t="str">
        <f>VLOOKUP(C24,'Original Concept List'!$B$8:$E$47,4,FALSE)</f>
        <v>Solar</v>
      </c>
      <c r="C24" s="242" t="str">
        <f>'Original Concept List'!B15</f>
        <v>C&amp;I Roof-top Solar Incentive</v>
      </c>
      <c r="D24" s="4" t="s">
        <v>110</v>
      </c>
      <c r="E24" s="183" t="str">
        <f>INDEX('Original Concept List'!$B$7:$L$47,MATCH($C24,'Original Concept List'!$B$7:$B$47,0),MATCH(E$11,'Original Concept List'!$B$7:$L$7,0))</f>
        <v>Q3</v>
      </c>
      <c r="F24" s="183" t="str">
        <f t="shared" si="8"/>
        <v>Q1</v>
      </c>
      <c r="G24" s="183" t="str">
        <f t="shared" si="9"/>
        <v>Yes</v>
      </c>
      <c r="H24" s="187">
        <f>INDEX('Original Concept List'!$B$7:$AR$47,MATCH($C24,'Original Concept List'!$B$7:$B$47,0),MATCH(H$11,'Original Concept List'!$B$7:$AR$7,0))</f>
        <v>55</v>
      </c>
      <c r="I24" s="187">
        <f>INDEX('Original Concept List'!$B$7:$AR$47,MATCH($C24,'Original Concept List'!$B$7:$B$47,0),MATCH(I$11,'Original Concept List'!$B$7:$AR$7,0))</f>
        <v>90</v>
      </c>
      <c r="J24" s="241" t="s">
        <v>11</v>
      </c>
      <c r="K24" s="250"/>
      <c r="L24" s="239"/>
      <c r="M24" s="175">
        <f t="shared" si="6"/>
        <v>20.370370370370367</v>
      </c>
      <c r="N24" s="175">
        <f t="shared" si="3"/>
        <v>67.5</v>
      </c>
      <c r="O24" s="175">
        <f t="shared" si="4"/>
        <v>52.5</v>
      </c>
      <c r="P24" s="175">
        <f t="shared" si="5"/>
        <v>20.370370370370367</v>
      </c>
    </row>
    <row r="25" spans="1:18" ht="38.25" x14ac:dyDescent="0.25">
      <c r="A25" s="198">
        <f t="shared" si="7"/>
        <v>14</v>
      </c>
      <c r="B25" s="254" t="s">
        <v>8</v>
      </c>
      <c r="C25" s="242" t="s">
        <v>236</v>
      </c>
      <c r="D25" s="4" t="s">
        <v>237</v>
      </c>
      <c r="E25" s="183" t="str">
        <f>INDEX('Original Concept List'!$B$7:$L$47,MATCH($C25,'Original Concept List'!$B$7:$B$47,0),MATCH(E$11,'Original Concept List'!$B$7:$L$7,0))</f>
        <v>Q1</v>
      </c>
      <c r="F25" s="183" t="str">
        <f t="shared" si="8"/>
        <v>Q1</v>
      </c>
      <c r="G25" s="183" t="str">
        <f t="shared" si="9"/>
        <v>No</v>
      </c>
      <c r="H25" s="187">
        <f>INDEX('Original Concept List'!$B$7:$AR$47,MATCH($C25,'Original Concept List'!$B$7:$B$47,0),MATCH(H$11,'Original Concept List'!$B$7:$AR$7,0))</f>
        <v>55</v>
      </c>
      <c r="I25" s="187">
        <f>INDEX('Original Concept List'!$B$7:$AR$47,MATCH($C25,'Original Concept List'!$B$7:$B$47,0),MATCH(I$11,'Original Concept List'!$B$7:$AR$7,0))</f>
        <v>100</v>
      </c>
      <c r="J25" s="241" t="s">
        <v>11</v>
      </c>
      <c r="K25" s="250" t="s">
        <v>279</v>
      </c>
      <c r="L25" s="239"/>
      <c r="M25" s="175">
        <f t="shared" si="6"/>
        <v>22.222222222222218</v>
      </c>
      <c r="N25" s="175">
        <f t="shared" si="3"/>
        <v>67.5</v>
      </c>
      <c r="O25" s="175">
        <f t="shared" si="4"/>
        <v>52.5</v>
      </c>
      <c r="P25" s="175">
        <f t="shared" si="5"/>
        <v>22.222222222222218</v>
      </c>
    </row>
    <row r="26" spans="1:18" ht="25.5" x14ac:dyDescent="0.25">
      <c r="A26" s="198">
        <f t="shared" si="7"/>
        <v>14</v>
      </c>
      <c r="B26" s="254" t="str">
        <f>VLOOKUP(C26,'Original Concept List'!$B$8:$E$47,4,FALSE)</f>
        <v>Battery</v>
      </c>
      <c r="C26" s="242" t="str">
        <f>'Original Concept List'!B27</f>
        <v>PSE Mobile Batteries</v>
      </c>
      <c r="D26" s="4" t="s">
        <v>129</v>
      </c>
      <c r="E26" s="183" t="str">
        <f>INDEX('Original Concept List'!$B$7:$L$47,MATCH($C26,'Original Concept List'!$B$7:$B$47,0),MATCH(E$11,'Original Concept List'!$B$7:$L$7,0))</f>
        <v>Q2</v>
      </c>
      <c r="F26" s="183" t="str">
        <f t="shared" si="8"/>
        <v>Q1</v>
      </c>
      <c r="G26" s="183" t="str">
        <f t="shared" si="9"/>
        <v>Yes</v>
      </c>
      <c r="H26" s="187">
        <f>INDEX('Original Concept List'!$B$7:$AR$47,MATCH($C26,'Original Concept List'!$B$7:$B$47,0),MATCH(H$11,'Original Concept List'!$B$7:$AR$7,0))</f>
        <v>55</v>
      </c>
      <c r="I26" s="187">
        <f>INDEX('Original Concept List'!$B$7:$AR$47,MATCH($C26,'Original Concept List'!$B$7:$B$47,0),MATCH(I$11,'Original Concept List'!$B$7:$AR$7,0))</f>
        <v>70</v>
      </c>
      <c r="J26" s="241" t="s">
        <v>11</v>
      </c>
      <c r="K26" s="250"/>
      <c r="L26" s="239"/>
      <c r="M26" s="175">
        <f t="shared" si="6"/>
        <v>24.074074074074069</v>
      </c>
      <c r="N26" s="175">
        <f t="shared" si="3"/>
        <v>67.5</v>
      </c>
      <c r="O26" s="175">
        <f t="shared" si="4"/>
        <v>52.5</v>
      </c>
      <c r="P26" s="175">
        <f t="shared" si="5"/>
        <v>24.074074074074069</v>
      </c>
    </row>
    <row r="27" spans="1:18" ht="38.25" x14ac:dyDescent="0.25">
      <c r="A27" s="198">
        <f t="shared" si="7"/>
        <v>20</v>
      </c>
      <c r="B27" s="254" t="str">
        <f>VLOOKUP(C27,'Original Concept List'!$B$8:$E$47,4,FALSE)</f>
        <v>Battery</v>
      </c>
      <c r="C27" s="242" t="str">
        <f>'Original Concept List'!B31</f>
        <v>3rd Party Utility-scale Distributed Battery PPA</v>
      </c>
      <c r="D27" s="4" t="s">
        <v>242</v>
      </c>
      <c r="E27" s="183" t="str">
        <f>INDEX('Original Concept List'!$B$7:$L$47,MATCH($C27,'Original Concept List'!$B$7:$B$47,0),MATCH(E$11,'Original Concept List'!$B$7:$L$7,0))</f>
        <v>Q1</v>
      </c>
      <c r="F27" s="183" t="str">
        <f t="shared" si="8"/>
        <v>Q1</v>
      </c>
      <c r="G27" s="183" t="str">
        <f t="shared" si="9"/>
        <v>No</v>
      </c>
      <c r="H27" s="187">
        <f>INDEX('Original Concept List'!$B$7:$AR$47,MATCH($C27,'Original Concept List'!$B$7:$B$47,0),MATCH(H$11,'Original Concept List'!$B$7:$AR$7,0))</f>
        <v>52.5</v>
      </c>
      <c r="I27" s="187">
        <f>INDEX('Original Concept List'!$B$7:$AR$47,MATCH($C27,'Original Concept List'!$B$7:$B$47,0),MATCH(I$11,'Original Concept List'!$B$7:$AR$7,0))</f>
        <v>80</v>
      </c>
      <c r="J27" s="241" t="s">
        <v>11</v>
      </c>
      <c r="K27" s="250"/>
      <c r="L27" s="239"/>
      <c r="M27" s="175">
        <f t="shared" si="6"/>
        <v>25.92592592592592</v>
      </c>
      <c r="N27" s="175">
        <f t="shared" si="3"/>
        <v>67.5</v>
      </c>
      <c r="O27" s="175">
        <f t="shared" si="4"/>
        <v>52.5</v>
      </c>
      <c r="P27" s="175">
        <f t="shared" si="5"/>
        <v>25.92592592592592</v>
      </c>
    </row>
    <row r="28" spans="1:18" ht="30" x14ac:dyDescent="0.25">
      <c r="A28" s="198">
        <f t="shared" si="7"/>
        <v>20</v>
      </c>
      <c r="B28" s="254" t="str">
        <f>VLOOKUP(C28,'Original Concept List'!$B$8:$E$47,4,FALSE)</f>
        <v>Battery</v>
      </c>
      <c r="C28" s="242" t="str">
        <f>'Original Concept List'!B44</f>
        <v>Residential PSE Battery Leasing Pilot - Low Income</v>
      </c>
      <c r="D28" s="4" t="s">
        <v>120</v>
      </c>
      <c r="E28" s="183" t="str">
        <f>INDEX('Original Concept List'!$B$7:$L$47,MATCH($C28,'Original Concept List'!$B$7:$B$47,0),MATCH(E$11,'Original Concept List'!$B$7:$L$7,0))</f>
        <v>Q2</v>
      </c>
      <c r="F28" s="183" t="str">
        <f t="shared" si="8"/>
        <v>Q1</v>
      </c>
      <c r="G28" s="183" t="str">
        <f t="shared" si="9"/>
        <v>Yes</v>
      </c>
      <c r="H28" s="187">
        <f>INDEX('Original Concept List'!$B$7:$AR$47,MATCH($C28,'Original Concept List'!$B$7:$B$47,0),MATCH(H$11,'Original Concept List'!$B$7:$AR$7,0))</f>
        <v>52.5</v>
      </c>
      <c r="I28" s="187">
        <f>INDEX('Original Concept List'!$B$7:$AR$47,MATCH($C28,'Original Concept List'!$B$7:$B$47,0),MATCH(I$11,'Original Concept List'!$B$7:$AR$7,0))</f>
        <v>75</v>
      </c>
      <c r="J28" s="241" t="s">
        <v>11</v>
      </c>
      <c r="K28" s="250"/>
      <c r="L28" s="239"/>
      <c r="M28" s="175">
        <f t="shared" si="6"/>
        <v>27.777777777777771</v>
      </c>
      <c r="N28" s="175">
        <f t="shared" si="3"/>
        <v>67.5</v>
      </c>
      <c r="O28" s="175">
        <f t="shared" si="4"/>
        <v>52.5</v>
      </c>
      <c r="P28" s="175">
        <f t="shared" si="5"/>
        <v>27.777777777777771</v>
      </c>
    </row>
    <row r="29" spans="1:18" hidden="1" x14ac:dyDescent="0.25">
      <c r="A29" s="198"/>
      <c r="B29" s="206"/>
      <c r="C29" s="186"/>
      <c r="D29" s="207"/>
      <c r="E29" s="183"/>
      <c r="F29" s="183"/>
      <c r="G29" s="183"/>
      <c r="H29" s="187"/>
      <c r="I29" s="187"/>
      <c r="J29" s="239"/>
      <c r="K29" s="239"/>
      <c r="L29" s="239"/>
      <c r="M29" s="175">
        <f t="shared" si="6"/>
        <v>29.629629629629623</v>
      </c>
      <c r="N29" s="175">
        <f t="shared" si="3"/>
        <v>67.5</v>
      </c>
      <c r="O29" s="175">
        <f t="shared" si="4"/>
        <v>52.5</v>
      </c>
      <c r="P29" s="175">
        <f t="shared" si="5"/>
        <v>29.629629629629623</v>
      </c>
    </row>
    <row r="30" spans="1:18" ht="38.25" x14ac:dyDescent="0.25">
      <c r="A30" s="198">
        <f t="shared" ref="A30:A44" si="10">RANK(H30,$H$12:$H$68,)</f>
        <v>20</v>
      </c>
      <c r="B30" s="254" t="str">
        <f>VLOOKUP(C30,'Original Concept List'!$B$8:$E$47,4,FALSE)</f>
        <v>Solar</v>
      </c>
      <c r="C30" s="242" t="str">
        <f>'Original Concept List'!B13</f>
        <v>3rd Party Distributed Solar PPA or Solar Lease</v>
      </c>
      <c r="D30" s="4" t="s">
        <v>101</v>
      </c>
      <c r="E30" s="183" t="str">
        <f>INDEX('Original Concept List'!$B$7:$L$47,MATCH($C30,'Original Concept List'!$B$7:$B$47,0),MATCH(E$11,'Original Concept List'!$B$7:$L$7,0))</f>
        <v>Q3</v>
      </c>
      <c r="F30" s="183" t="str">
        <f t="shared" ref="F30:F44" si="11">IF(AND(H30&gt;=$R$15,I30&gt;=$S$15),"Q1",IF(AND(H30&gt;=$R$15,I30&lt;$S$15),"Q2",IF(AND(H30&lt;$R$15,I30&gt;=$S$15),"Q3",IF(AND(H30&lt;$R$15,I30&lt;$S$15),"Q4"))))</f>
        <v>Q1</v>
      </c>
      <c r="G30" s="183" t="str">
        <f t="shared" ref="G30:G44" si="12">IF(E30=F30, "No", "Yes")</f>
        <v>Yes</v>
      </c>
      <c r="H30" s="187">
        <f>INDEX('Original Concept List'!$B$7:$AR$47,MATCH($C30,'Original Concept List'!$B$7:$B$47,0),MATCH(H$11,'Original Concept List'!$B$7:$AR$7,0))</f>
        <v>52.5</v>
      </c>
      <c r="I30" s="187">
        <f>INDEX('Original Concept List'!$B$7:$AR$47,MATCH($C30,'Original Concept List'!$B$7:$B$47,0),MATCH(I$11,'Original Concept List'!$B$7:$AR$7,0))</f>
        <v>70</v>
      </c>
      <c r="J30" s="241" t="s">
        <v>11</v>
      </c>
      <c r="K30" s="250"/>
      <c r="L30" s="239"/>
      <c r="M30" s="175">
        <f>M29+(100/54)</f>
        <v>31.481481481481474</v>
      </c>
      <c r="N30" s="175">
        <f t="shared" si="3"/>
        <v>67.5</v>
      </c>
      <c r="O30" s="175">
        <f t="shared" si="4"/>
        <v>52.5</v>
      </c>
      <c r="P30" s="175">
        <f t="shared" si="5"/>
        <v>31.481481481481474</v>
      </c>
    </row>
    <row r="31" spans="1:18" ht="38.25" x14ac:dyDescent="0.25">
      <c r="A31" s="198">
        <f t="shared" si="10"/>
        <v>1</v>
      </c>
      <c r="B31" s="254" t="str">
        <f>VLOOKUP(C31,'Original Concept List'!$B$8:$E$47,4,FALSE)</f>
        <v>Solar+BESS</v>
      </c>
      <c r="C31" s="242" t="str">
        <f>'Original Concept List'!B47</f>
        <v>PSE Customer-Sited Solar+Storage Offering</v>
      </c>
      <c r="D31" s="4" t="s">
        <v>256</v>
      </c>
      <c r="E31" s="183" t="str">
        <f>INDEX('Original Concept List'!$B$7:$L$47,MATCH($C31,'Original Concept List'!$B$7:$B$47,0),MATCH(E$11,'Original Concept List'!$B$7:$L$7,0))</f>
        <v>N/A</v>
      </c>
      <c r="F31" s="183" t="str">
        <f t="shared" si="11"/>
        <v>Q2</v>
      </c>
      <c r="G31" s="183" t="str">
        <f t="shared" si="12"/>
        <v>Yes</v>
      </c>
      <c r="H31" s="187">
        <f>INDEX('Original Concept List'!$B$7:$AR$47,MATCH($C31,'Original Concept List'!$B$7:$B$47,0),MATCH(H$11,'Original Concept List'!$B$7:$AR$7,0))</f>
        <v>92.5</v>
      </c>
      <c r="I31" s="187">
        <f>INDEX('Original Concept List'!$B$7:$AR$47,MATCH($C31,'Original Concept List'!$B$7:$B$47,0),MATCH(I$11,'Original Concept List'!$B$7:$AR$7,0))</f>
        <v>55</v>
      </c>
      <c r="J31" s="241" t="s">
        <v>11</v>
      </c>
      <c r="K31" s="250"/>
      <c r="L31" s="239"/>
      <c r="M31" s="175">
        <f t="shared" si="6"/>
        <v>33.333333333333329</v>
      </c>
      <c r="N31" s="175">
        <f t="shared" si="3"/>
        <v>67.5</v>
      </c>
      <c r="O31" s="175">
        <f t="shared" si="4"/>
        <v>52.5</v>
      </c>
      <c r="P31" s="175">
        <f t="shared" si="5"/>
        <v>33.333333333333329</v>
      </c>
    </row>
    <row r="32" spans="1:18" ht="25.5" x14ac:dyDescent="0.25">
      <c r="A32" s="198">
        <f t="shared" si="10"/>
        <v>5</v>
      </c>
      <c r="B32" s="254" t="str">
        <f>VLOOKUP(C32,'Original Concept List'!$B$8:$E$47,4,FALSE)</f>
        <v>Battery</v>
      </c>
      <c r="C32" s="242" t="str">
        <f>'Original Concept List'!B43</f>
        <v>Residential PSE Battery Leasing</v>
      </c>
      <c r="D32" s="4" t="s">
        <v>119</v>
      </c>
      <c r="E32" s="183" t="str">
        <f>INDEX('Original Concept List'!$B$7:$L$47,MATCH($C32,'Original Concept List'!$B$7:$B$47,0),MATCH(E$11,'Original Concept List'!$B$7:$L$7,0))</f>
        <v>Q2</v>
      </c>
      <c r="F32" s="183" t="str">
        <f t="shared" si="11"/>
        <v>Q2</v>
      </c>
      <c r="G32" s="183" t="str">
        <f t="shared" si="12"/>
        <v>No</v>
      </c>
      <c r="H32" s="187">
        <f>INDEX('Original Concept List'!$B$7:$AR$47,MATCH($C32,'Original Concept List'!$B$7:$B$47,0),MATCH(H$11,'Original Concept List'!$B$7:$AR$7,0))</f>
        <v>67.5</v>
      </c>
      <c r="I32" s="187">
        <f>INDEX('Original Concept List'!$B$7:$AR$47,MATCH($C32,'Original Concept List'!$B$7:$B$47,0),MATCH(I$11,'Original Concept List'!$B$7:$AR$7,0))</f>
        <v>60</v>
      </c>
      <c r="J32" s="241" t="s">
        <v>11</v>
      </c>
      <c r="K32" s="250"/>
      <c r="L32" s="239"/>
      <c r="M32" s="175">
        <f t="shared" si="6"/>
        <v>35.185185185185183</v>
      </c>
      <c r="N32" s="175">
        <f t="shared" si="3"/>
        <v>67.5</v>
      </c>
      <c r="O32" s="175">
        <f t="shared" si="4"/>
        <v>52.5</v>
      </c>
      <c r="P32" s="175">
        <f t="shared" si="5"/>
        <v>35.185185185185183</v>
      </c>
    </row>
    <row r="33" spans="1:16" ht="25.5" x14ac:dyDescent="0.25">
      <c r="A33" s="198">
        <f t="shared" si="10"/>
        <v>7</v>
      </c>
      <c r="B33" s="254" t="str">
        <f>VLOOKUP(C33,'Original Concept List'!$B$8:$E$47,4,FALSE)</f>
        <v>Solar</v>
      </c>
      <c r="C33" s="242" t="str">
        <f>'Original Concept List'!B20</f>
        <v>Residential Roof-top Solar Leasing</v>
      </c>
      <c r="D33" s="4" t="s">
        <v>73</v>
      </c>
      <c r="E33" s="183" t="str">
        <f>INDEX('Original Concept List'!$B$7:$L$47,MATCH($C33,'Original Concept List'!$B$7:$B$47,0),MATCH(E$11,'Original Concept List'!$B$7:$L$7,0))</f>
        <v>Q2</v>
      </c>
      <c r="F33" s="183" t="str">
        <f t="shared" si="11"/>
        <v>Q2</v>
      </c>
      <c r="G33" s="183" t="str">
        <f t="shared" si="12"/>
        <v>No</v>
      </c>
      <c r="H33" s="187">
        <f>INDEX('Original Concept List'!$B$7:$AR$47,MATCH($C33,'Original Concept List'!$B$7:$B$47,0),MATCH(H$11,'Original Concept List'!$B$7:$AR$7,0))</f>
        <v>62.5</v>
      </c>
      <c r="I33" s="187">
        <f>INDEX('Original Concept List'!$B$7:$AR$47,MATCH($C33,'Original Concept List'!$B$7:$B$47,0),MATCH(I$11,'Original Concept List'!$B$7:$AR$7,0))</f>
        <v>50</v>
      </c>
      <c r="J33" s="241" t="s">
        <v>11</v>
      </c>
      <c r="K33" s="250"/>
      <c r="L33" s="239"/>
      <c r="M33" s="175">
        <f>M31+(100/54)</f>
        <v>35.185185185185183</v>
      </c>
      <c r="N33" s="175">
        <f t="shared" si="3"/>
        <v>67.5</v>
      </c>
      <c r="O33" s="175">
        <f t="shared" si="4"/>
        <v>52.5</v>
      </c>
      <c r="P33" s="175">
        <f t="shared" si="5"/>
        <v>35.185185185185183</v>
      </c>
    </row>
    <row r="34" spans="1:16" ht="38.25" x14ac:dyDescent="0.25">
      <c r="A34" s="198">
        <f t="shared" si="10"/>
        <v>7</v>
      </c>
      <c r="B34" s="254" t="str">
        <f>VLOOKUP(C34,'Original Concept List'!$B$8:$E$47,4,FALSE)</f>
        <v>Battery</v>
      </c>
      <c r="C34" s="242" t="str">
        <f>'Original Concept List'!B37</f>
        <v>C&amp;I Space Leasing for Batteries</v>
      </c>
      <c r="D34" s="4" t="s">
        <v>243</v>
      </c>
      <c r="E34" s="183" t="str">
        <f>INDEX('Original Concept List'!$B$7:$L$47,MATCH($C34,'Original Concept List'!$B$7:$B$47,0),MATCH(E$11,'Original Concept List'!$B$7:$L$7,0))</f>
        <v>Q2</v>
      </c>
      <c r="F34" s="183" t="str">
        <f t="shared" si="11"/>
        <v>Q2</v>
      </c>
      <c r="G34" s="183" t="str">
        <f t="shared" si="12"/>
        <v>No</v>
      </c>
      <c r="H34" s="187">
        <f>INDEX('Original Concept List'!$B$7:$AR$47,MATCH($C34,'Original Concept List'!$B$7:$B$47,0),MATCH(H$11,'Original Concept List'!$B$7:$AR$7,0))</f>
        <v>62.5</v>
      </c>
      <c r="I34" s="187">
        <f>INDEX('Original Concept List'!$B$7:$AR$47,MATCH($C34,'Original Concept List'!$B$7:$B$47,0),MATCH(I$11,'Original Concept List'!$B$7:$AR$7,0))</f>
        <v>50</v>
      </c>
      <c r="J34" s="241" t="s">
        <v>11</v>
      </c>
      <c r="K34" s="250"/>
      <c r="L34" s="239"/>
      <c r="M34" s="175">
        <f t="shared" si="6"/>
        <v>37.037037037037038</v>
      </c>
      <c r="N34" s="175">
        <f t="shared" si="3"/>
        <v>67.5</v>
      </c>
      <c r="O34" s="175">
        <f t="shared" si="4"/>
        <v>52.5</v>
      </c>
      <c r="P34" s="175">
        <f t="shared" si="5"/>
        <v>37.037037037037038</v>
      </c>
    </row>
    <row r="35" spans="1:16" ht="25.5" x14ac:dyDescent="0.25">
      <c r="A35" s="198">
        <f t="shared" si="10"/>
        <v>12</v>
      </c>
      <c r="B35" s="254" t="str">
        <f>VLOOKUP(C35,'Original Concept List'!$B$8:$E$47,4,FALSE)</f>
        <v>Solar</v>
      </c>
      <c r="C35" s="242" t="str">
        <f>'Original Concept List'!B23</f>
        <v>Multi-Family Solar Partnership</v>
      </c>
      <c r="D35" s="4" t="s">
        <v>104</v>
      </c>
      <c r="E35" s="183" t="str">
        <f>INDEX('Original Concept List'!$B$7:$L$47,MATCH($C35,'Original Concept List'!$B$7:$B$47,0),MATCH(E$11,'Original Concept List'!$B$7:$L$7,0))</f>
        <v>Q2</v>
      </c>
      <c r="F35" s="183" t="str">
        <f t="shared" si="11"/>
        <v>Q2</v>
      </c>
      <c r="G35" s="183" t="str">
        <f t="shared" si="12"/>
        <v>No</v>
      </c>
      <c r="H35" s="187">
        <f>INDEX('Original Concept List'!$B$7:$AR$47,MATCH($C35,'Original Concept List'!$B$7:$B$47,0),MATCH(H$11,'Original Concept List'!$B$7:$AR$7,0))</f>
        <v>60</v>
      </c>
      <c r="I35" s="187">
        <f>INDEX('Original Concept List'!$B$7:$AR$47,MATCH($C35,'Original Concept List'!$B$7:$B$47,0),MATCH(I$11,'Original Concept List'!$B$7:$AR$7,0))</f>
        <v>45</v>
      </c>
      <c r="J35" s="241" t="s">
        <v>11</v>
      </c>
      <c r="K35" s="250"/>
      <c r="L35" s="239"/>
      <c r="M35" s="175">
        <f t="shared" si="6"/>
        <v>38.888888888888893</v>
      </c>
      <c r="N35" s="175">
        <f t="shared" si="3"/>
        <v>67.5</v>
      </c>
      <c r="O35" s="175">
        <f t="shared" si="4"/>
        <v>52.5</v>
      </c>
      <c r="P35" s="175">
        <f t="shared" si="5"/>
        <v>38.888888888888893</v>
      </c>
    </row>
    <row r="36" spans="1:16" ht="25.5" x14ac:dyDescent="0.25">
      <c r="A36" s="198">
        <f t="shared" si="10"/>
        <v>14</v>
      </c>
      <c r="B36" s="254" t="str">
        <f>VLOOKUP(C36,'Original Concept List'!$B$8:$E$47,4,FALSE)</f>
        <v>Battery</v>
      </c>
      <c r="C36" s="242" t="str">
        <f>'Original Concept List'!B45</f>
        <v>Multi-Family Unit Battery Program</v>
      </c>
      <c r="D36" s="4" t="s">
        <v>121</v>
      </c>
      <c r="E36" s="183" t="str">
        <f>INDEX('Original Concept List'!$B$7:$L$47,MATCH($C36,'Original Concept List'!$B$7:$B$47,0),MATCH(E$11,'Original Concept List'!$B$7:$L$7,0))</f>
        <v>Q3</v>
      </c>
      <c r="F36" s="183" t="str">
        <f t="shared" si="11"/>
        <v>Q1</v>
      </c>
      <c r="G36" s="183" t="str">
        <f t="shared" si="12"/>
        <v>Yes</v>
      </c>
      <c r="H36" s="187">
        <f>INDEX('Original Concept List'!$B$7:$AR$47,MATCH($C36,'Original Concept List'!$B$7:$B$47,0),MATCH(H$11,'Original Concept List'!$B$7:$AR$7,0))</f>
        <v>55</v>
      </c>
      <c r="I36" s="187">
        <f>INDEX('Original Concept List'!$B$7:$AR$47,MATCH($C36,'Original Concept List'!$B$7:$B$47,0),MATCH(I$11,'Original Concept List'!$B$7:$AR$7,0))</f>
        <v>75</v>
      </c>
      <c r="J36" s="241" t="s">
        <v>11</v>
      </c>
      <c r="K36" s="250"/>
      <c r="L36" s="239"/>
      <c r="M36" s="175">
        <f t="shared" si="6"/>
        <v>40.740740740740748</v>
      </c>
      <c r="N36" s="175">
        <f t="shared" si="3"/>
        <v>67.5</v>
      </c>
      <c r="O36" s="175">
        <f t="shared" si="4"/>
        <v>52.5</v>
      </c>
      <c r="P36" s="175">
        <f t="shared" si="5"/>
        <v>40.740740740740748</v>
      </c>
    </row>
    <row r="37" spans="1:16" ht="25.5" x14ac:dyDescent="0.25">
      <c r="A37" s="198">
        <f t="shared" si="10"/>
        <v>14</v>
      </c>
      <c r="B37" s="254" t="str">
        <f>VLOOKUP(C37,'Original Concept List'!$B$8:$E$47,4,FALSE)</f>
        <v>Solar</v>
      </c>
      <c r="C37" s="242" t="str">
        <f>'Original Concept List'!B22</f>
        <v>Multi-Family Unit Roof-top Solar Incentive</v>
      </c>
      <c r="D37" s="4" t="s">
        <v>123</v>
      </c>
      <c r="E37" s="183" t="str">
        <f>INDEX('Original Concept List'!$B$7:$L$47,MATCH($C37,'Original Concept List'!$B$7:$B$47,0),MATCH(E$11,'Original Concept List'!$B$7:$L$7,0))</f>
        <v>Q3</v>
      </c>
      <c r="F37" s="183" t="str">
        <f t="shared" si="11"/>
        <v>Q2</v>
      </c>
      <c r="G37" s="183" t="str">
        <f t="shared" si="12"/>
        <v>Yes</v>
      </c>
      <c r="H37" s="187">
        <f>INDEX('Original Concept List'!$B$7:$AR$47,MATCH($C37,'Original Concept List'!$B$7:$B$47,0),MATCH(H$11,'Original Concept List'!$B$7:$AR$7,0))</f>
        <v>55</v>
      </c>
      <c r="I37" s="187">
        <f>INDEX('Original Concept List'!$B$7:$AR$47,MATCH($C37,'Original Concept List'!$B$7:$B$47,0),MATCH(I$11,'Original Concept List'!$B$7:$AR$7,0))</f>
        <v>50</v>
      </c>
      <c r="J37" s="241" t="s">
        <v>11</v>
      </c>
      <c r="K37" s="250"/>
      <c r="L37" s="239"/>
      <c r="M37" s="175">
        <f t="shared" si="6"/>
        <v>42.592592592592602</v>
      </c>
      <c r="N37" s="175">
        <f t="shared" si="3"/>
        <v>67.5</v>
      </c>
      <c r="O37" s="175">
        <f t="shared" si="4"/>
        <v>52.5</v>
      </c>
      <c r="P37" s="175">
        <f t="shared" si="5"/>
        <v>42.592592592592602</v>
      </c>
    </row>
    <row r="38" spans="1:16" ht="38.25" x14ac:dyDescent="0.25">
      <c r="A38" s="198">
        <f t="shared" si="10"/>
        <v>20</v>
      </c>
      <c r="B38" s="254" t="s">
        <v>8</v>
      </c>
      <c r="C38" s="242" t="str">
        <f>'Original Concept List'!B21</f>
        <v>Residential Roof-top Solar Leasing (Low-Income)</v>
      </c>
      <c r="D38" s="4" t="s">
        <v>239</v>
      </c>
      <c r="E38" s="183" t="str">
        <f>INDEX('Original Concept List'!$B$7:$AR$47,MATCH($C38,'Original Concept List'!$B$7:$B$47,0),MATCH(E$11,'Original Concept List'!$B$7:$AR$7,0))</f>
        <v>N/A</v>
      </c>
      <c r="F38" s="183" t="str">
        <f t="shared" si="11"/>
        <v>Q2</v>
      </c>
      <c r="G38" s="183" t="str">
        <f t="shared" si="12"/>
        <v>Yes</v>
      </c>
      <c r="H38" s="187">
        <f>INDEX('Original Concept List'!$B$7:$AR$47,MATCH($C38,'Original Concept List'!$B$7:$B$47,0),MATCH(H$11,'Original Concept List'!$B$7:$AR$7,0))</f>
        <v>52.5</v>
      </c>
      <c r="I38" s="187">
        <f>INDEX('Original Concept List'!$B$7:$AR$47,MATCH($C38,'Original Concept List'!$B$7:$B$47,0),MATCH(I$11,'Original Concept List'!$B$7:$AR$7,0))</f>
        <v>50</v>
      </c>
      <c r="J38" s="241" t="s">
        <v>11</v>
      </c>
      <c r="K38" s="250"/>
      <c r="L38" s="239"/>
      <c r="M38" s="175">
        <f t="shared" si="6"/>
        <v>44.444444444444457</v>
      </c>
      <c r="N38" s="175">
        <f t="shared" si="3"/>
        <v>67.5</v>
      </c>
      <c r="O38" s="175">
        <f t="shared" si="4"/>
        <v>52.5</v>
      </c>
      <c r="P38" s="175">
        <f t="shared" si="5"/>
        <v>44.444444444444457</v>
      </c>
    </row>
    <row r="39" spans="1:16" ht="45" x14ac:dyDescent="0.25">
      <c r="A39" s="198">
        <f t="shared" si="10"/>
        <v>20</v>
      </c>
      <c r="B39" s="254" t="str">
        <f>VLOOKUP(C39,'Original Concept List'!$B$8:$E$47,4,FALSE)</f>
        <v>Battery</v>
      </c>
      <c r="C39" s="242" t="str">
        <f>'Original Concept List'!B35</f>
        <v>C&amp;I BYO Battery</v>
      </c>
      <c r="D39" s="4" t="s">
        <v>112</v>
      </c>
      <c r="E39" s="183" t="str">
        <f>INDEX('Original Concept List'!$B$7:$L$47,MATCH($C39,'Original Concept List'!$B$7:$B$47,0),MATCH(E$11,'Original Concept List'!$B$7:$L$7,0))</f>
        <v>Q2</v>
      </c>
      <c r="F39" s="183" t="str">
        <f t="shared" si="11"/>
        <v>Q2</v>
      </c>
      <c r="G39" s="183" t="str">
        <f t="shared" si="12"/>
        <v>No</v>
      </c>
      <c r="H39" s="187">
        <f>INDEX('Original Concept List'!$B$7:$AR$47,MATCH($C39,'Original Concept List'!$B$7:$B$47,0),MATCH(H$11,'Original Concept List'!$B$7:$AR$7,0))</f>
        <v>52.5</v>
      </c>
      <c r="I39" s="187">
        <f>INDEX('Original Concept List'!$B$7:$AR$47,MATCH($C39,'Original Concept List'!$B$7:$B$47,0),MATCH(I$11,'Original Concept List'!$B$7:$AR$7,0))</f>
        <v>55</v>
      </c>
      <c r="J39" s="241" t="s">
        <v>11</v>
      </c>
      <c r="K39" s="250" t="s">
        <v>269</v>
      </c>
      <c r="L39" s="239"/>
      <c r="M39" s="175">
        <f t="shared" si="6"/>
        <v>46.296296296296312</v>
      </c>
      <c r="N39" s="175">
        <f t="shared" si="3"/>
        <v>67.5</v>
      </c>
      <c r="O39" s="175">
        <f t="shared" si="4"/>
        <v>52.5</v>
      </c>
      <c r="P39" s="175">
        <f t="shared" si="5"/>
        <v>46.296296296296312</v>
      </c>
    </row>
    <row r="40" spans="1:16" ht="30" x14ac:dyDescent="0.25">
      <c r="A40" s="198">
        <f t="shared" si="10"/>
        <v>20</v>
      </c>
      <c r="B40" s="254" t="str">
        <f>VLOOKUP(C40,'Original Concept List'!$B$8:$E$47,4,FALSE)</f>
        <v>Battery</v>
      </c>
      <c r="C40" s="242" t="str">
        <f>'Original Concept List'!B36</f>
        <v>C&amp;I Solar+Storage Rate</v>
      </c>
      <c r="D40" s="4" t="s">
        <v>115</v>
      </c>
      <c r="E40" s="183" t="str">
        <f>INDEX('Original Concept List'!$B$7:$L$47,MATCH($C40,'Original Concept List'!$B$7:$B$47,0),MATCH(E$11,'Original Concept List'!$B$7:$L$7,0))</f>
        <v>Q3</v>
      </c>
      <c r="F40" s="183" t="str">
        <f t="shared" si="11"/>
        <v>Q2</v>
      </c>
      <c r="G40" s="183" t="str">
        <f t="shared" si="12"/>
        <v>Yes</v>
      </c>
      <c r="H40" s="187">
        <f>INDEX('Original Concept List'!$B$7:$AR$47,MATCH($C40,'Original Concept List'!$B$7:$B$47,0),MATCH(H$11,'Original Concept List'!$B$7:$AR$7,0))</f>
        <v>52.5</v>
      </c>
      <c r="I40" s="187">
        <f>INDEX('Original Concept List'!$B$7:$AR$47,MATCH($C40,'Original Concept List'!$B$7:$B$47,0),MATCH(I$11,'Original Concept List'!$B$7:$AR$7,0))</f>
        <v>55</v>
      </c>
      <c r="J40" s="241" t="s">
        <v>16</v>
      </c>
      <c r="K40" s="250" t="s">
        <v>289</v>
      </c>
      <c r="L40" s="239"/>
      <c r="M40" s="175">
        <f t="shared" si="6"/>
        <v>48.148148148148167</v>
      </c>
      <c r="N40" s="175">
        <f t="shared" si="3"/>
        <v>67.5</v>
      </c>
      <c r="O40" s="175">
        <f t="shared" si="4"/>
        <v>52.5</v>
      </c>
      <c r="P40" s="175">
        <f t="shared" si="5"/>
        <v>48.148148148148167</v>
      </c>
    </row>
    <row r="41" spans="1:16" ht="38.25" x14ac:dyDescent="0.25">
      <c r="A41" s="198">
        <f t="shared" si="10"/>
        <v>20</v>
      </c>
      <c r="B41" s="254" t="str">
        <f>VLOOKUP(C41,'Original Concept List'!$B$8:$E$47,4,FALSE)</f>
        <v>Battery</v>
      </c>
      <c r="C41" s="242" t="str">
        <f>'Original Concept List'!B33</f>
        <v>3rd Party Distributed Residential Battery PPA</v>
      </c>
      <c r="D41" s="4" t="s">
        <v>109</v>
      </c>
      <c r="E41" s="183" t="str">
        <f>INDEX('Original Concept List'!$B$7:$L$47,MATCH($C41,'Original Concept List'!$B$7:$B$47,0),MATCH(E$11,'Original Concept List'!$B$7:$L$7,0))</f>
        <v>Q3</v>
      </c>
      <c r="F41" s="183" t="str">
        <f t="shared" si="11"/>
        <v>Q2</v>
      </c>
      <c r="G41" s="183" t="str">
        <f t="shared" si="12"/>
        <v>Yes</v>
      </c>
      <c r="H41" s="187">
        <f>INDEX('Original Concept List'!$B$7:$AR$47,MATCH($C41,'Original Concept List'!$B$7:$B$47,0),MATCH(H$11,'Original Concept List'!$B$7:$AR$7,0))</f>
        <v>52.5</v>
      </c>
      <c r="I41" s="187">
        <f>INDEX('Original Concept List'!$B$7:$AR$47,MATCH($C41,'Original Concept List'!$B$7:$B$47,0),MATCH(I$11,'Original Concept List'!$B$7:$AR$7,0))</f>
        <v>55</v>
      </c>
      <c r="J41" s="241" t="s">
        <v>16</v>
      </c>
      <c r="K41" s="250" t="s">
        <v>281</v>
      </c>
      <c r="L41" s="239"/>
      <c r="M41" s="175">
        <f t="shared" si="6"/>
        <v>50.000000000000021</v>
      </c>
      <c r="N41" s="175">
        <f t="shared" si="3"/>
        <v>67.5</v>
      </c>
      <c r="O41" s="175">
        <f t="shared" si="4"/>
        <v>52.5</v>
      </c>
      <c r="P41" s="175">
        <f t="shared" si="5"/>
        <v>50.000000000000021</v>
      </c>
    </row>
    <row r="42" spans="1:16" ht="38.25" x14ac:dyDescent="0.25">
      <c r="A42" s="198">
        <f t="shared" si="10"/>
        <v>20</v>
      </c>
      <c r="B42" s="254" t="str">
        <f>VLOOKUP(C42,'Original Concept List'!$B$8:$E$47,4,FALSE)</f>
        <v>Battery</v>
      </c>
      <c r="C42" s="242" t="str">
        <f>'Original Concept List'!B29</f>
        <v>PSE Battery Share</v>
      </c>
      <c r="D42" s="4" t="s">
        <v>107</v>
      </c>
      <c r="E42" s="183" t="str">
        <f>INDEX('Original Concept List'!$B$7:$L$47,MATCH($C42,'Original Concept List'!$B$7:$B$47,0),MATCH(E$11,'Original Concept List'!$B$7:$L$7,0))</f>
        <v>Q4</v>
      </c>
      <c r="F42" s="183" t="str">
        <f t="shared" si="11"/>
        <v>Q2</v>
      </c>
      <c r="G42" s="183" t="str">
        <f t="shared" si="12"/>
        <v>Yes</v>
      </c>
      <c r="H42" s="187">
        <f>INDEX('Original Concept List'!$B$7:$AR$47,MATCH($C42,'Original Concept List'!$B$7:$B$47,0),MATCH(H$11,'Original Concept List'!$B$7:$AR$7,0))</f>
        <v>52.5</v>
      </c>
      <c r="I42" s="187">
        <f>INDEX('Original Concept List'!$B$7:$AR$47,MATCH($C42,'Original Concept List'!$B$7:$B$47,0),MATCH(I$11,'Original Concept List'!$B$7:$AR$7,0))</f>
        <v>25</v>
      </c>
      <c r="J42" s="241" t="s">
        <v>16</v>
      </c>
      <c r="K42" s="250" t="s">
        <v>282</v>
      </c>
      <c r="L42" s="239"/>
      <c r="M42" s="175">
        <f t="shared" si="6"/>
        <v>51.851851851851876</v>
      </c>
      <c r="N42" s="175">
        <f t="shared" si="3"/>
        <v>67.5</v>
      </c>
      <c r="O42" s="175">
        <f t="shared" si="4"/>
        <v>52.5</v>
      </c>
      <c r="P42" s="175">
        <f t="shared" si="5"/>
        <v>51.851851851851876</v>
      </c>
    </row>
    <row r="43" spans="1:16" ht="25.5" x14ac:dyDescent="0.25">
      <c r="A43" s="198">
        <f t="shared" si="10"/>
        <v>28</v>
      </c>
      <c r="B43" s="254" t="str">
        <f>VLOOKUP(C43,'Original Concept List'!$B$8:$E$47,4,FALSE)</f>
        <v>Battery</v>
      </c>
      <c r="C43" s="242" t="str">
        <f>'Original Concept List'!B40</f>
        <v>Residential Battery Install Incentive</v>
      </c>
      <c r="D43" s="4" t="s">
        <v>117</v>
      </c>
      <c r="E43" s="183" t="str">
        <f>INDEX('Original Concept List'!$B$7:$L$47,MATCH($C43,'Original Concept List'!$B$7:$B$47,0),MATCH(E$11,'Original Concept List'!$B$7:$L$7,0))</f>
        <v>Q1</v>
      </c>
      <c r="F43" s="183" t="str">
        <f t="shared" si="11"/>
        <v>Q3</v>
      </c>
      <c r="G43" s="183" t="str">
        <f t="shared" si="12"/>
        <v>Yes</v>
      </c>
      <c r="H43" s="187">
        <f>INDEX('Original Concept List'!$B$7:$AR$47,MATCH($C43,'Original Concept List'!$B$7:$B$47,0),MATCH(H$11,'Original Concept List'!$B$7:$AR$7,0))</f>
        <v>47.5</v>
      </c>
      <c r="I43" s="187">
        <f>INDEX('Original Concept List'!$B$7:$AR$47,MATCH($C43,'Original Concept List'!$B$7:$B$47,0),MATCH(I$11,'Original Concept List'!$B$7:$AR$7,0))</f>
        <v>100</v>
      </c>
      <c r="J43" s="241" t="s">
        <v>11</v>
      </c>
      <c r="K43" s="250"/>
      <c r="L43" s="239"/>
      <c r="M43" s="175">
        <f t="shared" si="6"/>
        <v>53.703703703703731</v>
      </c>
      <c r="N43" s="175">
        <f t="shared" si="3"/>
        <v>67.5</v>
      </c>
      <c r="O43" s="175">
        <f t="shared" si="4"/>
        <v>52.5</v>
      </c>
      <c r="P43" s="175">
        <f t="shared" si="5"/>
        <v>53.703703703703731</v>
      </c>
    </row>
    <row r="44" spans="1:16" ht="51" x14ac:dyDescent="0.25">
      <c r="A44" s="198">
        <f t="shared" si="10"/>
        <v>28</v>
      </c>
      <c r="B44" s="254" t="str">
        <f>VLOOKUP(C44,'Original Concept List'!$B$8:$E$47,4,FALSE)</f>
        <v>Battery</v>
      </c>
      <c r="C44" s="242" t="str">
        <f>'Original Concept List'!B32</f>
        <v>3rd Party Distributed C&amp;I Battery PPA</v>
      </c>
      <c r="D44" s="4" t="s">
        <v>108</v>
      </c>
      <c r="E44" s="183" t="str">
        <f>INDEX('Original Concept List'!$B$7:$L$47,MATCH($C44,'Original Concept List'!$B$7:$B$47,0),MATCH(E$11,'Original Concept List'!$B$7:$L$7,0))</f>
        <v>Q3</v>
      </c>
      <c r="F44" s="183" t="str">
        <f t="shared" si="11"/>
        <v>Q4</v>
      </c>
      <c r="G44" s="183" t="str">
        <f t="shared" si="12"/>
        <v>Yes</v>
      </c>
      <c r="H44" s="187">
        <f>INDEX('Original Concept List'!$B$7:$AR$47,MATCH($C44,'Original Concept List'!$B$7:$B$47,0),MATCH(H$11,'Original Concept List'!$B$7:$AR$7,0))</f>
        <v>47.5</v>
      </c>
      <c r="I44" s="187">
        <f>INDEX('Original Concept List'!$B$7:$AR$47,MATCH($C44,'Original Concept List'!$B$7:$B$47,0),MATCH(I$11,'Original Concept List'!$B$7:$AR$7,0))</f>
        <v>60</v>
      </c>
      <c r="J44" s="241" t="s">
        <v>16</v>
      </c>
      <c r="K44" s="250" t="s">
        <v>283</v>
      </c>
      <c r="L44" s="239"/>
      <c r="M44" s="175">
        <f t="shared" si="6"/>
        <v>55.555555555555586</v>
      </c>
      <c r="N44" s="175">
        <f t="shared" ref="N44:N62" si="13">S$15</f>
        <v>67.5</v>
      </c>
      <c r="O44" s="175">
        <f t="shared" ref="O44:O62" si="14">$R$15</f>
        <v>52.5</v>
      </c>
      <c r="P44" s="175">
        <f t="shared" si="5"/>
        <v>55.555555555555586</v>
      </c>
    </row>
    <row r="45" spans="1:16" hidden="1" x14ac:dyDescent="0.25">
      <c r="A45" s="198"/>
      <c r="B45" s="206"/>
      <c r="C45" s="186"/>
      <c r="D45" s="207"/>
      <c r="E45" s="183"/>
      <c r="F45" s="183"/>
      <c r="G45" s="183"/>
      <c r="H45" s="187"/>
      <c r="I45" s="187"/>
      <c r="J45" s="239"/>
      <c r="K45" s="239"/>
      <c r="L45" s="239"/>
      <c r="M45" s="175">
        <f t="shared" si="6"/>
        <v>57.40740740740744</v>
      </c>
      <c r="N45" s="175">
        <f t="shared" si="13"/>
        <v>67.5</v>
      </c>
      <c r="O45" s="175">
        <f t="shared" si="14"/>
        <v>52.5</v>
      </c>
      <c r="P45" s="175">
        <f t="shared" si="5"/>
        <v>57.40740740740744</v>
      </c>
    </row>
    <row r="46" spans="1:16" hidden="1" x14ac:dyDescent="0.25">
      <c r="A46" s="198"/>
      <c r="B46" s="206"/>
      <c r="C46" s="186"/>
      <c r="D46" s="207"/>
      <c r="E46" s="183"/>
      <c r="F46" s="183"/>
      <c r="G46" s="183"/>
      <c r="H46" s="187"/>
      <c r="I46" s="187"/>
      <c r="J46" s="239"/>
      <c r="K46" s="239"/>
      <c r="L46" s="239"/>
      <c r="M46" s="175">
        <f t="shared" si="6"/>
        <v>59.259259259259295</v>
      </c>
      <c r="N46" s="175">
        <f t="shared" si="13"/>
        <v>67.5</v>
      </c>
      <c r="O46" s="175">
        <f t="shared" si="14"/>
        <v>52.5</v>
      </c>
      <c r="P46" s="175">
        <f t="shared" si="5"/>
        <v>59.259259259259295</v>
      </c>
    </row>
    <row r="47" spans="1:16" hidden="1" x14ac:dyDescent="0.25">
      <c r="A47" s="198"/>
      <c r="B47" s="206"/>
      <c r="C47" s="186"/>
      <c r="D47" s="207"/>
      <c r="E47" s="183"/>
      <c r="F47" s="183"/>
      <c r="G47" s="183"/>
      <c r="H47" s="187"/>
      <c r="I47" s="187"/>
      <c r="J47" s="239"/>
      <c r="K47" s="239"/>
      <c r="L47" s="239"/>
      <c r="M47" s="175">
        <f t="shared" si="6"/>
        <v>61.11111111111115</v>
      </c>
      <c r="N47" s="175">
        <f t="shared" si="13"/>
        <v>67.5</v>
      </c>
      <c r="O47" s="175">
        <f t="shared" si="14"/>
        <v>52.5</v>
      </c>
      <c r="P47" s="175">
        <f t="shared" si="5"/>
        <v>61.11111111111115</v>
      </c>
    </row>
    <row r="48" spans="1:16" hidden="1" x14ac:dyDescent="0.25">
      <c r="A48" s="198"/>
      <c r="B48" s="206"/>
      <c r="C48" s="186"/>
      <c r="D48" s="207"/>
      <c r="E48" s="183"/>
      <c r="F48" s="183"/>
      <c r="G48" s="183"/>
      <c r="H48" s="187"/>
      <c r="I48" s="187"/>
      <c r="J48" s="239"/>
      <c r="K48" s="239"/>
      <c r="L48" s="239"/>
      <c r="M48" s="175">
        <f t="shared" si="6"/>
        <v>62.962962962963005</v>
      </c>
      <c r="N48" s="175">
        <f t="shared" si="13"/>
        <v>67.5</v>
      </c>
      <c r="O48" s="175">
        <f t="shared" si="14"/>
        <v>52.5</v>
      </c>
      <c r="P48" s="175">
        <f t="shared" si="5"/>
        <v>62.962962962963005</v>
      </c>
    </row>
    <row r="49" spans="1:16" hidden="1" x14ac:dyDescent="0.25">
      <c r="A49" s="198"/>
      <c r="B49" s="206"/>
      <c r="C49" s="186"/>
      <c r="D49" s="207"/>
      <c r="E49" s="183"/>
      <c r="F49" s="183"/>
      <c r="G49" s="183"/>
      <c r="H49" s="187"/>
      <c r="I49" s="187"/>
      <c r="J49" s="239"/>
      <c r="K49" s="239"/>
      <c r="L49" s="239"/>
      <c r="M49" s="175">
        <f t="shared" si="6"/>
        <v>64.814814814814852</v>
      </c>
      <c r="N49" s="175">
        <f t="shared" si="13"/>
        <v>67.5</v>
      </c>
      <c r="O49" s="175">
        <f t="shared" si="14"/>
        <v>52.5</v>
      </c>
      <c r="P49" s="175">
        <f t="shared" si="5"/>
        <v>64.814814814814852</v>
      </c>
    </row>
    <row r="50" spans="1:16" ht="30" x14ac:dyDescent="0.25">
      <c r="A50" s="198">
        <f>RANK(H50,$H$12:$H$68,)</f>
        <v>28</v>
      </c>
      <c r="B50" s="254" t="str">
        <f>VLOOKUP(C50,'Original Concept List'!$B$8:$E$47,4,FALSE)</f>
        <v>Battery</v>
      </c>
      <c r="C50" s="242" t="str">
        <f>'Original Concept List'!B42</f>
        <v>Residential Solar+Storage Rate</v>
      </c>
      <c r="D50" s="4" t="s">
        <v>118</v>
      </c>
      <c r="E50" s="183" t="str">
        <f>INDEX('Original Concept List'!$B$7:$L$47,MATCH($C50,'Original Concept List'!$B$7:$B$47,0),MATCH(E$11,'Original Concept List'!$B$7:$L$7,0))</f>
        <v>Q3</v>
      </c>
      <c r="F50" s="183" t="str">
        <f>IF(AND(H50&gt;=$R$15,I50&gt;=$S$15),"Q1",IF(AND(H50&gt;=$R$15,I50&lt;$S$15),"Q2",IF(AND(H50&lt;$R$15,I50&gt;=$S$15),"Q3",IF(AND(H50&lt;$R$15,I50&lt;$S$15),"Q4"))))</f>
        <v>Q4</v>
      </c>
      <c r="G50" s="183" t="str">
        <f>IF(E50=F50, "No", "Yes")</f>
        <v>Yes</v>
      </c>
      <c r="H50" s="187">
        <f>INDEX('Original Concept List'!$B$7:$AR$47,MATCH($C50,'Original Concept List'!$B$7:$B$47,0),MATCH(H$11,'Original Concept List'!$B$7:$AR$7,0))</f>
        <v>47.5</v>
      </c>
      <c r="I50" s="187">
        <f>INDEX('Original Concept List'!$B$7:$AR$47,MATCH($C50,'Original Concept List'!$B$7:$B$47,0),MATCH(I$11,'Original Concept List'!$B$7:$AR$7,0))</f>
        <v>50</v>
      </c>
      <c r="J50" s="241" t="s">
        <v>16</v>
      </c>
      <c r="K50" s="250" t="s">
        <v>289</v>
      </c>
      <c r="L50" s="239"/>
      <c r="M50" s="175">
        <f>M49+(100/54)</f>
        <v>66.6666666666667</v>
      </c>
      <c r="N50" s="175">
        <f t="shared" si="13"/>
        <v>67.5</v>
      </c>
      <c r="O50" s="175">
        <f t="shared" si="14"/>
        <v>52.5</v>
      </c>
      <c r="P50" s="175">
        <f t="shared" si="5"/>
        <v>66.6666666666667</v>
      </c>
    </row>
    <row r="51" spans="1:16" ht="38.25" x14ac:dyDescent="0.25">
      <c r="A51" s="198">
        <f>RANK(H51,$H$12:$H$68,)</f>
        <v>33</v>
      </c>
      <c r="B51" s="254" t="str">
        <f>VLOOKUP(C51,'Original Concept List'!$B$8:$E$47,4,FALSE)</f>
        <v>Solar</v>
      </c>
      <c r="C51" s="242" t="str">
        <f>'Original Concept List'!B14</f>
        <v>3rd Party/Co-Op Community Solar</v>
      </c>
      <c r="D51" s="4" t="s">
        <v>102</v>
      </c>
      <c r="E51" s="183" t="str">
        <f>INDEX('Original Concept List'!$B$7:$L$47,MATCH($C51,'Original Concept List'!$B$7:$B$47,0),MATCH(E$11,'Original Concept List'!$B$7:$L$7,0))</f>
        <v>Q3</v>
      </c>
      <c r="F51" s="183" t="str">
        <f>IF(AND(H51&gt;=$R$15,I51&gt;=$S$15),"Q1",IF(AND(H51&gt;=$R$15,I51&lt;$S$15),"Q2",IF(AND(H51&lt;$R$15,I51&gt;=$S$15),"Q3",IF(AND(H51&lt;$R$15,I51&lt;$S$15),"Q4"))))</f>
        <v>Q3</v>
      </c>
      <c r="G51" s="183" t="str">
        <f>IF(E51=F51, "No", "Yes")</f>
        <v>No</v>
      </c>
      <c r="H51" s="187">
        <f>INDEX('Original Concept List'!$B$7:$AR$47,MATCH($C51,'Original Concept List'!$B$7:$B$47,0),MATCH(H$11,'Original Concept List'!$B$7:$AR$7,0))</f>
        <v>42.5</v>
      </c>
      <c r="I51" s="187">
        <f>INDEX('Original Concept List'!$B$7:$AR$47,MATCH($C51,'Original Concept List'!$B$7:$B$47,0),MATCH(I$11,'Original Concept List'!$B$7:$AR$7,0))</f>
        <v>70</v>
      </c>
      <c r="J51" s="241" t="s">
        <v>16</v>
      </c>
      <c r="K51" s="250" t="s">
        <v>284</v>
      </c>
      <c r="L51" s="239"/>
      <c r="M51" s="175">
        <f t="shared" si="6"/>
        <v>68.518518518518547</v>
      </c>
      <c r="N51" s="175">
        <f t="shared" si="13"/>
        <v>67.5</v>
      </c>
      <c r="O51" s="175">
        <f t="shared" si="14"/>
        <v>52.5</v>
      </c>
      <c r="P51" s="175">
        <f t="shared" si="5"/>
        <v>68.518518518518547</v>
      </c>
    </row>
    <row r="52" spans="1:16" ht="25.5" x14ac:dyDescent="0.25">
      <c r="A52" s="198">
        <f>RANK(H52,$H$12:$H$68,)</f>
        <v>34</v>
      </c>
      <c r="B52" s="254" t="str">
        <f>VLOOKUP(C52,'Original Concept List'!$B$8:$E$47,4,FALSE)</f>
        <v>Solar</v>
      </c>
      <c r="C52" s="242" t="str">
        <f>'Original Concept List'!B19</f>
        <v>Residential Roof-top Solar Incentive</v>
      </c>
      <c r="D52" s="4" t="s">
        <v>111</v>
      </c>
      <c r="E52" s="183" t="str">
        <f>INDEX('Original Concept List'!$B$7:$L$47,MATCH($C52,'Original Concept List'!$B$7:$B$47,0),MATCH(E$11,'Original Concept List'!$B$7:$L$7,0))</f>
        <v>Q3</v>
      </c>
      <c r="F52" s="183" t="str">
        <f>IF(AND(H52&gt;=$R$15,I52&gt;=$S$15),"Q1",IF(AND(H52&gt;=$R$15,I52&lt;$S$15),"Q2",IF(AND(H52&lt;$R$15,I52&gt;=$S$15),"Q3",IF(AND(H52&lt;$R$15,I52&lt;$S$15),"Q4"))))</f>
        <v>Q3</v>
      </c>
      <c r="G52" s="183" t="str">
        <f>IF(E52=F52, "No", "Yes")</f>
        <v>No</v>
      </c>
      <c r="H52" s="187">
        <f>INDEX('Original Concept List'!$B$7:$AR$47,MATCH($C52,'Original Concept List'!$B$7:$B$47,0),MATCH(H$11,'Original Concept List'!$B$7:$AR$7,0))</f>
        <v>40</v>
      </c>
      <c r="I52" s="187">
        <f>INDEX('Original Concept List'!$B$7:$AR$47,MATCH($C52,'Original Concept List'!$B$7:$B$47,0),MATCH(I$11,'Original Concept List'!$B$7:$AR$7,0))</f>
        <v>80</v>
      </c>
      <c r="J52" s="241" t="s">
        <v>11</v>
      </c>
      <c r="K52" s="250"/>
      <c r="L52" s="239"/>
      <c r="M52" s="175">
        <f t="shared" si="6"/>
        <v>70.370370370370395</v>
      </c>
      <c r="N52" s="175">
        <f t="shared" si="13"/>
        <v>67.5</v>
      </c>
      <c r="O52" s="175">
        <f t="shared" si="14"/>
        <v>52.5</v>
      </c>
      <c r="P52" s="175">
        <f t="shared" si="5"/>
        <v>70.370370370370395</v>
      </c>
    </row>
    <row r="53" spans="1:16" ht="30" x14ac:dyDescent="0.25">
      <c r="A53" s="198">
        <f>RANK(H53,$H$12:$H$68,)</f>
        <v>35</v>
      </c>
      <c r="B53" s="254" t="str">
        <f>VLOOKUP(C53,'Original Concept List'!$B$8:$E$47,4,FALSE)</f>
        <v>Solar</v>
      </c>
      <c r="C53" s="242" t="str">
        <f>'Original Concept List'!B12</f>
        <v>PSE Small-scale Utility Solar PV Generation Stations</v>
      </c>
      <c r="D53" s="4" t="s">
        <v>103</v>
      </c>
      <c r="E53" s="183" t="str">
        <f>INDEX('Original Concept List'!$B$7:$L$47,MATCH($C53,'Original Concept List'!$B$7:$B$47,0),MATCH(E$11,'Original Concept List'!$B$7:$L$7,0))</f>
        <v>Q3</v>
      </c>
      <c r="F53" s="183" t="str">
        <f>IF(AND(H53&gt;=$R$15,I53&gt;=$S$15),"Q1",IF(AND(H53&gt;=$R$15,I53&lt;$S$15),"Q2",IF(AND(H53&lt;$R$15,I53&gt;=$S$15),"Q3",IF(AND(H53&lt;$R$15,I53&lt;$S$15),"Q4"))))</f>
        <v>Q3</v>
      </c>
      <c r="G53" s="183" t="str">
        <f>IF(E53=F53, "No", "Yes")</f>
        <v>No</v>
      </c>
      <c r="H53" s="187">
        <f>INDEX('Original Concept List'!$B$7:$AR$47,MATCH($C53,'Original Concept List'!$B$7:$B$47,0),MATCH(H$11,'Original Concept List'!$B$7:$AR$7,0))</f>
        <v>37.5</v>
      </c>
      <c r="I53" s="187">
        <f>INDEX('Original Concept List'!$B$7:$AR$47,MATCH($C53,'Original Concept List'!$B$7:$B$47,0),MATCH(I$11,'Original Concept List'!$B$7:$AR$7,0))</f>
        <v>80</v>
      </c>
      <c r="J53" s="241" t="s">
        <v>16</v>
      </c>
      <c r="K53" s="250"/>
      <c r="L53" s="239"/>
      <c r="M53" s="175">
        <f t="shared" si="6"/>
        <v>72.222222222222243</v>
      </c>
      <c r="N53" s="175">
        <f t="shared" si="13"/>
        <v>67.5</v>
      </c>
      <c r="O53" s="175">
        <f t="shared" si="14"/>
        <v>52.5</v>
      </c>
      <c r="P53" s="175">
        <f t="shared" si="5"/>
        <v>72.222222222222243</v>
      </c>
    </row>
    <row r="54" spans="1:16" ht="25.5" x14ac:dyDescent="0.25">
      <c r="A54" s="198">
        <f>RANK(H54,$H$12:$H$68,)</f>
        <v>36</v>
      </c>
      <c r="B54" s="254" t="str">
        <f>VLOOKUP(C54,'Original Concept List'!$B$8:$E$47,4,FALSE)</f>
        <v>Battery</v>
      </c>
      <c r="C54" s="242" t="str">
        <f>'Original Concept List'!B41</f>
        <v>Residential BYO Battery Offer</v>
      </c>
      <c r="D54" s="4" t="s">
        <v>113</v>
      </c>
      <c r="E54" s="183" t="str">
        <f>INDEX('Original Concept List'!$B$7:$L$47,MATCH($C54,'Original Concept List'!$B$7:$B$47,0),MATCH(E$11,'Original Concept List'!$B$7:$L$7,0))</f>
        <v>Q3</v>
      </c>
      <c r="F54" s="183" t="str">
        <f>IF(AND(H54&gt;=$R$15,I54&gt;=$S$15),"Q1",IF(AND(H54&gt;=$R$15,I54&lt;$S$15),"Q2",IF(AND(H54&lt;$R$15,I54&gt;=$S$15),"Q3",IF(AND(H54&lt;$R$15,I54&lt;$S$15),"Q4"))))</f>
        <v>Q3</v>
      </c>
      <c r="G54" s="183" t="str">
        <f>IF(E54=F54, "No", "Yes")</f>
        <v>No</v>
      </c>
      <c r="H54" s="187">
        <f>INDEX('Original Concept List'!$B$7:$AR$47,MATCH($C54,'Original Concept List'!$B$7:$B$47,0),MATCH(H$11,'Original Concept List'!$B$7:$AR$7,0))</f>
        <v>27.5</v>
      </c>
      <c r="I54" s="187">
        <f>INDEX('Original Concept List'!$B$7:$AR$47,MATCH($C54,'Original Concept List'!$B$7:$B$47,0),MATCH(I$11,'Original Concept List'!$B$7:$AR$7,0))</f>
        <v>90</v>
      </c>
      <c r="J54" s="241" t="s">
        <v>16</v>
      </c>
      <c r="K54" s="250"/>
      <c r="L54" s="239"/>
      <c r="M54" s="175">
        <f t="shared" si="6"/>
        <v>74.07407407407409</v>
      </c>
      <c r="N54" s="175">
        <f t="shared" si="13"/>
        <v>67.5</v>
      </c>
      <c r="O54" s="175">
        <f t="shared" si="14"/>
        <v>52.5</v>
      </c>
      <c r="P54" s="175">
        <f t="shared" si="5"/>
        <v>74.07407407407409</v>
      </c>
    </row>
    <row r="55" spans="1:16" hidden="1" x14ac:dyDescent="0.25">
      <c r="A55" s="198"/>
      <c r="B55" s="206"/>
      <c r="C55" s="186"/>
      <c r="D55" s="207"/>
      <c r="E55" s="183"/>
      <c r="F55" s="183"/>
      <c r="G55" s="183"/>
      <c r="H55" s="187"/>
      <c r="I55" s="187"/>
      <c r="J55" s="239"/>
      <c r="K55" s="239"/>
      <c r="L55" s="239"/>
      <c r="M55" s="175">
        <f t="shared" si="6"/>
        <v>75.925925925925938</v>
      </c>
      <c r="N55" s="175">
        <f t="shared" si="13"/>
        <v>67.5</v>
      </c>
      <c r="O55" s="175">
        <f t="shared" si="14"/>
        <v>52.5</v>
      </c>
      <c r="P55" s="175">
        <f t="shared" si="5"/>
        <v>75.925925925925938</v>
      </c>
    </row>
    <row r="56" spans="1:16" ht="30" x14ac:dyDescent="0.25">
      <c r="A56" s="198">
        <f>RANK(H56,$H$12:$H$68,)</f>
        <v>28</v>
      </c>
      <c r="B56" s="254" t="str">
        <f>VLOOKUP(C56,'Original Concept List'!$B$8:$E$47,4,FALSE)</f>
        <v>Battery</v>
      </c>
      <c r="C56" s="242" t="str">
        <f>'Original Concept List'!B34</f>
        <v>C&amp;I Battery Install Incentive</v>
      </c>
      <c r="D56" s="4" t="s">
        <v>114</v>
      </c>
      <c r="E56" s="183" t="str">
        <f>INDEX('Original Concept List'!$B$7:$L$47,MATCH($C56,'Original Concept List'!$B$7:$B$47,0),MATCH(E$11,'Original Concept List'!$B$7:$L$7,0))</f>
        <v>Q3</v>
      </c>
      <c r="F56" s="183" t="str">
        <f>IF(AND(H56&gt;=$R$15,I56&gt;=$S$15),"Q1",IF(AND(H56&gt;=$R$15,I56&lt;$S$15),"Q2",IF(AND(H56&lt;$R$15,I56&gt;=$S$15),"Q3",IF(AND(H56&lt;$R$15,I56&lt;$S$15),"Q4"))))</f>
        <v>Q4</v>
      </c>
      <c r="G56" s="183" t="str">
        <f>IF(E56=F56, "No", "Yes")</f>
        <v>Yes</v>
      </c>
      <c r="H56" s="187">
        <f>INDEX('Original Concept List'!$B$7:$AR$47,MATCH($C56,'Original Concept List'!$B$7:$B$47,0),MATCH(H$11,'Original Concept List'!$B$7:$AR$7,0))</f>
        <v>47.5</v>
      </c>
      <c r="I56" s="187">
        <f>INDEX('Original Concept List'!$B$7:$AR$47,MATCH($C56,'Original Concept List'!$B$7:$B$47,0),MATCH(I$11,'Original Concept List'!$B$7:$AR$7,0))</f>
        <v>55</v>
      </c>
      <c r="J56" s="241" t="s">
        <v>11</v>
      </c>
      <c r="K56" s="250" t="s">
        <v>285</v>
      </c>
      <c r="L56" s="239"/>
      <c r="M56" s="175">
        <f t="shared" si="6"/>
        <v>77.777777777777786</v>
      </c>
      <c r="N56" s="175">
        <f t="shared" si="13"/>
        <v>67.5</v>
      </c>
      <c r="O56" s="175">
        <f t="shared" si="14"/>
        <v>52.5</v>
      </c>
      <c r="P56" s="175">
        <f t="shared" si="5"/>
        <v>77.777777777777786</v>
      </c>
    </row>
    <row r="57" spans="1:16" hidden="1" x14ac:dyDescent="0.25">
      <c r="A57" s="198"/>
      <c r="B57" s="206"/>
      <c r="C57" s="186"/>
      <c r="D57" s="207"/>
      <c r="E57" s="183"/>
      <c r="F57" s="183"/>
      <c r="G57" s="183"/>
      <c r="H57" s="187"/>
      <c r="I57" s="187"/>
      <c r="J57" s="239"/>
      <c r="K57" s="239"/>
      <c r="L57" s="239"/>
      <c r="M57" s="175">
        <f t="shared" si="6"/>
        <v>79.629629629629633</v>
      </c>
      <c r="N57" s="175">
        <f t="shared" si="13"/>
        <v>67.5</v>
      </c>
      <c r="O57" s="175">
        <f t="shared" si="14"/>
        <v>52.5</v>
      </c>
      <c r="P57" s="175">
        <f t="shared" si="5"/>
        <v>79.629629629629633</v>
      </c>
    </row>
    <row r="58" spans="1:16" hidden="1" x14ac:dyDescent="0.25">
      <c r="A58" s="198"/>
      <c r="B58" s="206"/>
      <c r="C58" s="186"/>
      <c r="D58" s="207"/>
      <c r="E58" s="183"/>
      <c r="F58" s="183"/>
      <c r="G58" s="183"/>
      <c r="H58" s="187"/>
      <c r="I58" s="187"/>
      <c r="J58" s="239"/>
      <c r="K58" s="239"/>
      <c r="L58" s="239"/>
      <c r="M58" s="175">
        <f t="shared" si="6"/>
        <v>81.481481481481481</v>
      </c>
      <c r="N58" s="175">
        <f t="shared" si="13"/>
        <v>67.5</v>
      </c>
      <c r="O58" s="175">
        <f t="shared" si="14"/>
        <v>52.5</v>
      </c>
      <c r="P58" s="175">
        <f t="shared" si="5"/>
        <v>81.481481481481481</v>
      </c>
    </row>
    <row r="59" spans="1:16" hidden="1" x14ac:dyDescent="0.25">
      <c r="A59" s="198"/>
      <c r="B59" s="206"/>
      <c r="C59" s="186"/>
      <c r="D59" s="207"/>
      <c r="E59" s="183"/>
      <c r="F59" s="183"/>
      <c r="G59" s="183"/>
      <c r="H59" s="187"/>
      <c r="I59" s="187"/>
      <c r="J59" s="239"/>
      <c r="K59" s="239"/>
      <c r="L59" s="239"/>
      <c r="M59" s="175">
        <f t="shared" si="6"/>
        <v>83.333333333333329</v>
      </c>
      <c r="N59" s="175">
        <f t="shared" si="13"/>
        <v>67.5</v>
      </c>
      <c r="O59" s="175">
        <f t="shared" si="14"/>
        <v>52.5</v>
      </c>
      <c r="P59" s="175">
        <f t="shared" si="5"/>
        <v>83.333333333333329</v>
      </c>
    </row>
    <row r="60" spans="1:16" hidden="1" x14ac:dyDescent="0.25">
      <c r="A60" s="198"/>
      <c r="B60" s="206"/>
      <c r="C60" s="186"/>
      <c r="D60" s="207"/>
      <c r="E60" s="183"/>
      <c r="F60" s="183"/>
      <c r="G60" s="183"/>
      <c r="H60" s="187"/>
      <c r="I60" s="187"/>
      <c r="J60" s="239"/>
      <c r="K60" s="239"/>
      <c r="L60" s="239"/>
      <c r="M60" s="175">
        <f t="shared" si="6"/>
        <v>85.185185185185176</v>
      </c>
      <c r="N60" s="175">
        <f t="shared" si="13"/>
        <v>67.5</v>
      </c>
      <c r="O60" s="175">
        <f t="shared" si="14"/>
        <v>52.5</v>
      </c>
      <c r="P60" s="175">
        <f t="shared" si="5"/>
        <v>85.185185185185176</v>
      </c>
    </row>
    <row r="61" spans="1:16" ht="25.5" x14ac:dyDescent="0.25">
      <c r="A61" s="198">
        <f>RANK(H61,$H$12:$H$68,)</f>
        <v>28</v>
      </c>
      <c r="B61" s="254" t="str">
        <f>VLOOKUP(C61,'Original Concept List'!$B$8:$E$47,4,FALSE)</f>
        <v>Battery</v>
      </c>
      <c r="C61" s="242" t="str">
        <f>'Original Concept List'!B30</f>
        <v>PSE Battery Share - Low Income</v>
      </c>
      <c r="D61" s="4" t="s">
        <v>106</v>
      </c>
      <c r="E61" s="183" t="str">
        <f>INDEX('Original Concept List'!$B$7:$L$47,MATCH($C61,'Original Concept List'!$B$7:$B$47,0),MATCH(E$11,'Original Concept List'!$B$7:$L$7,0))</f>
        <v>Q4</v>
      </c>
      <c r="F61" s="183" t="str">
        <f>IF(AND(H61&gt;=$R$15,I61&gt;=$S$15),"Q1",IF(AND(H61&gt;=$R$15,I61&lt;$S$15),"Q2",IF(AND(H61&lt;$R$15,I61&gt;=$S$15),"Q3",IF(AND(H61&lt;$R$15,I61&lt;$S$15),"Q4"))))</f>
        <v>Q4</v>
      </c>
      <c r="G61" s="183" t="str">
        <f>IF(E61=F61, "No", "Yes")</f>
        <v>No</v>
      </c>
      <c r="H61" s="187">
        <f>INDEX('Original Concept List'!$B$7:$AR$47,MATCH($C61,'Original Concept List'!$B$7:$B$47,0),MATCH(H$11,'Original Concept List'!$B$7:$AR$7,0))</f>
        <v>47.5</v>
      </c>
      <c r="I61" s="187">
        <f>INDEX('Original Concept List'!$B$7:$AR$47,MATCH($C61,'Original Concept List'!$B$7:$B$47,0),MATCH(I$11,'Original Concept List'!$B$7:$AR$7,0))</f>
        <v>25</v>
      </c>
      <c r="J61" s="241" t="s">
        <v>16</v>
      </c>
      <c r="K61" s="250"/>
      <c r="L61" s="239"/>
      <c r="M61" s="175">
        <f t="shared" si="6"/>
        <v>87.037037037037024</v>
      </c>
      <c r="N61" s="175">
        <f t="shared" si="13"/>
        <v>67.5</v>
      </c>
      <c r="O61" s="175">
        <f t="shared" si="14"/>
        <v>52.5</v>
      </c>
      <c r="P61" s="175">
        <f t="shared" si="5"/>
        <v>87.037037037037024</v>
      </c>
    </row>
    <row r="62" spans="1:16" hidden="1" x14ac:dyDescent="0.25">
      <c r="A62" s="198"/>
      <c r="B62" s="206"/>
      <c r="C62" s="186"/>
      <c r="D62" s="207"/>
      <c r="E62" s="183"/>
      <c r="F62" s="183"/>
      <c r="G62" s="183"/>
      <c r="H62" s="187"/>
      <c r="I62" s="187"/>
      <c r="J62" s="239"/>
      <c r="K62" s="239"/>
      <c r="L62" s="239"/>
      <c r="M62" s="175">
        <f t="shared" si="6"/>
        <v>88.888888888888872</v>
      </c>
      <c r="N62" s="175">
        <f t="shared" si="13"/>
        <v>67.5</v>
      </c>
      <c r="O62" s="175">
        <f t="shared" si="14"/>
        <v>52.5</v>
      </c>
      <c r="P62" s="175">
        <f t="shared" si="5"/>
        <v>88.888888888888872</v>
      </c>
    </row>
    <row r="63" spans="1:16" hidden="1" x14ac:dyDescent="0.25">
      <c r="A63" s="198"/>
      <c r="B63" s="206"/>
      <c r="C63" s="186"/>
      <c r="D63" s="207"/>
      <c r="E63" s="183"/>
      <c r="F63" s="183"/>
      <c r="G63" s="183"/>
      <c r="H63" s="187"/>
      <c r="I63" s="187"/>
      <c r="J63" s="239"/>
      <c r="K63" s="239"/>
      <c r="L63" s="239"/>
      <c r="M63" s="175"/>
      <c r="N63" s="175"/>
      <c r="O63" s="175"/>
      <c r="P63" s="175"/>
    </row>
    <row r="64" spans="1:16" hidden="1" x14ac:dyDescent="0.25">
      <c r="A64" s="198"/>
      <c r="B64" s="206"/>
      <c r="C64" s="186"/>
      <c r="D64" s="207"/>
      <c r="E64" s="183"/>
      <c r="F64" s="183"/>
      <c r="G64" s="183"/>
      <c r="H64" s="187"/>
      <c r="I64" s="187"/>
      <c r="J64" s="239"/>
      <c r="K64" s="239"/>
      <c r="L64" s="239"/>
      <c r="M64" s="175">
        <f>M62+(100/54)</f>
        <v>90.740740740740719</v>
      </c>
      <c r="N64" s="175">
        <f>S$15</f>
        <v>67.5</v>
      </c>
      <c r="O64" s="175">
        <f>$R$15</f>
        <v>52.5</v>
      </c>
      <c r="P64" s="175">
        <f t="shared" si="5"/>
        <v>90.740740740740719</v>
      </c>
    </row>
    <row r="65" spans="1:16" ht="25.5" x14ac:dyDescent="0.25">
      <c r="A65" s="198">
        <f>RANK(H65,$H$12:$H$68,)</f>
        <v>37</v>
      </c>
      <c r="B65" s="254" t="str">
        <f>VLOOKUP(C65,'Original Concept List'!$B$8:$E$47,4,FALSE)</f>
        <v>Battery</v>
      </c>
      <c r="C65" s="242" t="str">
        <f>'Original Concept List'!B28</f>
        <v>PSE Pole-Mounted Batteries</v>
      </c>
      <c r="D65" s="4" t="s">
        <v>105</v>
      </c>
      <c r="E65" s="183" t="str">
        <f>INDEX('Original Concept List'!$B$7:$L$47,MATCH($C65,'Original Concept List'!$B$7:$B$47,0),MATCH(E$11,'Original Concept List'!$B$7:$L$7,0))</f>
        <v>Q3</v>
      </c>
      <c r="F65" s="183" t="str">
        <f>IF(AND(H65&gt;=$R$15,I65&gt;=$S$15),"Q1",IF(AND(H65&gt;=$R$15,I65&lt;$S$15),"Q2",IF(AND(H65&lt;$R$15,I65&gt;=$S$15),"Q3",IF(AND(H65&lt;$R$15,I65&lt;$S$15),"Q4"))))</f>
        <v>Q3</v>
      </c>
      <c r="G65" s="183" t="str">
        <f>IF(E65=F65, "No", "Yes")</f>
        <v>No</v>
      </c>
      <c r="H65" s="187">
        <f>INDEX('Original Concept List'!$B$7:$AR$47,MATCH($C65,'Original Concept List'!$B$7:$B$47,0),MATCH(H$11,'Original Concept List'!$B$7:$AR$7,0))</f>
        <v>22.5</v>
      </c>
      <c r="I65" s="187">
        <f>INDEX('Original Concept List'!$B$7:$AR$47,MATCH($C65,'Original Concept List'!$B$7:$B$47,0),MATCH(I$11,'Original Concept List'!$B$7:$AR$7,0))</f>
        <v>70</v>
      </c>
      <c r="J65" s="241" t="s">
        <v>16</v>
      </c>
      <c r="K65" s="250"/>
      <c r="L65" s="239"/>
      <c r="M65" s="175">
        <f>M64+(100/54)</f>
        <v>92.592592592592567</v>
      </c>
      <c r="N65" s="175">
        <f>S$15</f>
        <v>67.5</v>
      </c>
      <c r="O65" s="175">
        <f>$R$15</f>
        <v>52.5</v>
      </c>
      <c r="P65" s="175">
        <f t="shared" si="5"/>
        <v>92.592592592592567</v>
      </c>
    </row>
    <row r="66" spans="1:16" ht="38.25" x14ac:dyDescent="0.25">
      <c r="A66" s="198">
        <f>RANK(H66,$H$12:$H$68,)</f>
        <v>37</v>
      </c>
      <c r="B66" s="254" t="str">
        <f>VLOOKUP(C66,'Original Concept List'!$B$8:$E$47,4,FALSE)</f>
        <v>Battery</v>
      </c>
      <c r="C66" s="242" t="str">
        <f>'Original Concept List'!B39</f>
        <v>Consumer Peer-to-Peer Batteries</v>
      </c>
      <c r="D66" s="4" t="s">
        <v>116</v>
      </c>
      <c r="E66" s="183" t="str">
        <f>INDEX('Original Concept List'!$B$7:$L$47,MATCH($C66,'Original Concept List'!$B$7:$B$47,0),MATCH(E$11,'Original Concept List'!$B$7:$L$7,0))</f>
        <v>Q4</v>
      </c>
      <c r="F66" s="183" t="str">
        <f>IF(AND(H66&gt;=$R$15,I66&gt;=$S$15),"Q1",IF(AND(H66&gt;=$R$15,I66&lt;$S$15),"Q2",IF(AND(H66&lt;$R$15,I66&gt;=$S$15),"Q3",IF(AND(H66&lt;$R$15,I66&lt;$S$15),"Q4"))))</f>
        <v>Q4</v>
      </c>
      <c r="G66" s="183" t="str">
        <f>IF(E66=F66, "No", "Yes")</f>
        <v>No</v>
      </c>
      <c r="H66" s="187">
        <f>INDEX('Original Concept List'!$B$7:$AR$47,MATCH($C66,'Original Concept List'!$B$7:$B$47,0),MATCH(H$11,'Original Concept List'!$B$7:$AR$7,0))</f>
        <v>22.5</v>
      </c>
      <c r="I66" s="187">
        <f>INDEX('Original Concept List'!$B$7:$AR$47,MATCH($C66,'Original Concept List'!$B$7:$B$47,0),MATCH(I$11,'Original Concept List'!$B$7:$AR$7,0))</f>
        <v>30</v>
      </c>
      <c r="J66" s="241" t="s">
        <v>16</v>
      </c>
      <c r="K66" s="250"/>
      <c r="L66" s="239"/>
      <c r="M66" s="175">
        <f t="shared" si="6"/>
        <v>94.444444444444414</v>
      </c>
      <c r="N66" s="175">
        <f>S$15</f>
        <v>67.5</v>
      </c>
      <c r="O66" s="175">
        <f>$R$15</f>
        <v>52.5</v>
      </c>
      <c r="P66" s="175">
        <f t="shared" si="5"/>
        <v>94.444444444444414</v>
      </c>
    </row>
    <row r="67" spans="1:16" ht="25.5" x14ac:dyDescent="0.25">
      <c r="A67" s="198">
        <f>RANK(H67,$H$12:$H$68,)</f>
        <v>39</v>
      </c>
      <c r="B67" s="254" t="str">
        <f>VLOOKUP(C67,'Original Concept List'!$B$8:$E$47,4,FALSE)</f>
        <v>Solar</v>
      </c>
      <c r="C67" s="242" t="str">
        <f>'Original Concept List'!B18</f>
        <v>Consumer Peer-to-Peer Solar</v>
      </c>
      <c r="D67" s="4" t="s">
        <v>50</v>
      </c>
      <c r="E67" s="183" t="str">
        <f>INDEX('Original Concept List'!$B$7:$L$47,MATCH($C67,'Original Concept List'!$B$7:$B$47,0),MATCH(E$11,'Original Concept List'!$B$7:$L$7,0))</f>
        <v>Q4</v>
      </c>
      <c r="F67" s="183" t="str">
        <f>IF(AND(H67&gt;=$R$15,I67&gt;=$S$15),"Q1",IF(AND(H67&gt;=$R$15,I67&lt;$S$15),"Q2",IF(AND(H67&lt;$R$15,I67&gt;=$S$15),"Q3",IF(AND(H67&lt;$R$15,I67&lt;$S$15),"Q4"))))</f>
        <v>Q4</v>
      </c>
      <c r="G67" s="183" t="str">
        <f>IF(E67=F67, "No", "Yes")</f>
        <v>No</v>
      </c>
      <c r="H67" s="187">
        <f>INDEX('Original Concept List'!$B$7:$AR$47,MATCH($C67,'Original Concept List'!$B$7:$B$47,0),MATCH(H$11,'Original Concept List'!$B$7:$AR$7,0))</f>
        <v>20</v>
      </c>
      <c r="I67" s="187">
        <f>INDEX('Original Concept List'!$B$7:$AR$47,MATCH($C67,'Original Concept List'!$B$7:$B$47,0),MATCH(I$11,'Original Concept List'!$B$7:$AR$7,0))</f>
        <v>0</v>
      </c>
      <c r="J67" s="241" t="s">
        <v>16</v>
      </c>
      <c r="K67" s="250"/>
      <c r="L67" s="239"/>
      <c r="M67" s="175">
        <f t="shared" si="6"/>
        <v>96.296296296296262</v>
      </c>
      <c r="N67" s="175">
        <f>S$15</f>
        <v>67.5</v>
      </c>
      <c r="O67" s="175">
        <f>$R$15</f>
        <v>52.5</v>
      </c>
      <c r="P67" s="175">
        <f t="shared" si="5"/>
        <v>96.296296296296262</v>
      </c>
    </row>
    <row r="68" spans="1:16" ht="15.75" thickBot="1" x14ac:dyDescent="0.3">
      <c r="A68" s="199">
        <f>RANK(H68,$H$12:$H$68,)</f>
        <v>40</v>
      </c>
      <c r="B68" s="254" t="str">
        <f>VLOOKUP(C68,'Original Concept List'!$B$8:$E$47,4,FALSE)</f>
        <v>Battery</v>
      </c>
      <c r="C68" s="242" t="str">
        <f>'Original Concept List'!B38</f>
        <v>Consumer Mobile Batteries</v>
      </c>
      <c r="D68" s="4" t="s">
        <v>34</v>
      </c>
      <c r="E68" s="183" t="str">
        <f>INDEX('Original Concept List'!$B$7:$L$47,MATCH($C68,'Original Concept List'!$B$7:$B$47,0),MATCH(E$11,'Original Concept List'!$B$7:$L$7,0))</f>
        <v>Q3</v>
      </c>
      <c r="F68" s="183" t="str">
        <f>IF(AND(H68&gt;=$R$15,I68&gt;=$S$15),"Q1",IF(AND(H68&gt;=$R$15,I68&lt;$S$15),"Q2",IF(AND(H68&lt;$R$15,I68&gt;=$S$15),"Q3",IF(AND(H68&lt;$R$15,I68&lt;$S$15),"Q4"))))</f>
        <v>Q4</v>
      </c>
      <c r="G68" s="183" t="str">
        <f>IF(E68=F68, "No", "Yes")</f>
        <v>Yes</v>
      </c>
      <c r="H68" s="187">
        <f>INDEX('Original Concept List'!$B$7:$AR$47,MATCH($C68,'Original Concept List'!$B$7:$B$47,0),MATCH(H$11,'Original Concept List'!$B$7:$AR$7,0))</f>
        <v>5</v>
      </c>
      <c r="I68" s="187">
        <f>INDEX('Original Concept List'!$B$7:$AR$47,MATCH($C68,'Original Concept List'!$B$7:$B$47,0),MATCH(I$11,'Original Concept List'!$B$7:$AR$7,0))</f>
        <v>35</v>
      </c>
      <c r="J68" s="241" t="s">
        <v>16</v>
      </c>
      <c r="K68" s="250"/>
      <c r="L68" s="239"/>
      <c r="M68" s="175">
        <f t="shared" si="6"/>
        <v>98.14814814814811</v>
      </c>
      <c r="N68" s="175">
        <f>S$15</f>
        <v>67.5</v>
      </c>
      <c r="O68" s="175">
        <f>$R$15</f>
        <v>52.5</v>
      </c>
      <c r="P68" s="175">
        <f t="shared" si="5"/>
        <v>98.14814814814811</v>
      </c>
    </row>
    <row r="69" spans="1:16" ht="15.75" hidden="1" thickBot="1" x14ac:dyDescent="0.3">
      <c r="A69" s="150"/>
      <c r="B69" s="255"/>
      <c r="D69" s="149"/>
      <c r="E69" s="154"/>
      <c r="F69" s="154"/>
      <c r="G69" s="154"/>
      <c r="H69" s="152"/>
      <c r="I69" s="152" t="s">
        <v>11</v>
      </c>
      <c r="J69" s="237">
        <f>COUNTIF($J$12:$J$68,$I69)</f>
        <v>24</v>
      </c>
      <c r="K69" s="237"/>
      <c r="L69" s="237"/>
      <c r="M69" s="175"/>
      <c r="N69" s="175"/>
      <c r="O69" s="175"/>
      <c r="P69" s="175"/>
    </row>
    <row r="70" spans="1:16" ht="15.75" hidden="1" thickBot="1" x14ac:dyDescent="0.3">
      <c r="A70" s="150"/>
      <c r="B70" s="255"/>
      <c r="D70" s="149"/>
      <c r="E70" s="154"/>
      <c r="F70" s="154"/>
      <c r="G70" s="154"/>
      <c r="H70" s="152"/>
      <c r="I70" s="152" t="s">
        <v>16</v>
      </c>
      <c r="J70" s="237">
        <f>COUNTIF($J$12:$J$68,$I70)</f>
        <v>16</v>
      </c>
      <c r="K70" s="237"/>
      <c r="L70" s="237"/>
      <c r="M70" s="175"/>
      <c r="N70" s="175"/>
      <c r="O70" s="175"/>
      <c r="P70" s="175"/>
    </row>
    <row r="71" spans="1:16" ht="15.75" hidden="1" thickBot="1" x14ac:dyDescent="0.3">
      <c r="C71" s="243" t="s">
        <v>292</v>
      </c>
      <c r="D71" s="214" t="s">
        <v>252</v>
      </c>
      <c r="M71" s="175"/>
      <c r="N71" s="175"/>
      <c r="O71" s="175"/>
      <c r="P71" s="175"/>
    </row>
    <row r="72" spans="1:16" ht="15.75" hidden="1" thickBot="1" x14ac:dyDescent="0.3">
      <c r="C72" s="243">
        <f>COUNTIF(E76:E93,"Q1")</f>
        <v>4</v>
      </c>
      <c r="D72" s="177">
        <f>COUNTIF(F76:F93,"Q1")</f>
        <v>8</v>
      </c>
      <c r="M72" s="175"/>
      <c r="N72" s="175"/>
      <c r="O72" s="175"/>
      <c r="P72" s="175"/>
    </row>
    <row r="73" spans="1:16" ht="15.75" hidden="1" thickBot="1" x14ac:dyDescent="0.3">
      <c r="C73" s="243" t="s">
        <v>293</v>
      </c>
      <c r="D73" s="177" t="s">
        <v>253</v>
      </c>
      <c r="M73" s="175"/>
      <c r="N73" s="175"/>
      <c r="O73" s="175"/>
      <c r="P73" s="175"/>
    </row>
    <row r="74" spans="1:16" ht="15.75" hidden="1" thickBot="1" x14ac:dyDescent="0.3">
      <c r="C74" s="243">
        <f>COUNTIF(E76:E93,"Q2")</f>
        <v>4</v>
      </c>
      <c r="D74" s="177">
        <f>COUNTIF(F76:F93,"Q2")</f>
        <v>6</v>
      </c>
      <c r="M74" s="175"/>
      <c r="N74" s="175"/>
      <c r="O74" s="175"/>
      <c r="P74" s="175"/>
    </row>
    <row r="75" spans="1:16" ht="75.75" thickBot="1" x14ac:dyDescent="0.3">
      <c r="A75" s="300" t="s">
        <v>8</v>
      </c>
      <c r="B75" s="191" t="s">
        <v>0</v>
      </c>
      <c r="C75" s="192" t="s">
        <v>254</v>
      </c>
      <c r="D75" s="192" t="s">
        <v>207</v>
      </c>
      <c r="E75" s="192" t="s">
        <v>273</v>
      </c>
      <c r="F75" s="192" t="s">
        <v>274</v>
      </c>
      <c r="G75" s="192" t="s">
        <v>238</v>
      </c>
      <c r="H75" s="191" t="s">
        <v>135</v>
      </c>
      <c r="I75" s="194" t="s">
        <v>132</v>
      </c>
      <c r="J75" s="251"/>
      <c r="K75" s="251"/>
      <c r="L75" s="251"/>
      <c r="M75" s="193" t="s">
        <v>229</v>
      </c>
      <c r="N75" s="150"/>
      <c r="O75" s="150" t="s">
        <v>228</v>
      </c>
      <c r="P75" s="175"/>
    </row>
    <row r="76" spans="1:16" ht="45" x14ac:dyDescent="0.25">
      <c r="A76" s="301"/>
      <c r="B76" s="261" t="s">
        <v>8</v>
      </c>
      <c r="C76" s="262" t="s">
        <v>7</v>
      </c>
      <c r="D76" s="271" t="str">
        <f t="shared" ref="D76:D93" si="15">VLOOKUP($C76,$C$12:$I$68,2,FALSE)</f>
        <v xml:space="preserve">PSE offers customers the ability to subscribe to the output of solar panels deployed throughout the service territory. Customers pay a monthly fee and receive a monthly credit for generation. </v>
      </c>
      <c r="E76" s="185" t="str">
        <f t="shared" ref="E76:F93" si="16">INDEX($B$11:$K$68,MATCH($C76,$C$11:$C$68,0),MATCH(E$75,$B$11:$K$11,0))</f>
        <v>Q1</v>
      </c>
      <c r="F76" s="185" t="str">
        <f t="shared" si="16"/>
        <v>Q1</v>
      </c>
      <c r="G76" s="276" t="str">
        <f>VLOOKUP($C76,$C$12:$G$68,5,FALSE)</f>
        <v>No</v>
      </c>
      <c r="H76" s="265">
        <f t="shared" ref="H76:I93" si="17">INDEX($B$11:$I$68,MATCH($C76,$C$11:$C$68,0),MATCH(H$75,$B$11:$I$11,0))</f>
        <v>70</v>
      </c>
      <c r="I76" s="266">
        <f t="shared" si="17"/>
        <v>100</v>
      </c>
      <c r="J76" s="212"/>
      <c r="K76" s="212"/>
      <c r="L76" s="212"/>
      <c r="M76" s="175">
        <v>0</v>
      </c>
      <c r="N76" s="175">
        <f>S$15</f>
        <v>67.5</v>
      </c>
      <c r="O76" s="175">
        <f>R$15</f>
        <v>52.5</v>
      </c>
      <c r="P76" s="175">
        <f>M76</f>
        <v>0</v>
      </c>
    </row>
    <row r="77" spans="1:16" ht="30" x14ac:dyDescent="0.25">
      <c r="A77" s="301"/>
      <c r="B77" s="256" t="s">
        <v>8</v>
      </c>
      <c r="C77" s="244" t="s">
        <v>12</v>
      </c>
      <c r="D77" s="195" t="str">
        <f t="shared" si="15"/>
        <v xml:space="preserve">Provides community solar access to low income customers by discounting their monthly subscription fee, resulting in cost savings. </v>
      </c>
      <c r="E77" s="260" t="str">
        <f t="shared" si="16"/>
        <v>Q1</v>
      </c>
      <c r="F77" s="260" t="str">
        <f t="shared" si="16"/>
        <v>Q1</v>
      </c>
      <c r="G77" s="276" t="str">
        <f t="shared" ref="G77:G93" si="18">VLOOKUP($C77,$C$12:$G$68,5,FALSE)</f>
        <v>No</v>
      </c>
      <c r="H77" s="267">
        <f t="shared" si="17"/>
        <v>62.5</v>
      </c>
      <c r="I77" s="268">
        <f t="shared" si="17"/>
        <v>100</v>
      </c>
      <c r="J77" s="212"/>
      <c r="K77" s="212"/>
      <c r="L77" s="212"/>
      <c r="M77" s="175">
        <f>M76+(100/COUNTIF($B$76:$B$93,"Solar"))</f>
        <v>5.5555555555555554</v>
      </c>
      <c r="N77" s="175">
        <f>S$15</f>
        <v>67.5</v>
      </c>
      <c r="O77" s="175">
        <f>R$15</f>
        <v>52.5</v>
      </c>
      <c r="P77" s="175">
        <f t="shared" ref="P77:P93" si="19">M77</f>
        <v>5.5555555555555554</v>
      </c>
    </row>
    <row r="78" spans="1:16" ht="30" x14ac:dyDescent="0.25">
      <c r="A78" s="301"/>
      <c r="B78" s="256" t="s">
        <v>8</v>
      </c>
      <c r="C78" s="244" t="s">
        <v>235</v>
      </c>
      <c r="D78" s="195" t="str">
        <f t="shared" si="15"/>
        <v>Voluntary customer program to install roof-top solar and state-regulated mandate for compensation on generated energy imported to grid.</v>
      </c>
      <c r="E78" s="260" t="str">
        <f t="shared" si="16"/>
        <v>Q1</v>
      </c>
      <c r="F78" s="260" t="str">
        <f t="shared" si="16"/>
        <v>Q1</v>
      </c>
      <c r="G78" s="276" t="str">
        <f t="shared" si="18"/>
        <v>No</v>
      </c>
      <c r="H78" s="267">
        <f t="shared" si="17"/>
        <v>55</v>
      </c>
      <c r="I78" s="268">
        <f t="shared" si="17"/>
        <v>100</v>
      </c>
      <c r="J78" s="212"/>
      <c r="K78" s="212"/>
      <c r="L78" s="212"/>
      <c r="M78" s="175">
        <f>M77+(100/COUNTIF($B$76:$B$93,"Solar"))</f>
        <v>11.111111111111111</v>
      </c>
      <c r="N78" s="175">
        <f>S$15</f>
        <v>67.5</v>
      </c>
      <c r="O78" s="175">
        <f>R$15</f>
        <v>52.5</v>
      </c>
      <c r="P78" s="175">
        <f t="shared" si="19"/>
        <v>11.111111111111111</v>
      </c>
    </row>
    <row r="79" spans="1:16" ht="45" x14ac:dyDescent="0.25">
      <c r="A79" s="301"/>
      <c r="B79" s="256" t="s">
        <v>8</v>
      </c>
      <c r="C79" s="244" t="s">
        <v>79</v>
      </c>
      <c r="D79" s="195" t="str">
        <f t="shared" si="15"/>
        <v xml:space="preserve">3rd party installs/provides roof-top solar panels to customers throughout service territory. PSE off-takes RE via PPA or net metering while the 3rd party is responsible for managing program and financing equipment. </v>
      </c>
      <c r="E79" s="260" t="str">
        <f t="shared" si="16"/>
        <v>Q3</v>
      </c>
      <c r="F79" s="260" t="str">
        <f t="shared" si="16"/>
        <v>Q1</v>
      </c>
      <c r="G79" s="276" t="str">
        <f t="shared" si="18"/>
        <v>Yes</v>
      </c>
      <c r="H79" s="267">
        <f t="shared" si="17"/>
        <v>52.5</v>
      </c>
      <c r="I79" s="268">
        <f t="shared" si="17"/>
        <v>70</v>
      </c>
      <c r="J79" s="212"/>
      <c r="K79" s="212"/>
      <c r="L79" s="212"/>
      <c r="M79" s="175"/>
      <c r="N79" s="175"/>
      <c r="O79" s="175"/>
      <c r="P79" s="175"/>
    </row>
    <row r="80" spans="1:16" ht="30" x14ac:dyDescent="0.25">
      <c r="A80" s="301"/>
      <c r="B80" s="256" t="s">
        <v>8</v>
      </c>
      <c r="C80" s="244" t="s">
        <v>98</v>
      </c>
      <c r="D80" s="195" t="str">
        <f t="shared" si="15"/>
        <v>PSE offers upfront incentive to commercial customers, discounting their upfront cost to install and own distributed solar generation throughout service territory.</v>
      </c>
      <c r="E80" s="260" t="str">
        <f t="shared" si="16"/>
        <v>Q3</v>
      </c>
      <c r="F80" s="260" t="str">
        <f t="shared" si="16"/>
        <v>Q1</v>
      </c>
      <c r="G80" s="276" t="str">
        <f t="shared" si="18"/>
        <v>Yes</v>
      </c>
      <c r="H80" s="267">
        <f t="shared" si="17"/>
        <v>55</v>
      </c>
      <c r="I80" s="268">
        <f t="shared" si="17"/>
        <v>90</v>
      </c>
      <c r="J80" s="212"/>
      <c r="K80" s="212"/>
      <c r="L80" s="212"/>
      <c r="M80" s="175">
        <f>M78+(100/COUNTIF($B$76:$B$93,"Solar"))</f>
        <v>16.666666666666664</v>
      </c>
      <c r="N80" s="175">
        <f>S$15</f>
        <v>67.5</v>
      </c>
      <c r="O80" s="175">
        <f>R$15</f>
        <v>52.5</v>
      </c>
      <c r="P80" s="175">
        <f t="shared" si="19"/>
        <v>16.666666666666664</v>
      </c>
    </row>
    <row r="81" spans="1:16" ht="30" x14ac:dyDescent="0.25">
      <c r="A81" s="301"/>
      <c r="B81" s="256" t="s">
        <v>8</v>
      </c>
      <c r="C81" s="244" t="s">
        <v>48</v>
      </c>
      <c r="D81" s="195" t="str">
        <f t="shared" si="15"/>
        <v xml:space="preserve">PSE offers to lease commercial customers' roof-top space to install solar PV. Customer receives a monthly lease payment; PSE generates RE to supply grid. </v>
      </c>
      <c r="E81" s="260" t="str">
        <f t="shared" si="16"/>
        <v>Q2</v>
      </c>
      <c r="F81" s="260" t="str">
        <f t="shared" si="16"/>
        <v>Q1</v>
      </c>
      <c r="G81" s="276" t="str">
        <f t="shared" si="18"/>
        <v>Yes</v>
      </c>
      <c r="H81" s="267">
        <f t="shared" si="17"/>
        <v>67.5</v>
      </c>
      <c r="I81" s="268">
        <f t="shared" si="17"/>
        <v>75</v>
      </c>
      <c r="J81" s="212"/>
      <c r="K81" s="212"/>
      <c r="L81" s="212"/>
      <c r="M81" s="175">
        <f>M80+(100/COUNTIF($B$76:$B$93,"Solar"))</f>
        <v>22.222222222222221</v>
      </c>
      <c r="N81" s="175">
        <f>S$15</f>
        <v>67.5</v>
      </c>
      <c r="O81" s="175">
        <f>R$15</f>
        <v>52.5</v>
      </c>
      <c r="P81" s="175">
        <f t="shared" si="19"/>
        <v>22.222222222222221</v>
      </c>
    </row>
    <row r="82" spans="1:16" ht="45" x14ac:dyDescent="0.25">
      <c r="A82" s="301"/>
      <c r="B82" s="256" t="s">
        <v>8</v>
      </c>
      <c r="C82" s="244" t="s">
        <v>95</v>
      </c>
      <c r="D82" s="195" t="str">
        <f t="shared" si="15"/>
        <v>PSE targets local, small, or BIPOC-owned businesses to lease customers' roof-top space to install solar PV. Customer receives a monthly lease payment; PSE generates RE to supply to grid.</v>
      </c>
      <c r="E82" s="260" t="str">
        <f t="shared" si="16"/>
        <v>Q2</v>
      </c>
      <c r="F82" s="260" t="str">
        <f t="shared" si="16"/>
        <v>Q1</v>
      </c>
      <c r="G82" s="276" t="str">
        <f t="shared" si="18"/>
        <v>Yes</v>
      </c>
      <c r="H82" s="267">
        <f t="shared" si="17"/>
        <v>60</v>
      </c>
      <c r="I82" s="268">
        <f t="shared" si="17"/>
        <v>75</v>
      </c>
      <c r="J82" s="212"/>
      <c r="K82" s="212"/>
      <c r="L82" s="212"/>
      <c r="M82" s="175">
        <f>M81+(100/COUNTIF($B$76:$B$93,"Solar"))</f>
        <v>27.777777777777779</v>
      </c>
      <c r="N82" s="175">
        <f>S$15</f>
        <v>67.5</v>
      </c>
      <c r="O82" s="175">
        <f>R$15</f>
        <v>52.5</v>
      </c>
      <c r="P82" s="175">
        <f t="shared" si="19"/>
        <v>27.777777777777779</v>
      </c>
    </row>
    <row r="83" spans="1:16" ht="30" x14ac:dyDescent="0.25">
      <c r="A83" s="301"/>
      <c r="B83" s="256" t="s">
        <v>8</v>
      </c>
      <c r="C83" s="244" t="s">
        <v>21</v>
      </c>
      <c r="D83" s="195" t="str">
        <f t="shared" si="15"/>
        <v xml:space="preserve">PSE offers to lease residential customers' roof-top space to install solar PV. Customer receives a monthly lease payment; PSE generates RE to supply grid. </v>
      </c>
      <c r="E83" s="260" t="str">
        <f t="shared" si="16"/>
        <v>Q2</v>
      </c>
      <c r="F83" s="260" t="str">
        <f t="shared" si="16"/>
        <v>Q2</v>
      </c>
      <c r="G83" s="276" t="str">
        <f t="shared" si="18"/>
        <v>No</v>
      </c>
      <c r="H83" s="267">
        <f t="shared" si="17"/>
        <v>62.5</v>
      </c>
      <c r="I83" s="268">
        <f t="shared" si="17"/>
        <v>50</v>
      </c>
      <c r="J83" s="212"/>
      <c r="K83" s="212"/>
      <c r="L83" s="212"/>
      <c r="M83" s="175">
        <f>M82+(100/COUNTIF($B$76:$B$93,"Solar"))</f>
        <v>33.333333333333336</v>
      </c>
      <c r="N83" s="175">
        <f>S$15</f>
        <v>67.5</v>
      </c>
      <c r="O83" s="175">
        <f>R$15</f>
        <v>52.5</v>
      </c>
      <c r="P83" s="175">
        <f t="shared" si="19"/>
        <v>33.333333333333336</v>
      </c>
    </row>
    <row r="84" spans="1:16" ht="45" x14ac:dyDescent="0.25">
      <c r="A84" s="301"/>
      <c r="B84" s="256" t="s">
        <v>8</v>
      </c>
      <c r="C84" s="244" t="s">
        <v>244</v>
      </c>
      <c r="D84" s="195" t="str">
        <f t="shared" si="15"/>
        <v xml:space="preserve">PSE target's lease to low-income and/or impacted residential customers for access to roof-top space to install solar PV. Customer receives a monthly lease payment; PSE generates RE to supply grid. </v>
      </c>
      <c r="E84" s="260" t="str">
        <f t="shared" si="16"/>
        <v>N/A</v>
      </c>
      <c r="F84" s="260" t="str">
        <f t="shared" si="16"/>
        <v>Q2</v>
      </c>
      <c r="G84" s="276" t="str">
        <f t="shared" si="18"/>
        <v>Yes</v>
      </c>
      <c r="H84" s="267">
        <f t="shared" si="17"/>
        <v>52.5</v>
      </c>
      <c r="I84" s="268">
        <f t="shared" si="17"/>
        <v>50</v>
      </c>
      <c r="J84" s="212"/>
      <c r="K84" s="212"/>
      <c r="L84" s="212"/>
      <c r="M84" s="175"/>
      <c r="N84" s="175"/>
      <c r="O84" s="175"/>
      <c r="P84" s="175"/>
    </row>
    <row r="85" spans="1:16" ht="30" x14ac:dyDescent="0.25">
      <c r="A85" s="301"/>
      <c r="B85" s="256" t="s">
        <v>8</v>
      </c>
      <c r="C85" s="244" t="s">
        <v>26</v>
      </c>
      <c r="D85" s="195" t="str">
        <f t="shared" si="15"/>
        <v>PSE offers incentive to MFU building owners, discounting their upfront cost to install and own solar in PSE's service territory.</v>
      </c>
      <c r="E85" s="260" t="str">
        <f t="shared" si="16"/>
        <v>Q3</v>
      </c>
      <c r="F85" s="260" t="str">
        <f t="shared" si="16"/>
        <v>Q2</v>
      </c>
      <c r="G85" s="276" t="str">
        <f t="shared" si="18"/>
        <v>Yes</v>
      </c>
      <c r="H85" s="267">
        <f t="shared" si="17"/>
        <v>55</v>
      </c>
      <c r="I85" s="268">
        <f t="shared" si="17"/>
        <v>50</v>
      </c>
      <c r="J85" s="212"/>
      <c r="K85" s="212"/>
      <c r="L85" s="212"/>
      <c r="M85" s="175">
        <f>M83+(100/COUNTIF($B$76:$B$93,"Solar"))</f>
        <v>38.888888888888893</v>
      </c>
      <c r="N85" s="175">
        <f t="shared" ref="N85:N93" si="20">S$15</f>
        <v>67.5</v>
      </c>
      <c r="O85" s="175">
        <f t="shared" ref="O85:O93" si="21">R$15</f>
        <v>52.5</v>
      </c>
      <c r="P85" s="175">
        <f t="shared" si="19"/>
        <v>38.888888888888893</v>
      </c>
    </row>
    <row r="86" spans="1:16" ht="30" x14ac:dyDescent="0.25">
      <c r="A86" s="301"/>
      <c r="B86" s="256" t="s">
        <v>8</v>
      </c>
      <c r="C86" s="244" t="s">
        <v>76</v>
      </c>
      <c r="D86" s="195" t="str">
        <f t="shared" si="15"/>
        <v xml:space="preserve">PSE facilitates installation of solar PV at MFU buildings by connecting with technology providers and/or billing support to share production across units. </v>
      </c>
      <c r="E86" s="260" t="str">
        <f t="shared" si="16"/>
        <v>Q2</v>
      </c>
      <c r="F86" s="260" t="str">
        <f t="shared" si="16"/>
        <v>Q2</v>
      </c>
      <c r="G86" s="276" t="str">
        <f t="shared" si="18"/>
        <v>No</v>
      </c>
      <c r="H86" s="267">
        <f t="shared" si="17"/>
        <v>60</v>
      </c>
      <c r="I86" s="268">
        <f t="shared" si="17"/>
        <v>45</v>
      </c>
      <c r="J86" s="212"/>
      <c r="K86" s="212"/>
      <c r="L86" s="212"/>
      <c r="M86" s="175">
        <f t="shared" ref="M86:M93" si="22">M85+(100/COUNTIF($B$76:$B$93,"Solar"))</f>
        <v>44.44444444444445</v>
      </c>
      <c r="N86" s="175">
        <f t="shared" si="20"/>
        <v>67.5</v>
      </c>
      <c r="O86" s="175">
        <f t="shared" si="21"/>
        <v>52.5</v>
      </c>
      <c r="P86" s="175">
        <f t="shared" si="19"/>
        <v>44.44444444444445</v>
      </c>
    </row>
    <row r="87" spans="1:16" ht="30" x14ac:dyDescent="0.25">
      <c r="A87" s="301"/>
      <c r="B87" s="256" t="s">
        <v>8</v>
      </c>
      <c r="C87" s="244" t="s">
        <v>22</v>
      </c>
      <c r="D87" s="195" t="str">
        <f t="shared" si="15"/>
        <v>PSE offers to lease MFU building owner's roof-top space to install solar PV. Building owner receives monthly fee; PSE generates RE to supply the grid.</v>
      </c>
      <c r="E87" s="260" t="str">
        <f t="shared" si="16"/>
        <v>Q4</v>
      </c>
      <c r="F87" s="260" t="str">
        <f t="shared" si="16"/>
        <v>Q2</v>
      </c>
      <c r="G87" s="276" t="str">
        <f t="shared" si="18"/>
        <v>Yes</v>
      </c>
      <c r="H87" s="267">
        <f t="shared" si="17"/>
        <v>70</v>
      </c>
      <c r="I87" s="268">
        <f t="shared" si="17"/>
        <v>60</v>
      </c>
      <c r="J87" s="212"/>
      <c r="K87" s="212"/>
      <c r="L87" s="212"/>
      <c r="M87" s="175">
        <f t="shared" si="22"/>
        <v>50.000000000000007</v>
      </c>
      <c r="N87" s="175">
        <f t="shared" si="20"/>
        <v>67.5</v>
      </c>
      <c r="O87" s="175">
        <f t="shared" si="21"/>
        <v>52.5</v>
      </c>
      <c r="P87" s="175">
        <f t="shared" si="19"/>
        <v>50.000000000000007</v>
      </c>
    </row>
    <row r="88" spans="1:16" ht="45" x14ac:dyDescent="0.25">
      <c r="A88" s="301"/>
      <c r="B88" s="256" t="s">
        <v>8</v>
      </c>
      <c r="C88" s="244" t="s">
        <v>263</v>
      </c>
      <c r="D88" s="195" t="str">
        <f t="shared" si="15"/>
        <v>PSE enrolls customers through a monthly incentive program to host solar+storage systems with that can off-set customers' load from the grid in response to operating settings or dispatch signals from PSE</v>
      </c>
      <c r="E88" s="260" t="str">
        <f t="shared" si="16"/>
        <v>N/A</v>
      </c>
      <c r="F88" s="260" t="str">
        <f t="shared" si="16"/>
        <v>Q2</v>
      </c>
      <c r="G88" s="276" t="str">
        <f t="shared" si="18"/>
        <v>Yes</v>
      </c>
      <c r="H88" s="267">
        <f t="shared" si="17"/>
        <v>92.5</v>
      </c>
      <c r="I88" s="268">
        <f t="shared" si="17"/>
        <v>55</v>
      </c>
      <c r="J88" s="212"/>
      <c r="K88" s="212"/>
      <c r="L88" s="212"/>
      <c r="M88" s="175">
        <f t="shared" si="22"/>
        <v>55.555555555555564</v>
      </c>
      <c r="N88" s="175">
        <f t="shared" si="20"/>
        <v>67.5</v>
      </c>
      <c r="O88" s="175">
        <f t="shared" si="21"/>
        <v>52.5</v>
      </c>
      <c r="P88" s="175">
        <f t="shared" si="19"/>
        <v>55.555555555555564</v>
      </c>
    </row>
    <row r="89" spans="1:16" ht="45" x14ac:dyDescent="0.25">
      <c r="A89" s="301"/>
      <c r="B89" s="256" t="s">
        <v>8</v>
      </c>
      <c r="C89" s="244" t="s">
        <v>236</v>
      </c>
      <c r="D89" s="195" t="str">
        <f t="shared" si="15"/>
        <v>Next iteration of voluntary customer program to install roof-top solar and state-regulated mandate for compensation, at a reduced rate from prior, on generated energy imported to grid.</v>
      </c>
      <c r="E89" s="260" t="str">
        <f t="shared" si="16"/>
        <v>Q1</v>
      </c>
      <c r="F89" s="260" t="str">
        <f t="shared" si="16"/>
        <v>Q1</v>
      </c>
      <c r="G89" s="276" t="str">
        <f t="shared" si="18"/>
        <v>No</v>
      </c>
      <c r="H89" s="267">
        <f t="shared" si="17"/>
        <v>55</v>
      </c>
      <c r="I89" s="268">
        <f t="shared" si="17"/>
        <v>100</v>
      </c>
      <c r="J89" s="212"/>
      <c r="K89" s="212"/>
      <c r="L89" s="212"/>
      <c r="M89" s="175">
        <f t="shared" si="22"/>
        <v>61.111111111111121</v>
      </c>
      <c r="N89" s="175">
        <f t="shared" si="20"/>
        <v>67.5</v>
      </c>
      <c r="O89" s="175">
        <f t="shared" si="21"/>
        <v>52.5</v>
      </c>
      <c r="P89" s="175">
        <f t="shared" si="19"/>
        <v>61.111111111111121</v>
      </c>
    </row>
    <row r="90" spans="1:16" ht="30" x14ac:dyDescent="0.25">
      <c r="A90" s="301"/>
      <c r="B90" s="256" t="s">
        <v>8</v>
      </c>
      <c r="C90" s="244" t="s">
        <v>96</v>
      </c>
      <c r="D90" s="195" t="str">
        <f t="shared" si="15"/>
        <v>PSE deploys small-scale solar PV within its service territories and/or within/along their ROWs that generates RE to supply grid.</v>
      </c>
      <c r="E90" s="260" t="str">
        <f t="shared" si="16"/>
        <v>Q3</v>
      </c>
      <c r="F90" s="260" t="str">
        <f t="shared" si="16"/>
        <v>Q3</v>
      </c>
      <c r="G90" s="276" t="str">
        <f t="shared" si="18"/>
        <v>No</v>
      </c>
      <c r="H90" s="267">
        <f t="shared" si="17"/>
        <v>37.5</v>
      </c>
      <c r="I90" s="268">
        <f t="shared" si="17"/>
        <v>80</v>
      </c>
      <c r="J90" s="212"/>
      <c r="K90" s="212"/>
      <c r="L90" s="212"/>
      <c r="M90" s="175">
        <f t="shared" si="22"/>
        <v>66.666666666666671</v>
      </c>
      <c r="N90" s="175">
        <f t="shared" si="20"/>
        <v>67.5</v>
      </c>
      <c r="O90" s="175">
        <f t="shared" si="21"/>
        <v>52.5</v>
      </c>
      <c r="P90" s="175">
        <f t="shared" si="19"/>
        <v>66.666666666666671</v>
      </c>
    </row>
    <row r="91" spans="1:16" ht="45" x14ac:dyDescent="0.25">
      <c r="A91" s="301"/>
      <c r="B91" s="256" t="s">
        <v>8</v>
      </c>
      <c r="C91" s="244" t="s">
        <v>97</v>
      </c>
      <c r="D91" s="195" t="str">
        <f t="shared" si="15"/>
        <v>3rd party installs/provides solar panels to customers for subscription throughout service territory. PSE off-takes RE via PPA while 3rd party is responsible for managing program and financing equipment.</v>
      </c>
      <c r="E91" s="260" t="str">
        <f t="shared" si="16"/>
        <v>Q3</v>
      </c>
      <c r="F91" s="260" t="str">
        <f t="shared" si="16"/>
        <v>Q3</v>
      </c>
      <c r="G91" s="276" t="str">
        <f t="shared" si="18"/>
        <v>No</v>
      </c>
      <c r="H91" s="267">
        <f t="shared" si="17"/>
        <v>42.5</v>
      </c>
      <c r="I91" s="268">
        <f t="shared" si="17"/>
        <v>70</v>
      </c>
      <c r="J91" s="212"/>
      <c r="K91" s="212"/>
      <c r="L91" s="212"/>
      <c r="M91" s="175">
        <f t="shared" si="22"/>
        <v>72.222222222222229</v>
      </c>
      <c r="N91" s="175">
        <f t="shared" si="20"/>
        <v>67.5</v>
      </c>
      <c r="O91" s="175">
        <f t="shared" si="21"/>
        <v>52.5</v>
      </c>
      <c r="P91" s="175">
        <f t="shared" si="19"/>
        <v>72.222222222222229</v>
      </c>
    </row>
    <row r="92" spans="1:16" ht="30" x14ac:dyDescent="0.25">
      <c r="A92" s="301"/>
      <c r="B92" s="256" t="s">
        <v>8</v>
      </c>
      <c r="C92" s="244" t="s">
        <v>25</v>
      </c>
      <c r="D92" s="195" t="str">
        <f t="shared" si="15"/>
        <v>PSE offers upfront incentive for residential customers, discounting their upfront cost to install and own distributed solar generation throughout service territory.</v>
      </c>
      <c r="E92" s="260" t="str">
        <f t="shared" si="16"/>
        <v>Q3</v>
      </c>
      <c r="F92" s="260" t="str">
        <f t="shared" si="16"/>
        <v>Q3</v>
      </c>
      <c r="G92" s="276" t="str">
        <f t="shared" si="18"/>
        <v>No</v>
      </c>
      <c r="H92" s="267">
        <f t="shared" si="17"/>
        <v>40</v>
      </c>
      <c r="I92" s="268">
        <f t="shared" si="17"/>
        <v>80</v>
      </c>
      <c r="J92" s="212"/>
      <c r="K92" s="212"/>
      <c r="L92" s="212"/>
      <c r="M92" s="175">
        <f t="shared" si="22"/>
        <v>77.777777777777786</v>
      </c>
      <c r="N92" s="175">
        <f t="shared" si="20"/>
        <v>67.5</v>
      </c>
      <c r="O92" s="175">
        <f t="shared" si="21"/>
        <v>52.5</v>
      </c>
      <c r="P92" s="175">
        <f t="shared" si="19"/>
        <v>77.777777777777786</v>
      </c>
    </row>
    <row r="93" spans="1:16" ht="30.75" thickBot="1" x14ac:dyDescent="0.3">
      <c r="A93" s="302"/>
      <c r="B93" s="257" t="s">
        <v>8</v>
      </c>
      <c r="C93" s="245" t="s">
        <v>94</v>
      </c>
      <c r="D93" s="196" t="str">
        <f t="shared" si="15"/>
        <v>PSE offers platform that can connect customers and provide the ability to subscribe to the output of solar panels on other C&amp;I/residential roof-tops.</v>
      </c>
      <c r="E93" s="264" t="str">
        <f t="shared" si="16"/>
        <v>Q4</v>
      </c>
      <c r="F93" s="264" t="str">
        <f t="shared" si="16"/>
        <v>Q4</v>
      </c>
      <c r="G93" s="276" t="str">
        <f t="shared" si="18"/>
        <v>No</v>
      </c>
      <c r="H93" s="269">
        <f t="shared" si="17"/>
        <v>20</v>
      </c>
      <c r="I93" s="270">
        <f t="shared" si="17"/>
        <v>0</v>
      </c>
      <c r="J93" s="212"/>
      <c r="K93" s="212"/>
      <c r="L93" s="212"/>
      <c r="M93" s="175">
        <f t="shared" si="22"/>
        <v>83.333333333333343</v>
      </c>
      <c r="N93" s="175">
        <f t="shared" si="20"/>
        <v>67.5</v>
      </c>
      <c r="O93" s="175">
        <f t="shared" si="21"/>
        <v>52.5</v>
      </c>
      <c r="P93" s="175">
        <f t="shared" si="19"/>
        <v>83.333333333333343</v>
      </c>
    </row>
    <row r="94" spans="1:16" x14ac:dyDescent="0.25">
      <c r="A94" s="213"/>
      <c r="B94" s="258"/>
      <c r="C94" s="246"/>
      <c r="D94" s="211"/>
      <c r="E94" s="211"/>
      <c r="F94" s="211"/>
      <c r="G94" s="211"/>
      <c r="H94" s="212"/>
      <c r="I94" s="212"/>
      <c r="J94" s="212"/>
      <c r="K94" s="212"/>
      <c r="L94" s="212"/>
      <c r="M94" s="175"/>
      <c r="N94" s="175"/>
      <c r="O94" s="175"/>
      <c r="P94" s="175"/>
    </row>
    <row r="95" spans="1:16" x14ac:dyDescent="0.25">
      <c r="C95" s="247" t="s">
        <v>292</v>
      </c>
      <c r="D95" s="214" t="s">
        <v>252</v>
      </c>
      <c r="E95" s="154"/>
      <c r="F95" s="154"/>
      <c r="G95" s="154"/>
      <c r="H95" s="154"/>
      <c r="I95" s="154"/>
      <c r="J95" s="154"/>
      <c r="K95" s="154"/>
      <c r="L95" s="154"/>
      <c r="M95" s="175"/>
      <c r="N95" s="175"/>
      <c r="O95" s="175"/>
      <c r="P95" s="175"/>
    </row>
    <row r="96" spans="1:16" x14ac:dyDescent="0.25">
      <c r="C96" s="247">
        <f>COUNTIF(E100:E121,"Q1")</f>
        <v>4</v>
      </c>
      <c r="D96" s="214">
        <f>COUNTIF(F100:F121,"Q1")</f>
        <v>6</v>
      </c>
      <c r="E96" s="154"/>
      <c r="F96" s="154"/>
      <c r="G96" s="154"/>
      <c r="M96" s="175"/>
      <c r="N96" s="175"/>
      <c r="O96" s="175"/>
      <c r="P96" s="175"/>
    </row>
    <row r="97" spans="1:16" x14ac:dyDescent="0.25">
      <c r="C97" s="248" t="s">
        <v>293</v>
      </c>
      <c r="D97" s="214" t="s">
        <v>253</v>
      </c>
      <c r="E97" s="154"/>
      <c r="F97" s="154"/>
      <c r="G97" s="154"/>
      <c r="M97" s="175"/>
      <c r="N97" s="175"/>
      <c r="O97" s="175"/>
      <c r="P97" s="175"/>
    </row>
    <row r="98" spans="1:16" ht="15.75" thickBot="1" x14ac:dyDescent="0.3">
      <c r="C98" s="247">
        <f>COUNTIF(E102:E122,"Q2")</f>
        <v>5</v>
      </c>
      <c r="D98" s="214">
        <f>COUNTIF(F102:F122,"Q2")</f>
        <v>7</v>
      </c>
      <c r="E98" s="154"/>
      <c r="F98" s="154"/>
      <c r="G98" s="154"/>
      <c r="M98" s="175"/>
      <c r="N98" s="175"/>
      <c r="O98" s="175"/>
      <c r="P98" s="175"/>
    </row>
    <row r="99" spans="1:16" ht="75.75" thickBot="1" x14ac:dyDescent="0.3">
      <c r="A99" s="300" t="s">
        <v>32</v>
      </c>
      <c r="B99" s="191" t="s">
        <v>0</v>
      </c>
      <c r="C99" s="192" t="s">
        <v>254</v>
      </c>
      <c r="D99" s="192" t="s">
        <v>207</v>
      </c>
      <c r="E99" s="192" t="s">
        <v>273</v>
      </c>
      <c r="F99" s="192" t="s">
        <v>274</v>
      </c>
      <c r="G99" s="192" t="s">
        <v>238</v>
      </c>
      <c r="H99" s="191" t="s">
        <v>135</v>
      </c>
      <c r="I99" s="194" t="s">
        <v>132</v>
      </c>
      <c r="J99" s="251"/>
      <c r="K99" s="251"/>
      <c r="L99" s="251"/>
      <c r="M99" s="252" t="s">
        <v>229</v>
      </c>
      <c r="N99" s="178"/>
      <c r="O99" s="178" t="s">
        <v>228</v>
      </c>
      <c r="P99" s="175"/>
    </row>
    <row r="100" spans="1:16" ht="45" x14ac:dyDescent="0.25">
      <c r="A100" s="301"/>
      <c r="B100" s="261" t="s">
        <v>32</v>
      </c>
      <c r="C100" s="262" t="s">
        <v>28</v>
      </c>
      <c r="D100" s="263" t="str">
        <f t="shared" ref="D100:D121" si="23">VLOOKUP($C100,$C$12:$I$68,2,FALSE)</f>
        <v>PSE partners with MFU owner/developer to deploy battery program. MFU rentees benefit from back-up power and PSE uses batteries to help manage system/local peaks.</v>
      </c>
      <c r="E100" s="185" t="str">
        <f t="shared" ref="E100:F121" si="24">INDEX($B$11:$K$68,MATCH($C100,$C$11:$C$68,0),MATCH(E$99,$B$11:$K$11,0))</f>
        <v>Q3</v>
      </c>
      <c r="F100" s="185" t="str">
        <f t="shared" si="24"/>
        <v>Q1</v>
      </c>
      <c r="G100" s="276" t="str">
        <f>VLOOKUP($C100,$C$12:$G$68,5,FALSE)</f>
        <v>Yes</v>
      </c>
      <c r="H100" s="265">
        <f t="shared" ref="H100:I121" si="25">INDEX($B$11:$I$68,MATCH($C100,$C$11:$C$68,0),MATCH(H$75,$B$11:$I$11,0))</f>
        <v>55</v>
      </c>
      <c r="I100" s="266">
        <f t="shared" si="25"/>
        <v>75</v>
      </c>
      <c r="J100" s="212"/>
      <c r="K100" s="212"/>
      <c r="L100" s="212"/>
      <c r="M100" s="175">
        <f>0</f>
        <v>0</v>
      </c>
      <c r="N100" s="175">
        <f t="shared" ref="N100:N121" si="26">S$15</f>
        <v>67.5</v>
      </c>
      <c r="O100" s="175">
        <f t="shared" ref="O100:O121" si="27">R$15</f>
        <v>52.5</v>
      </c>
      <c r="P100" s="175">
        <f>M100</f>
        <v>0</v>
      </c>
    </row>
    <row r="101" spans="1:16" ht="30" x14ac:dyDescent="0.25">
      <c r="A101" s="301"/>
      <c r="B101" s="256" t="s">
        <v>32</v>
      </c>
      <c r="C101" s="244" t="s">
        <v>91</v>
      </c>
      <c r="D101" s="182" t="str">
        <f t="shared" si="23"/>
        <v xml:space="preserve">PSE installs batteries at its substations that can help to integrate renewables, increase power quality and/or resiliency, and manage system or local peak. </v>
      </c>
      <c r="E101" s="260" t="str">
        <f t="shared" si="24"/>
        <v>Q1</v>
      </c>
      <c r="F101" s="260" t="str">
        <f t="shared" si="24"/>
        <v>Q1</v>
      </c>
      <c r="G101" s="276" t="str">
        <f t="shared" ref="G101:G121" si="28">VLOOKUP($C101,$C$12:$G$68,5,FALSE)</f>
        <v>No</v>
      </c>
      <c r="H101" s="267">
        <f t="shared" si="25"/>
        <v>70</v>
      </c>
      <c r="I101" s="268">
        <f t="shared" si="25"/>
        <v>100</v>
      </c>
      <c r="J101" s="212"/>
      <c r="K101" s="212"/>
      <c r="L101" s="212"/>
      <c r="M101" s="175">
        <f>M100+100/(COUNTIF($B$100:$B$121,"Battery"))</f>
        <v>4.5454545454545459</v>
      </c>
      <c r="N101" s="175">
        <f t="shared" si="26"/>
        <v>67.5</v>
      </c>
      <c r="O101" s="175">
        <f t="shared" si="27"/>
        <v>52.5</v>
      </c>
      <c r="P101" s="175">
        <f t="shared" ref="P101:P121" si="29">M101</f>
        <v>4.5454545454545459</v>
      </c>
    </row>
    <row r="102" spans="1:16" ht="45" x14ac:dyDescent="0.25">
      <c r="A102" s="301"/>
      <c r="B102" s="256" t="s">
        <v>32</v>
      </c>
      <c r="C102" s="244" t="s">
        <v>93</v>
      </c>
      <c r="D102" s="182" t="str">
        <f t="shared" si="23"/>
        <v>PSE installs distributed batteries locally, communally, and/or in urban settings (i.e. outside of substations). Batteries help to improve power quality and/or resiliency, integrate renewables, or manage system/local peak.</v>
      </c>
      <c r="E102" s="260" t="str">
        <f t="shared" si="24"/>
        <v>Q1</v>
      </c>
      <c r="F102" s="260" t="str">
        <f t="shared" si="24"/>
        <v>Q1</v>
      </c>
      <c r="G102" s="276" t="str">
        <f t="shared" si="28"/>
        <v>No</v>
      </c>
      <c r="H102" s="267">
        <f t="shared" si="25"/>
        <v>62.5</v>
      </c>
      <c r="I102" s="268">
        <f t="shared" si="25"/>
        <v>100</v>
      </c>
      <c r="J102" s="212"/>
      <c r="K102" s="212"/>
      <c r="L102" s="212"/>
      <c r="M102" s="175">
        <f t="shared" ref="M102:M121" si="30">M101+100/(COUNTIF($B$100:$B$121,"Battery"))</f>
        <v>9.0909090909090917</v>
      </c>
      <c r="N102" s="175">
        <f t="shared" si="26"/>
        <v>67.5</v>
      </c>
      <c r="O102" s="175">
        <f t="shared" si="27"/>
        <v>52.5</v>
      </c>
      <c r="P102" s="175">
        <f t="shared" si="29"/>
        <v>9.0909090909090917</v>
      </c>
    </row>
    <row r="103" spans="1:16" ht="45" x14ac:dyDescent="0.25">
      <c r="A103" s="301"/>
      <c r="B103" s="256" t="s">
        <v>32</v>
      </c>
      <c r="C103" s="244" t="s">
        <v>92</v>
      </c>
      <c r="D103" s="182" t="str">
        <f t="shared" si="23"/>
        <v>3rd Party installs/manges single/network of batteries to respond to dispatch signal from PSE to help increase power quality and/or resiliency, as well as manage system/local peak. Battery through All Source.</v>
      </c>
      <c r="E103" s="260" t="str">
        <f t="shared" si="24"/>
        <v>Q1</v>
      </c>
      <c r="F103" s="260" t="str">
        <f t="shared" si="24"/>
        <v>Q1</v>
      </c>
      <c r="G103" s="276" t="str">
        <f t="shared" si="28"/>
        <v>No</v>
      </c>
      <c r="H103" s="267">
        <f t="shared" si="25"/>
        <v>52.5</v>
      </c>
      <c r="I103" s="268">
        <f t="shared" si="25"/>
        <v>80</v>
      </c>
      <c r="J103" s="212"/>
      <c r="K103" s="212"/>
      <c r="L103" s="212"/>
      <c r="M103" s="175">
        <f t="shared" si="30"/>
        <v>13.636363636363637</v>
      </c>
      <c r="N103" s="175">
        <f t="shared" si="26"/>
        <v>67.5</v>
      </c>
      <c r="O103" s="175">
        <f t="shared" si="27"/>
        <v>52.5</v>
      </c>
      <c r="P103" s="175">
        <f t="shared" si="29"/>
        <v>13.636363636363637</v>
      </c>
    </row>
    <row r="104" spans="1:16" ht="30" x14ac:dyDescent="0.25">
      <c r="A104" s="301"/>
      <c r="B104" s="256" t="s">
        <v>32</v>
      </c>
      <c r="C104" s="244" t="s">
        <v>30</v>
      </c>
      <c r="D104" s="182" t="str">
        <f t="shared" si="23"/>
        <v>PSE offers upfront incentive to residential customers to install their own BESS, with terms for operating modes that lead to optimal load behavior.</v>
      </c>
      <c r="E104" s="260" t="str">
        <f t="shared" si="24"/>
        <v>Q1</v>
      </c>
      <c r="F104" s="260" t="str">
        <f t="shared" si="24"/>
        <v>Q3</v>
      </c>
      <c r="G104" s="276" t="str">
        <f t="shared" si="28"/>
        <v>Yes</v>
      </c>
      <c r="H104" s="267">
        <f t="shared" si="25"/>
        <v>47.5</v>
      </c>
      <c r="I104" s="268">
        <f t="shared" si="25"/>
        <v>100</v>
      </c>
      <c r="J104" s="212"/>
      <c r="K104" s="212"/>
      <c r="L104" s="212"/>
      <c r="M104" s="175">
        <f t="shared" si="30"/>
        <v>18.181818181818183</v>
      </c>
      <c r="N104" s="175">
        <f t="shared" si="26"/>
        <v>67.5</v>
      </c>
      <c r="O104" s="175">
        <f t="shared" si="27"/>
        <v>52.5</v>
      </c>
      <c r="P104" s="175">
        <f t="shared" si="29"/>
        <v>18.181818181818183</v>
      </c>
    </row>
    <row r="105" spans="1:16" ht="45" x14ac:dyDescent="0.25">
      <c r="A105" s="301"/>
      <c r="B105" s="256" t="s">
        <v>32</v>
      </c>
      <c r="C105" s="244" t="s">
        <v>241</v>
      </c>
      <c r="D105" s="182" t="str">
        <f t="shared" si="23"/>
        <v>PSE provides targeted deployment of batteries for low-income customers. Customers benefit from back-up power and PSE can use batteries to manage system/local peaks.</v>
      </c>
      <c r="E105" s="260" t="str">
        <f t="shared" si="24"/>
        <v>Q2</v>
      </c>
      <c r="F105" s="260" t="str">
        <f t="shared" si="24"/>
        <v>Q1</v>
      </c>
      <c r="G105" s="276" t="str">
        <f t="shared" si="28"/>
        <v>Yes</v>
      </c>
      <c r="H105" s="267">
        <f t="shared" si="25"/>
        <v>52.5</v>
      </c>
      <c r="I105" s="268">
        <f t="shared" si="25"/>
        <v>75</v>
      </c>
      <c r="J105" s="212"/>
      <c r="K105" s="212"/>
      <c r="L105" s="212"/>
      <c r="M105" s="175">
        <f t="shared" si="30"/>
        <v>22.72727272727273</v>
      </c>
      <c r="N105" s="175">
        <f t="shared" si="26"/>
        <v>67.5</v>
      </c>
      <c r="O105" s="175">
        <f t="shared" si="27"/>
        <v>52.5</v>
      </c>
      <c r="P105" s="175">
        <f t="shared" si="29"/>
        <v>22.72727272727273</v>
      </c>
    </row>
    <row r="106" spans="1:16" ht="30" x14ac:dyDescent="0.25">
      <c r="A106" s="301"/>
      <c r="B106" s="256" t="s">
        <v>32</v>
      </c>
      <c r="C106" s="244" t="s">
        <v>29</v>
      </c>
      <c r="D106" s="182" t="str">
        <f t="shared" si="23"/>
        <v>PSE leases public/municipal space to deploy BESS to improve power quality and/or resiliency  and manage system/local peaks.</v>
      </c>
      <c r="E106" s="260" t="str">
        <f t="shared" si="24"/>
        <v>Q3</v>
      </c>
      <c r="F106" s="260" t="str">
        <f t="shared" si="24"/>
        <v>Q2</v>
      </c>
      <c r="G106" s="276" t="str">
        <f t="shared" si="28"/>
        <v>Yes</v>
      </c>
      <c r="H106" s="267">
        <f t="shared" si="25"/>
        <v>62.5</v>
      </c>
      <c r="I106" s="268">
        <f t="shared" si="25"/>
        <v>65</v>
      </c>
      <c r="J106" s="212"/>
      <c r="K106" s="212"/>
      <c r="L106" s="212"/>
      <c r="M106" s="175">
        <f t="shared" si="30"/>
        <v>27.272727272727277</v>
      </c>
      <c r="N106" s="175">
        <f t="shared" si="26"/>
        <v>67.5</v>
      </c>
      <c r="O106" s="175">
        <f t="shared" si="27"/>
        <v>52.5</v>
      </c>
      <c r="P106" s="175">
        <f t="shared" si="29"/>
        <v>27.272727272727277</v>
      </c>
    </row>
    <row r="107" spans="1:16" ht="45" x14ac:dyDescent="0.25">
      <c r="A107" s="301"/>
      <c r="B107" s="256" t="s">
        <v>32</v>
      </c>
      <c r="C107" s="244" t="s">
        <v>56</v>
      </c>
      <c r="D107" s="182" t="str">
        <f t="shared" si="23"/>
        <v>PSE leases space from/at C&amp;I customers to deploy BESS to improve power quality and/or resiliency and manage system/local peak. Backup power for host customer as additional integration.</v>
      </c>
      <c r="E107" s="260" t="str">
        <f t="shared" si="24"/>
        <v>Q2</v>
      </c>
      <c r="F107" s="260" t="str">
        <f t="shared" si="24"/>
        <v>Q2</v>
      </c>
      <c r="G107" s="276" t="str">
        <f t="shared" si="28"/>
        <v>No</v>
      </c>
      <c r="H107" s="267">
        <f t="shared" si="25"/>
        <v>62.5</v>
      </c>
      <c r="I107" s="268">
        <f t="shared" si="25"/>
        <v>50</v>
      </c>
      <c r="J107" s="212"/>
      <c r="K107" s="212"/>
      <c r="L107" s="212"/>
      <c r="M107" s="175">
        <f t="shared" si="30"/>
        <v>31.818181818181824</v>
      </c>
      <c r="N107" s="175">
        <f t="shared" si="26"/>
        <v>67.5</v>
      </c>
      <c r="O107" s="175">
        <f t="shared" si="27"/>
        <v>52.5</v>
      </c>
      <c r="P107" s="175">
        <f t="shared" si="29"/>
        <v>31.818181818181824</v>
      </c>
    </row>
    <row r="108" spans="1:16" ht="30" x14ac:dyDescent="0.25">
      <c r="A108" s="301"/>
      <c r="B108" s="256" t="s">
        <v>32</v>
      </c>
      <c r="C108" s="244" t="s">
        <v>240</v>
      </c>
      <c r="D108" s="182" t="str">
        <f t="shared" si="23"/>
        <v xml:space="preserve">PSE installs batteries in customer homes. Customers pay a monthly fee for backup power services; PSE uses battery to manage system/local peaks. </v>
      </c>
      <c r="E108" s="260" t="str">
        <f t="shared" si="24"/>
        <v>Q2</v>
      </c>
      <c r="F108" s="260" t="str">
        <f t="shared" si="24"/>
        <v>Q2</v>
      </c>
      <c r="G108" s="276" t="str">
        <f t="shared" si="28"/>
        <v>No</v>
      </c>
      <c r="H108" s="267">
        <f t="shared" si="25"/>
        <v>67.5</v>
      </c>
      <c r="I108" s="268">
        <f t="shared" si="25"/>
        <v>60</v>
      </c>
      <c r="J108" s="212"/>
      <c r="K108" s="212"/>
      <c r="L108" s="212"/>
      <c r="M108" s="175">
        <f t="shared" si="30"/>
        <v>36.363636363636367</v>
      </c>
      <c r="N108" s="175">
        <f t="shared" si="26"/>
        <v>67.5</v>
      </c>
      <c r="O108" s="175">
        <f t="shared" si="27"/>
        <v>52.5</v>
      </c>
      <c r="P108" s="175">
        <f t="shared" si="29"/>
        <v>36.363636363636367</v>
      </c>
    </row>
    <row r="109" spans="1:16" ht="60" x14ac:dyDescent="0.25">
      <c r="A109" s="301"/>
      <c r="B109" s="256" t="s">
        <v>32</v>
      </c>
      <c r="C109" s="244" t="s">
        <v>54</v>
      </c>
      <c r="D109" s="182" t="str">
        <f t="shared" si="23"/>
        <v>3rd Party installs/manages network of commercial batteries that provide backup power, demand charge reduction, and RE integration for customers. 3rd Party will aggregate network of batteries to respond to dispatch signal from PSE to help integrate renewables and manage system/local peak.</v>
      </c>
      <c r="E109" s="260" t="str">
        <f t="shared" si="24"/>
        <v>Q3</v>
      </c>
      <c r="F109" s="260" t="str">
        <f t="shared" si="24"/>
        <v>Q4</v>
      </c>
      <c r="G109" s="276" t="str">
        <f t="shared" si="28"/>
        <v>Yes</v>
      </c>
      <c r="H109" s="267">
        <f t="shared" si="25"/>
        <v>47.5</v>
      </c>
      <c r="I109" s="268">
        <f t="shared" si="25"/>
        <v>60</v>
      </c>
      <c r="J109" s="212"/>
      <c r="K109" s="212"/>
      <c r="L109" s="212"/>
      <c r="M109" s="175">
        <f t="shared" si="30"/>
        <v>40.909090909090914</v>
      </c>
      <c r="N109" s="175">
        <f t="shared" si="26"/>
        <v>67.5</v>
      </c>
      <c r="O109" s="175">
        <f t="shared" si="27"/>
        <v>52.5</v>
      </c>
      <c r="P109" s="175">
        <f t="shared" si="29"/>
        <v>40.909090909090914</v>
      </c>
    </row>
    <row r="110" spans="1:16" ht="60" x14ac:dyDescent="0.25">
      <c r="A110" s="301"/>
      <c r="B110" s="256" t="s">
        <v>32</v>
      </c>
      <c r="C110" s="244" t="s">
        <v>33</v>
      </c>
      <c r="D110" s="182" t="str">
        <f t="shared" si="23"/>
        <v>3rd Party installs/manages network of residential batteries that provide backup power and RE integration for customers. 3rd Party will aggregate network of batteries to respond to dispatch signal from PSE to help integreate renewables and manage system or local peak.</v>
      </c>
      <c r="E110" s="260" t="str">
        <f t="shared" si="24"/>
        <v>Q3</v>
      </c>
      <c r="F110" s="260" t="str">
        <f t="shared" si="24"/>
        <v>Q2</v>
      </c>
      <c r="G110" s="276" t="str">
        <f t="shared" si="28"/>
        <v>Yes</v>
      </c>
      <c r="H110" s="267">
        <f t="shared" si="25"/>
        <v>52.5</v>
      </c>
      <c r="I110" s="268">
        <f t="shared" si="25"/>
        <v>55</v>
      </c>
      <c r="J110" s="212"/>
      <c r="K110" s="212"/>
      <c r="L110" s="212"/>
      <c r="M110" s="175">
        <f t="shared" si="30"/>
        <v>45.45454545454546</v>
      </c>
      <c r="N110" s="175">
        <f t="shared" si="26"/>
        <v>67.5</v>
      </c>
      <c r="O110" s="175">
        <f t="shared" si="27"/>
        <v>52.5</v>
      </c>
      <c r="P110" s="175">
        <f t="shared" si="29"/>
        <v>45.45454545454546</v>
      </c>
    </row>
    <row r="111" spans="1:16" ht="30" x14ac:dyDescent="0.25">
      <c r="A111" s="301"/>
      <c r="B111" s="256" t="s">
        <v>32</v>
      </c>
      <c r="C111" s="244" t="s">
        <v>53</v>
      </c>
      <c r="D111" s="182" t="str">
        <f t="shared" si="23"/>
        <v>PSE offers upfront incentive to commercial customer to install their own BESS, with terms for operating modes that lead to optimal load behavior.</v>
      </c>
      <c r="E111" s="260" t="str">
        <f t="shared" si="24"/>
        <v>Q3</v>
      </c>
      <c r="F111" s="260" t="str">
        <f t="shared" si="24"/>
        <v>Q4</v>
      </c>
      <c r="G111" s="276" t="str">
        <f t="shared" si="28"/>
        <v>Yes</v>
      </c>
      <c r="H111" s="267">
        <f t="shared" si="25"/>
        <v>47.5</v>
      </c>
      <c r="I111" s="268">
        <f t="shared" si="25"/>
        <v>55</v>
      </c>
      <c r="J111" s="212"/>
      <c r="K111" s="212"/>
      <c r="L111" s="212"/>
      <c r="M111" s="175">
        <f t="shared" si="30"/>
        <v>50.000000000000007</v>
      </c>
      <c r="N111" s="175">
        <f t="shared" si="26"/>
        <v>67.5</v>
      </c>
      <c r="O111" s="175">
        <f t="shared" si="27"/>
        <v>52.5</v>
      </c>
      <c r="P111" s="175">
        <f t="shared" si="29"/>
        <v>50.000000000000007</v>
      </c>
    </row>
    <row r="112" spans="1:16" ht="30" x14ac:dyDescent="0.25">
      <c r="A112" s="301"/>
      <c r="B112" s="256" t="s">
        <v>32</v>
      </c>
      <c r="C112" s="244" t="s">
        <v>39</v>
      </c>
      <c r="D112" s="182" t="str">
        <f t="shared" si="23"/>
        <v>PSE offers C&amp;I customers with enrollment to solar+storage rate that incentivizes specific load and charge/discharge that helps PSE manage system/local peak.</v>
      </c>
      <c r="E112" s="260" t="str">
        <f t="shared" si="24"/>
        <v>Q3</v>
      </c>
      <c r="F112" s="260" t="str">
        <f t="shared" si="24"/>
        <v>Q2</v>
      </c>
      <c r="G112" s="276" t="str">
        <f t="shared" si="28"/>
        <v>Yes</v>
      </c>
      <c r="H112" s="267">
        <f t="shared" si="25"/>
        <v>52.5</v>
      </c>
      <c r="I112" s="268">
        <f t="shared" si="25"/>
        <v>55</v>
      </c>
      <c r="J112" s="212"/>
      <c r="K112" s="212"/>
      <c r="L112" s="212"/>
      <c r="M112" s="175">
        <f t="shared" si="30"/>
        <v>54.545454545454554</v>
      </c>
      <c r="N112" s="175">
        <f t="shared" si="26"/>
        <v>67.5</v>
      </c>
      <c r="O112" s="175">
        <f t="shared" si="27"/>
        <v>52.5</v>
      </c>
      <c r="P112" s="175">
        <f t="shared" si="29"/>
        <v>54.545454545454554</v>
      </c>
    </row>
    <row r="113" spans="1:16" ht="45" x14ac:dyDescent="0.25">
      <c r="A113" s="301"/>
      <c r="B113" s="256" t="s">
        <v>32</v>
      </c>
      <c r="C113" s="244" t="s">
        <v>86</v>
      </c>
      <c r="D113" s="182" t="str">
        <f t="shared" si="23"/>
        <v>Tariff targeted to existing/new commercial battery owners that encourages optimal load behavior, charge/discharge, and/or PSE access that helps PSE to manage system/local peak.</v>
      </c>
      <c r="E113" s="260" t="str">
        <f t="shared" si="24"/>
        <v>Q2</v>
      </c>
      <c r="F113" s="260" t="str">
        <f t="shared" si="24"/>
        <v>Q2</v>
      </c>
      <c r="G113" s="276" t="str">
        <f t="shared" si="28"/>
        <v>No</v>
      </c>
      <c r="H113" s="267">
        <f t="shared" si="25"/>
        <v>52.5</v>
      </c>
      <c r="I113" s="268">
        <f t="shared" si="25"/>
        <v>55</v>
      </c>
      <c r="J113" s="212"/>
      <c r="K113" s="212"/>
      <c r="L113" s="212"/>
      <c r="M113" s="175">
        <f t="shared" si="30"/>
        <v>59.090909090909101</v>
      </c>
      <c r="N113" s="175">
        <f t="shared" si="26"/>
        <v>67.5</v>
      </c>
      <c r="O113" s="175">
        <f t="shared" si="27"/>
        <v>52.5</v>
      </c>
      <c r="P113" s="175">
        <f t="shared" si="29"/>
        <v>59.090909090909101</v>
      </c>
    </row>
    <row r="114" spans="1:16" ht="45" x14ac:dyDescent="0.25">
      <c r="A114" s="301"/>
      <c r="B114" s="256" t="s">
        <v>32</v>
      </c>
      <c r="C114" s="244" t="s">
        <v>51</v>
      </c>
      <c r="D114" s="182" t="str">
        <f t="shared" si="23"/>
        <v>PSE offers customers subscription to the output of batteries locally and/or across service territory that help to manage system/local peak. Customer receives a monthly credit based on savings from battery, and potentially, backup power.</v>
      </c>
      <c r="E114" s="260" t="str">
        <f t="shared" si="24"/>
        <v>Q4</v>
      </c>
      <c r="F114" s="260" t="str">
        <f t="shared" si="24"/>
        <v>Q2</v>
      </c>
      <c r="G114" s="276" t="str">
        <f t="shared" si="28"/>
        <v>Yes</v>
      </c>
      <c r="H114" s="267">
        <f t="shared" si="25"/>
        <v>52.5</v>
      </c>
      <c r="I114" s="268">
        <f t="shared" si="25"/>
        <v>25</v>
      </c>
      <c r="J114" s="212"/>
      <c r="K114" s="212"/>
      <c r="L114" s="212"/>
      <c r="M114" s="175">
        <f t="shared" si="30"/>
        <v>63.636363636363647</v>
      </c>
      <c r="N114" s="175">
        <f t="shared" si="26"/>
        <v>67.5</v>
      </c>
      <c r="O114" s="175">
        <f t="shared" si="27"/>
        <v>52.5</v>
      </c>
      <c r="P114" s="175">
        <f t="shared" si="29"/>
        <v>63.636363636363647</v>
      </c>
    </row>
    <row r="115" spans="1:16" ht="45" x14ac:dyDescent="0.25">
      <c r="A115" s="301"/>
      <c r="B115" s="256" t="s">
        <v>32</v>
      </c>
      <c r="C115" s="244" t="s">
        <v>88</v>
      </c>
      <c r="D115" s="182" t="str">
        <f t="shared" si="23"/>
        <v>PSE deploys mobile batteries to support planned and (un-)planned outages, as well as to help manage system/local peak. Batteries can serve at distribution level.</v>
      </c>
      <c r="E115" s="260" t="str">
        <f t="shared" si="24"/>
        <v>Q2</v>
      </c>
      <c r="F115" s="260" t="str">
        <f t="shared" si="24"/>
        <v>Q1</v>
      </c>
      <c r="G115" s="276" t="str">
        <f t="shared" si="28"/>
        <v>Yes</v>
      </c>
      <c r="H115" s="267">
        <f t="shared" si="25"/>
        <v>55</v>
      </c>
      <c r="I115" s="268">
        <f t="shared" si="25"/>
        <v>70</v>
      </c>
      <c r="J115" s="212"/>
      <c r="K115" s="212"/>
      <c r="L115" s="212"/>
      <c r="M115" s="175">
        <f t="shared" si="30"/>
        <v>68.181818181818187</v>
      </c>
      <c r="N115" s="175">
        <f t="shared" si="26"/>
        <v>67.5</v>
      </c>
      <c r="O115" s="175">
        <f t="shared" si="27"/>
        <v>52.5</v>
      </c>
      <c r="P115" s="175">
        <f t="shared" si="29"/>
        <v>68.181818181818187</v>
      </c>
    </row>
    <row r="116" spans="1:16" ht="45" x14ac:dyDescent="0.25">
      <c r="A116" s="301"/>
      <c r="B116" s="256" t="s">
        <v>32</v>
      </c>
      <c r="C116" s="244" t="s">
        <v>87</v>
      </c>
      <c r="D116" s="182" t="str">
        <f t="shared" si="23"/>
        <v>Tariff targeted to existing/new residential battery owners that encourages optimal load behavior, charge/discharge, and/or PSE access that helps PSE to manage system/local peak.</v>
      </c>
      <c r="E116" s="260" t="str">
        <f t="shared" si="24"/>
        <v>Q3</v>
      </c>
      <c r="F116" s="260" t="str">
        <f t="shared" si="24"/>
        <v>Q3</v>
      </c>
      <c r="G116" s="276" t="str">
        <f t="shared" si="28"/>
        <v>No</v>
      </c>
      <c r="H116" s="267">
        <f t="shared" si="25"/>
        <v>27.5</v>
      </c>
      <c r="I116" s="268">
        <f t="shared" si="25"/>
        <v>90</v>
      </c>
      <c r="J116" s="212"/>
      <c r="K116" s="212"/>
      <c r="L116" s="212"/>
      <c r="M116" s="175">
        <f t="shared" si="30"/>
        <v>72.727272727272734</v>
      </c>
      <c r="N116" s="175">
        <f t="shared" si="26"/>
        <v>67.5</v>
      </c>
      <c r="O116" s="175">
        <f t="shared" si="27"/>
        <v>52.5</v>
      </c>
      <c r="P116" s="175">
        <f t="shared" si="29"/>
        <v>72.727272727272734</v>
      </c>
    </row>
    <row r="117" spans="1:16" ht="30" x14ac:dyDescent="0.25">
      <c r="A117" s="301"/>
      <c r="B117" s="256" t="s">
        <v>32</v>
      </c>
      <c r="C117" s="244" t="s">
        <v>90</v>
      </c>
      <c r="D117" s="182" t="str">
        <f t="shared" si="23"/>
        <v>PSE installs batteries along feeders to help increase power quality and/or resiliency, as well as to help manage system/local peak.</v>
      </c>
      <c r="E117" s="260" t="str">
        <f t="shared" si="24"/>
        <v>Q3</v>
      </c>
      <c r="F117" s="260" t="str">
        <f t="shared" si="24"/>
        <v>Q3</v>
      </c>
      <c r="G117" s="276" t="str">
        <f t="shared" si="28"/>
        <v>No</v>
      </c>
      <c r="H117" s="267">
        <f t="shared" si="25"/>
        <v>22.5</v>
      </c>
      <c r="I117" s="268">
        <f t="shared" si="25"/>
        <v>70</v>
      </c>
      <c r="J117" s="212"/>
      <c r="K117" s="212"/>
      <c r="L117" s="212"/>
      <c r="M117" s="175">
        <f t="shared" si="30"/>
        <v>77.27272727272728</v>
      </c>
      <c r="N117" s="175">
        <f t="shared" si="26"/>
        <v>67.5</v>
      </c>
      <c r="O117" s="175">
        <f t="shared" si="27"/>
        <v>52.5</v>
      </c>
      <c r="P117" s="175">
        <f t="shared" si="29"/>
        <v>77.27272727272728</v>
      </c>
    </row>
    <row r="118" spans="1:16" ht="45" x14ac:dyDescent="0.25">
      <c r="A118" s="301"/>
      <c r="B118" s="256" t="s">
        <v>32</v>
      </c>
      <c r="C118" s="244" t="s">
        <v>38</v>
      </c>
      <c r="D118" s="182" t="str">
        <f t="shared" si="23"/>
        <v>PSE offers residential customers with enrollment to solar+storage rate that incentivizes specific load and charge/discharge that helps PSE manage system/local peak.</v>
      </c>
      <c r="E118" s="260" t="str">
        <f t="shared" si="24"/>
        <v>Q3</v>
      </c>
      <c r="F118" s="260" t="str">
        <f t="shared" si="24"/>
        <v>Q4</v>
      </c>
      <c r="G118" s="276" t="str">
        <f t="shared" si="28"/>
        <v>Yes</v>
      </c>
      <c r="H118" s="267">
        <f t="shared" si="25"/>
        <v>47.5</v>
      </c>
      <c r="I118" s="268">
        <f t="shared" si="25"/>
        <v>50</v>
      </c>
      <c r="J118" s="212"/>
      <c r="K118" s="212"/>
      <c r="L118" s="212"/>
      <c r="M118" s="175">
        <f t="shared" si="30"/>
        <v>81.818181818181827</v>
      </c>
      <c r="N118" s="175">
        <f t="shared" si="26"/>
        <v>67.5</v>
      </c>
      <c r="O118" s="175">
        <f t="shared" si="27"/>
        <v>52.5</v>
      </c>
      <c r="P118" s="175">
        <f t="shared" si="29"/>
        <v>81.818181818181827</v>
      </c>
    </row>
    <row r="119" spans="1:16" ht="30" x14ac:dyDescent="0.25">
      <c r="A119" s="301"/>
      <c r="B119" s="256" t="s">
        <v>32</v>
      </c>
      <c r="C119" s="244" t="s">
        <v>52</v>
      </c>
      <c r="D119" s="182" t="str">
        <f t="shared" si="23"/>
        <v xml:space="preserve">Provides battery storage access to low income customers by discounting their monthly subscription fee, resulting in cost savings, and potentially, backup power. </v>
      </c>
      <c r="E119" s="260" t="str">
        <f t="shared" si="24"/>
        <v>Q4</v>
      </c>
      <c r="F119" s="260" t="str">
        <f t="shared" si="24"/>
        <v>Q4</v>
      </c>
      <c r="G119" s="276" t="str">
        <f t="shared" si="28"/>
        <v>No</v>
      </c>
      <c r="H119" s="267">
        <f t="shared" si="25"/>
        <v>47.5</v>
      </c>
      <c r="I119" s="268">
        <f t="shared" si="25"/>
        <v>25</v>
      </c>
      <c r="J119" s="212"/>
      <c r="K119" s="212"/>
      <c r="L119" s="212"/>
      <c r="M119" s="175">
        <f t="shared" si="30"/>
        <v>86.363636363636374</v>
      </c>
      <c r="N119" s="175">
        <f t="shared" si="26"/>
        <v>67.5</v>
      </c>
      <c r="O119" s="175">
        <f t="shared" si="27"/>
        <v>52.5</v>
      </c>
      <c r="P119" s="175">
        <f t="shared" si="29"/>
        <v>86.363636363636374</v>
      </c>
    </row>
    <row r="120" spans="1:16" ht="45" x14ac:dyDescent="0.25">
      <c r="A120" s="301"/>
      <c r="B120" s="256" t="s">
        <v>32</v>
      </c>
      <c r="C120" s="244" t="s">
        <v>89</v>
      </c>
      <c r="D120" s="182" t="str">
        <f t="shared" si="23"/>
        <v xml:space="preserve">PSE offers customers the ability to subscribe to the output of batteries installed at other C&amp;I/residential locations. Customers can share in savings from batteries that help PSE to manage system/local peak. </v>
      </c>
      <c r="E120" s="260" t="str">
        <f t="shared" si="24"/>
        <v>Q4</v>
      </c>
      <c r="F120" s="260" t="str">
        <f t="shared" si="24"/>
        <v>Q4</v>
      </c>
      <c r="G120" s="276" t="str">
        <f t="shared" si="28"/>
        <v>No</v>
      </c>
      <c r="H120" s="267">
        <f t="shared" si="25"/>
        <v>22.5</v>
      </c>
      <c r="I120" s="268">
        <f t="shared" si="25"/>
        <v>30</v>
      </c>
      <c r="J120" s="212"/>
      <c r="K120" s="212"/>
      <c r="L120" s="212"/>
      <c r="M120" s="175">
        <f t="shared" si="30"/>
        <v>90.909090909090921</v>
      </c>
      <c r="N120" s="175">
        <f t="shared" si="26"/>
        <v>67.5</v>
      </c>
      <c r="O120" s="175">
        <f t="shared" si="27"/>
        <v>52.5</v>
      </c>
      <c r="P120" s="175">
        <f t="shared" si="29"/>
        <v>90.909090909090921</v>
      </c>
    </row>
    <row r="121" spans="1:16" ht="30.75" thickBot="1" x14ac:dyDescent="0.3">
      <c r="A121" s="302"/>
      <c r="B121" s="257" t="s">
        <v>32</v>
      </c>
      <c r="C121" s="245" t="s">
        <v>31</v>
      </c>
      <c r="D121" s="184" t="str">
        <f t="shared" si="23"/>
        <v>PSE offers customers rental of batteries for temporary planned outages and other events.</v>
      </c>
      <c r="E121" s="264" t="str">
        <f t="shared" si="24"/>
        <v>Q3</v>
      </c>
      <c r="F121" s="264" t="str">
        <f t="shared" si="24"/>
        <v>Q4</v>
      </c>
      <c r="G121" s="276" t="str">
        <f t="shared" si="28"/>
        <v>Yes</v>
      </c>
      <c r="H121" s="269">
        <f t="shared" si="25"/>
        <v>5</v>
      </c>
      <c r="I121" s="270">
        <f t="shared" si="25"/>
        <v>35</v>
      </c>
      <c r="J121" s="212"/>
      <c r="K121" s="212"/>
      <c r="L121" s="212"/>
      <c r="M121" s="175">
        <f t="shared" si="30"/>
        <v>95.454545454545467</v>
      </c>
      <c r="N121" s="175">
        <f t="shared" si="26"/>
        <v>67.5</v>
      </c>
      <c r="O121" s="175">
        <f t="shared" si="27"/>
        <v>52.5</v>
      </c>
      <c r="P121" s="175">
        <f t="shared" si="29"/>
        <v>95.454545454545467</v>
      </c>
    </row>
    <row r="122" spans="1:16" x14ac:dyDescent="0.25">
      <c r="A122" s="176"/>
      <c r="B122" s="255"/>
      <c r="D122" s="154"/>
      <c r="E122" s="154"/>
      <c r="F122" s="154"/>
      <c r="G122" s="154"/>
      <c r="H122" s="154"/>
      <c r="I122" s="154"/>
      <c r="J122" s="154"/>
      <c r="K122" s="154"/>
      <c r="L122" s="154"/>
      <c r="M122" s="175"/>
      <c r="N122" s="175"/>
      <c r="O122" s="175"/>
      <c r="P122" s="175"/>
    </row>
    <row r="123" spans="1:16" x14ac:dyDescent="0.25">
      <c r="B123" s="255"/>
    </row>
    <row r="124" spans="1:16" x14ac:dyDescent="0.25">
      <c r="B124" s="259"/>
      <c r="C124" s="249"/>
      <c r="D124" s="148"/>
      <c r="E124" s="148"/>
      <c r="F124" s="148"/>
      <c r="G124" s="148"/>
      <c r="H124" s="150"/>
      <c r="I124" s="150"/>
      <c r="J124" s="150"/>
      <c r="K124" s="150"/>
      <c r="L124" s="150"/>
    </row>
    <row r="125" spans="1:16" x14ac:dyDescent="0.25">
      <c r="B125" s="255"/>
      <c r="D125" s="149"/>
      <c r="E125" s="154"/>
      <c r="F125" s="154"/>
      <c r="G125" s="154"/>
      <c r="H125" s="153"/>
      <c r="I125" s="153"/>
      <c r="J125" s="237"/>
      <c r="K125" s="237"/>
      <c r="L125" s="237"/>
    </row>
    <row r="126" spans="1:16" x14ac:dyDescent="0.25">
      <c r="B126" s="255"/>
      <c r="D126" s="149"/>
      <c r="E126" s="154"/>
      <c r="F126" s="154"/>
      <c r="G126" s="154"/>
      <c r="H126" s="153"/>
      <c r="I126" s="153"/>
      <c r="J126" s="237"/>
      <c r="K126" s="237"/>
      <c r="L126" s="237"/>
    </row>
    <row r="127" spans="1:16" x14ac:dyDescent="0.25">
      <c r="B127" s="255"/>
      <c r="D127" s="149"/>
      <c r="E127" s="154"/>
      <c r="F127" s="154"/>
      <c r="G127" s="154"/>
      <c r="H127" s="153"/>
      <c r="I127" s="153"/>
      <c r="J127" s="237"/>
      <c r="K127" s="237"/>
      <c r="L127" s="237"/>
    </row>
    <row r="128" spans="1:16" x14ac:dyDescent="0.25">
      <c r="B128" s="255"/>
      <c r="D128" s="149"/>
      <c r="E128" s="154"/>
      <c r="F128" s="154"/>
      <c r="G128" s="154"/>
      <c r="H128" s="153"/>
      <c r="I128" s="153"/>
      <c r="J128" s="237"/>
      <c r="K128" s="237"/>
      <c r="L128" s="237"/>
    </row>
    <row r="129" spans="2:12" x14ac:dyDescent="0.25">
      <c r="B129" s="255"/>
      <c r="D129" s="149"/>
      <c r="E129" s="154"/>
      <c r="F129" s="154"/>
      <c r="G129" s="154"/>
      <c r="H129" s="153"/>
      <c r="I129" s="153"/>
      <c r="J129" s="237"/>
      <c r="K129" s="237"/>
      <c r="L129" s="237"/>
    </row>
    <row r="130" spans="2:12" x14ac:dyDescent="0.25">
      <c r="B130" s="255"/>
      <c r="D130" s="149"/>
      <c r="E130" s="154"/>
      <c r="F130" s="154"/>
      <c r="G130" s="154"/>
      <c r="H130" s="153"/>
      <c r="I130" s="153"/>
      <c r="J130" s="237"/>
      <c r="K130" s="237"/>
      <c r="L130" s="237"/>
    </row>
    <row r="131" spans="2:12" x14ac:dyDescent="0.25">
      <c r="B131" s="255"/>
      <c r="D131" s="149"/>
      <c r="E131" s="154"/>
      <c r="F131" s="154"/>
      <c r="G131" s="154"/>
      <c r="H131" s="153"/>
      <c r="I131" s="153"/>
      <c r="J131" s="237"/>
      <c r="K131" s="237"/>
      <c r="L131" s="237"/>
    </row>
    <row r="132" spans="2:12" x14ac:dyDescent="0.25">
      <c r="B132" s="255"/>
      <c r="D132" s="149"/>
      <c r="E132" s="154"/>
      <c r="F132" s="154"/>
      <c r="G132" s="154"/>
      <c r="H132" s="153"/>
      <c r="I132" s="153"/>
      <c r="J132" s="237"/>
      <c r="K132" s="237"/>
      <c r="L132" s="237"/>
    </row>
    <row r="133" spans="2:12" x14ac:dyDescent="0.25">
      <c r="B133" s="255"/>
      <c r="D133" s="149"/>
      <c r="E133" s="154"/>
      <c r="F133" s="154"/>
      <c r="G133" s="154"/>
      <c r="H133" s="153"/>
      <c r="I133" s="153"/>
      <c r="J133" s="237"/>
      <c r="K133" s="237"/>
      <c r="L133" s="237"/>
    </row>
    <row r="134" spans="2:12" x14ac:dyDescent="0.25">
      <c r="B134" s="255"/>
      <c r="D134" s="149"/>
      <c r="E134" s="154"/>
      <c r="F134" s="154"/>
      <c r="G134" s="154"/>
      <c r="H134" s="153"/>
      <c r="I134" s="153"/>
      <c r="J134" s="237"/>
      <c r="K134" s="237"/>
      <c r="L134" s="237"/>
    </row>
    <row r="135" spans="2:12" x14ac:dyDescent="0.25">
      <c r="B135" s="255"/>
      <c r="D135" s="149"/>
      <c r="E135" s="154"/>
      <c r="F135" s="154"/>
      <c r="G135" s="154"/>
      <c r="H135" s="153"/>
      <c r="I135" s="153"/>
      <c r="J135" s="237"/>
      <c r="K135" s="237"/>
      <c r="L135" s="237"/>
    </row>
    <row r="136" spans="2:12" x14ac:dyDescent="0.25">
      <c r="B136" s="255"/>
      <c r="D136" s="149"/>
      <c r="E136" s="154"/>
      <c r="F136" s="154"/>
      <c r="G136" s="154"/>
      <c r="H136" s="153"/>
      <c r="I136" s="153"/>
      <c r="J136" s="237"/>
      <c r="K136" s="237"/>
      <c r="L136" s="237"/>
    </row>
    <row r="137" spans="2:12" x14ac:dyDescent="0.25">
      <c r="B137" s="255"/>
      <c r="D137" s="149"/>
      <c r="E137" s="154"/>
      <c r="F137" s="154"/>
      <c r="G137" s="154"/>
      <c r="H137" s="153"/>
      <c r="I137" s="153"/>
      <c r="J137" s="237"/>
      <c r="K137" s="237"/>
      <c r="L137" s="237"/>
    </row>
    <row r="138" spans="2:12" x14ac:dyDescent="0.25">
      <c r="B138" s="255"/>
      <c r="D138" s="149"/>
      <c r="E138" s="154"/>
      <c r="F138" s="154"/>
      <c r="G138" s="154"/>
      <c r="H138" s="153"/>
      <c r="I138" s="153"/>
      <c r="J138" s="237"/>
      <c r="K138" s="237"/>
      <c r="L138" s="237"/>
    </row>
    <row r="139" spans="2:12" x14ac:dyDescent="0.25">
      <c r="B139" s="255"/>
      <c r="D139" s="149"/>
      <c r="E139" s="154"/>
      <c r="F139" s="154"/>
      <c r="G139" s="154"/>
      <c r="H139" s="153"/>
      <c r="I139" s="153"/>
      <c r="J139" s="237"/>
      <c r="K139" s="237"/>
      <c r="L139" s="237"/>
    </row>
    <row r="140" spans="2:12" x14ac:dyDescent="0.25">
      <c r="B140" s="255"/>
      <c r="D140" s="149"/>
      <c r="E140" s="154"/>
      <c r="F140" s="154"/>
      <c r="G140" s="154"/>
      <c r="H140" s="153"/>
      <c r="I140" s="153"/>
      <c r="J140" s="237"/>
      <c r="K140" s="237"/>
      <c r="L140" s="237"/>
    </row>
    <row r="141" spans="2:12" x14ac:dyDescent="0.25">
      <c r="E141" s="154"/>
      <c r="F141" s="154"/>
      <c r="G141" s="154"/>
    </row>
    <row r="142" spans="2:12" x14ac:dyDescent="0.25">
      <c r="B142" s="259"/>
      <c r="C142" s="249"/>
      <c r="D142" s="148"/>
      <c r="E142" s="148"/>
      <c r="F142" s="148"/>
      <c r="G142" s="148"/>
      <c r="H142" s="150"/>
      <c r="I142" s="150"/>
      <c r="J142" s="150"/>
      <c r="K142" s="150"/>
      <c r="L142" s="150"/>
    </row>
    <row r="143" spans="2:12" x14ac:dyDescent="0.25">
      <c r="B143" s="255"/>
      <c r="D143" s="149"/>
      <c r="E143" s="154"/>
      <c r="F143" s="154"/>
      <c r="G143" s="154"/>
      <c r="H143" s="153"/>
      <c r="I143" s="153"/>
      <c r="J143" s="237"/>
      <c r="K143" s="237"/>
      <c r="L143" s="237"/>
    </row>
    <row r="144" spans="2:12" x14ac:dyDescent="0.25">
      <c r="B144" s="255"/>
      <c r="D144" s="149"/>
      <c r="E144" s="154"/>
      <c r="F144" s="154"/>
      <c r="G144" s="154"/>
      <c r="H144" s="153"/>
      <c r="I144" s="153"/>
      <c r="J144" s="237"/>
      <c r="K144" s="237"/>
      <c r="L144" s="237"/>
    </row>
    <row r="145" spans="2:12" x14ac:dyDescent="0.25">
      <c r="B145" s="255"/>
      <c r="D145" s="149"/>
      <c r="E145" s="154"/>
      <c r="F145" s="154"/>
      <c r="G145" s="154"/>
      <c r="H145" s="153"/>
      <c r="I145" s="153"/>
      <c r="J145" s="237"/>
      <c r="K145" s="237"/>
      <c r="L145" s="237"/>
    </row>
    <row r="146" spans="2:12" x14ac:dyDescent="0.25">
      <c r="B146" s="255"/>
      <c r="D146" s="149"/>
      <c r="E146" s="154"/>
      <c r="F146" s="154"/>
      <c r="G146" s="154"/>
      <c r="H146" s="153"/>
      <c r="I146" s="153"/>
      <c r="J146" s="237"/>
      <c r="K146" s="237"/>
      <c r="L146" s="237"/>
    </row>
    <row r="147" spans="2:12" x14ac:dyDescent="0.25">
      <c r="B147" s="255"/>
      <c r="D147" s="149"/>
      <c r="E147" s="154"/>
      <c r="F147" s="154"/>
      <c r="G147" s="154"/>
      <c r="H147" s="153"/>
      <c r="I147" s="153"/>
      <c r="J147" s="237"/>
      <c r="K147" s="237"/>
      <c r="L147" s="237"/>
    </row>
    <row r="148" spans="2:12" x14ac:dyDescent="0.25">
      <c r="B148" s="255"/>
      <c r="D148" s="149"/>
      <c r="E148" s="154"/>
      <c r="F148" s="154"/>
      <c r="G148" s="154"/>
      <c r="H148" s="153"/>
      <c r="I148" s="153"/>
      <c r="J148" s="237"/>
      <c r="K148" s="237"/>
      <c r="L148" s="237"/>
    </row>
    <row r="149" spans="2:12" x14ac:dyDescent="0.25">
      <c r="B149" s="255"/>
      <c r="D149" s="149"/>
      <c r="E149" s="154"/>
      <c r="F149" s="154"/>
      <c r="G149" s="154"/>
      <c r="H149" s="153"/>
      <c r="I149" s="153"/>
      <c r="J149" s="237"/>
      <c r="K149" s="237"/>
      <c r="L149" s="237"/>
    </row>
    <row r="150" spans="2:12" x14ac:dyDescent="0.25">
      <c r="B150" s="255"/>
      <c r="D150" s="149"/>
      <c r="E150" s="154"/>
      <c r="F150" s="154"/>
      <c r="G150" s="154"/>
      <c r="H150" s="153"/>
      <c r="I150" s="153"/>
      <c r="J150" s="237"/>
      <c r="K150" s="237"/>
      <c r="L150" s="237"/>
    </row>
    <row r="151" spans="2:12" x14ac:dyDescent="0.25">
      <c r="B151" s="255"/>
      <c r="D151" s="149"/>
      <c r="E151" s="154"/>
      <c r="F151" s="154"/>
      <c r="G151" s="154"/>
      <c r="H151" s="153"/>
      <c r="I151" s="153"/>
      <c r="J151" s="237"/>
      <c r="K151" s="237"/>
      <c r="L151" s="237"/>
    </row>
    <row r="152" spans="2:12" x14ac:dyDescent="0.25">
      <c r="B152" s="255"/>
      <c r="D152" s="149"/>
      <c r="E152" s="154"/>
      <c r="F152" s="154"/>
      <c r="G152" s="154"/>
      <c r="H152" s="153"/>
      <c r="I152" s="153"/>
      <c r="J152" s="237"/>
      <c r="K152" s="237"/>
      <c r="L152" s="237"/>
    </row>
    <row r="153" spans="2:12" x14ac:dyDescent="0.25">
      <c r="B153" s="255"/>
      <c r="D153" s="149"/>
      <c r="E153" s="154"/>
      <c r="F153" s="154"/>
      <c r="G153" s="154"/>
      <c r="H153" s="153"/>
      <c r="I153" s="153"/>
      <c r="J153" s="237"/>
      <c r="K153" s="237"/>
      <c r="L153" s="237"/>
    </row>
    <row r="154" spans="2:12" x14ac:dyDescent="0.25">
      <c r="B154" s="255"/>
      <c r="D154" s="149"/>
      <c r="E154" s="154"/>
      <c r="F154" s="154"/>
      <c r="G154" s="154"/>
      <c r="H154" s="153"/>
      <c r="I154" s="153"/>
      <c r="J154" s="237"/>
      <c r="K154" s="237"/>
      <c r="L154" s="237"/>
    </row>
    <row r="155" spans="2:12" x14ac:dyDescent="0.25">
      <c r="B155" s="255"/>
      <c r="D155" s="149"/>
      <c r="E155" s="154"/>
      <c r="F155" s="154"/>
      <c r="G155" s="154"/>
      <c r="H155" s="153"/>
      <c r="I155" s="153"/>
      <c r="J155" s="237"/>
      <c r="K155" s="237"/>
      <c r="L155" s="237"/>
    </row>
    <row r="156" spans="2:12" x14ac:dyDescent="0.25">
      <c r="B156" s="255"/>
      <c r="D156" s="149"/>
      <c r="E156" s="154"/>
      <c r="F156" s="154"/>
      <c r="G156" s="154"/>
      <c r="H156" s="153"/>
      <c r="I156" s="153"/>
      <c r="J156" s="237"/>
      <c r="K156" s="237"/>
      <c r="L156" s="237"/>
    </row>
    <row r="157" spans="2:12" x14ac:dyDescent="0.25">
      <c r="B157" s="255"/>
      <c r="D157" s="149"/>
      <c r="E157" s="154"/>
      <c r="F157" s="154"/>
      <c r="G157" s="154"/>
      <c r="H157" s="153"/>
      <c r="I157" s="153"/>
      <c r="J157" s="237"/>
      <c r="K157" s="237"/>
      <c r="L157" s="237"/>
    </row>
    <row r="158" spans="2:12" x14ac:dyDescent="0.25">
      <c r="B158" s="255"/>
      <c r="D158" s="149"/>
      <c r="E158" s="154"/>
      <c r="F158" s="154"/>
      <c r="G158" s="154"/>
      <c r="H158" s="153"/>
      <c r="I158" s="153"/>
      <c r="J158" s="237"/>
      <c r="K158" s="237"/>
      <c r="L158" s="237"/>
    </row>
    <row r="159" spans="2:12" x14ac:dyDescent="0.25">
      <c r="B159" s="255"/>
      <c r="D159" s="149"/>
      <c r="E159" s="154"/>
      <c r="F159" s="154"/>
      <c r="G159" s="154"/>
      <c r="H159" s="153"/>
      <c r="I159" s="153"/>
      <c r="J159" s="237"/>
      <c r="K159" s="237"/>
      <c r="L159" s="237"/>
    </row>
    <row r="160" spans="2:12" x14ac:dyDescent="0.25">
      <c r="B160" s="255"/>
      <c r="D160" s="149"/>
      <c r="E160" s="154"/>
      <c r="F160" s="154"/>
      <c r="G160" s="154"/>
      <c r="H160" s="153"/>
      <c r="I160" s="153"/>
      <c r="J160" s="237"/>
      <c r="K160" s="237"/>
      <c r="L160" s="237"/>
    </row>
    <row r="161" spans="2:12" x14ac:dyDescent="0.25">
      <c r="B161" s="255"/>
      <c r="D161" s="149"/>
      <c r="E161" s="154"/>
      <c r="F161" s="154"/>
      <c r="G161" s="154"/>
      <c r="H161" s="153"/>
      <c r="I161" s="153"/>
      <c r="J161" s="237"/>
      <c r="K161" s="237"/>
      <c r="L161" s="237"/>
    </row>
    <row r="162" spans="2:12" x14ac:dyDescent="0.25">
      <c r="B162" s="255"/>
      <c r="D162" s="149"/>
      <c r="E162" s="154"/>
      <c r="F162" s="154"/>
      <c r="G162" s="154"/>
      <c r="H162" s="153"/>
      <c r="I162" s="153"/>
      <c r="J162" s="237"/>
      <c r="K162" s="237"/>
      <c r="L162" s="237"/>
    </row>
    <row r="163" spans="2:12" x14ac:dyDescent="0.25">
      <c r="B163" s="255"/>
      <c r="D163" s="149"/>
      <c r="E163" s="154"/>
      <c r="F163" s="154"/>
      <c r="G163" s="154"/>
      <c r="H163" s="153"/>
      <c r="I163" s="153"/>
      <c r="J163" s="237"/>
      <c r="K163" s="237"/>
      <c r="L163" s="237"/>
    </row>
    <row r="164" spans="2:12" x14ac:dyDescent="0.25">
      <c r="B164" s="255"/>
      <c r="D164" s="149"/>
      <c r="E164" s="154"/>
      <c r="F164" s="154"/>
      <c r="G164" s="154"/>
      <c r="H164" s="153"/>
      <c r="I164" s="153"/>
      <c r="J164" s="237"/>
      <c r="K164" s="237"/>
      <c r="L164" s="237"/>
    </row>
    <row r="165" spans="2:12" x14ac:dyDescent="0.25">
      <c r="E165" s="154"/>
      <c r="F165" s="154"/>
      <c r="G165" s="154"/>
    </row>
    <row r="166" spans="2:12" x14ac:dyDescent="0.25">
      <c r="B166" s="259"/>
      <c r="C166" s="249"/>
      <c r="D166" s="148"/>
      <c r="E166" s="148"/>
      <c r="F166" s="148"/>
      <c r="G166" s="148"/>
      <c r="H166" s="150"/>
      <c r="I166" s="150"/>
      <c r="J166" s="150"/>
      <c r="K166" s="150"/>
      <c r="L166" s="150"/>
    </row>
    <row r="167" spans="2:12" x14ac:dyDescent="0.25">
      <c r="B167" s="255"/>
      <c r="D167" s="149"/>
      <c r="E167" s="154"/>
      <c r="F167" s="154"/>
      <c r="G167" s="154"/>
      <c r="H167" s="153"/>
      <c r="I167" s="153"/>
      <c r="J167" s="237"/>
      <c r="K167" s="237"/>
      <c r="L167" s="237"/>
    </row>
    <row r="168" spans="2:12" x14ac:dyDescent="0.25">
      <c r="B168" s="255"/>
      <c r="D168" s="149"/>
      <c r="E168" s="154"/>
      <c r="F168" s="154"/>
      <c r="G168" s="154"/>
      <c r="H168" s="153"/>
      <c r="I168" s="153"/>
      <c r="J168" s="237"/>
      <c r="K168" s="237"/>
      <c r="L168" s="237"/>
    </row>
    <row r="169" spans="2:12" x14ac:dyDescent="0.25">
      <c r="B169" s="255"/>
      <c r="D169" s="149"/>
      <c r="E169" s="154"/>
      <c r="F169" s="154"/>
      <c r="G169" s="154"/>
      <c r="H169" s="153"/>
      <c r="I169" s="153"/>
      <c r="J169" s="237"/>
      <c r="K169" s="237"/>
      <c r="L169" s="237"/>
    </row>
    <row r="170" spans="2:12" x14ac:dyDescent="0.25">
      <c r="B170" s="255"/>
      <c r="D170" s="149"/>
      <c r="E170" s="154"/>
      <c r="F170" s="154"/>
      <c r="G170" s="154"/>
      <c r="H170" s="153"/>
      <c r="I170" s="153"/>
      <c r="J170" s="237"/>
      <c r="K170" s="237"/>
      <c r="L170" s="237"/>
    </row>
    <row r="171" spans="2:12" x14ac:dyDescent="0.25">
      <c r="B171" s="255"/>
      <c r="D171" s="149"/>
      <c r="E171" s="154"/>
      <c r="F171" s="154"/>
      <c r="G171" s="154"/>
      <c r="H171" s="153"/>
      <c r="I171" s="153"/>
      <c r="J171" s="237"/>
      <c r="K171" s="237"/>
      <c r="L171" s="237"/>
    </row>
    <row r="172" spans="2:12" x14ac:dyDescent="0.25">
      <c r="B172" s="255"/>
      <c r="D172" s="149"/>
      <c r="E172" s="154"/>
      <c r="F172" s="154"/>
      <c r="G172" s="154"/>
      <c r="H172" s="153"/>
      <c r="I172" s="153"/>
      <c r="J172" s="237"/>
      <c r="K172" s="237"/>
      <c r="L172" s="237"/>
    </row>
    <row r="173" spans="2:12" x14ac:dyDescent="0.25">
      <c r="B173" s="255"/>
      <c r="D173" s="149"/>
      <c r="E173" s="154"/>
      <c r="F173" s="154"/>
      <c r="G173" s="154"/>
      <c r="H173" s="153"/>
      <c r="I173" s="153"/>
      <c r="J173" s="237"/>
      <c r="K173" s="237"/>
      <c r="L173" s="237"/>
    </row>
    <row r="174" spans="2:12" x14ac:dyDescent="0.25">
      <c r="B174" s="255"/>
      <c r="D174" s="149"/>
      <c r="E174" s="154"/>
      <c r="F174" s="154"/>
      <c r="G174" s="154"/>
      <c r="H174" s="153"/>
      <c r="I174" s="153"/>
      <c r="J174" s="237"/>
      <c r="K174" s="237"/>
      <c r="L174" s="237"/>
    </row>
    <row r="175" spans="2:12" x14ac:dyDescent="0.25">
      <c r="B175" s="255"/>
      <c r="D175" s="149"/>
      <c r="E175" s="154"/>
      <c r="F175" s="154"/>
      <c r="G175" s="154"/>
      <c r="H175" s="153"/>
      <c r="I175" s="153"/>
      <c r="J175" s="237"/>
      <c r="K175" s="237"/>
      <c r="L175" s="237"/>
    </row>
    <row r="176" spans="2:12" x14ac:dyDescent="0.25">
      <c r="B176" s="255"/>
      <c r="D176" s="149"/>
      <c r="E176" s="154"/>
      <c r="F176" s="154"/>
      <c r="G176" s="154"/>
      <c r="H176" s="153"/>
      <c r="I176" s="153"/>
      <c r="J176" s="237"/>
      <c r="K176" s="237"/>
      <c r="L176" s="237"/>
    </row>
    <row r="177" spans="2:12" x14ac:dyDescent="0.25">
      <c r="B177" s="255"/>
      <c r="D177" s="149"/>
      <c r="E177" s="154"/>
      <c r="F177" s="154"/>
      <c r="G177" s="154"/>
      <c r="H177" s="153"/>
      <c r="I177" s="153"/>
      <c r="J177" s="237"/>
      <c r="K177" s="237"/>
      <c r="L177" s="237"/>
    </row>
    <row r="178" spans="2:12" x14ac:dyDescent="0.25">
      <c r="B178" s="255"/>
      <c r="D178" s="149"/>
      <c r="E178" s="154"/>
      <c r="F178" s="154"/>
      <c r="G178" s="154"/>
      <c r="H178" s="153"/>
      <c r="I178" s="153"/>
      <c r="J178" s="237"/>
      <c r="K178" s="237"/>
      <c r="L178" s="237"/>
    </row>
    <row r="179" spans="2:12" x14ac:dyDescent="0.25">
      <c r="B179" s="255"/>
      <c r="D179" s="149"/>
      <c r="E179" s="154"/>
      <c r="F179" s="154"/>
      <c r="G179" s="154"/>
      <c r="H179" s="153"/>
      <c r="I179" s="153"/>
      <c r="J179" s="237"/>
      <c r="K179" s="237"/>
      <c r="L179" s="237"/>
    </row>
    <row r="180" spans="2:12" x14ac:dyDescent="0.25">
      <c r="B180" s="255"/>
      <c r="D180" s="149"/>
      <c r="E180" s="154"/>
      <c r="F180" s="154"/>
      <c r="G180" s="154"/>
      <c r="H180" s="153"/>
      <c r="I180" s="153"/>
      <c r="J180" s="237"/>
      <c r="K180" s="237"/>
      <c r="L180" s="237"/>
    </row>
    <row r="181" spans="2:12" x14ac:dyDescent="0.25">
      <c r="B181" s="255"/>
      <c r="D181" s="149"/>
      <c r="E181" s="154"/>
      <c r="F181" s="154"/>
      <c r="G181" s="154"/>
      <c r="H181" s="153"/>
      <c r="I181" s="153"/>
      <c r="J181" s="237"/>
      <c r="K181" s="237"/>
      <c r="L181" s="237"/>
    </row>
    <row r="182" spans="2:12" x14ac:dyDescent="0.25">
      <c r="B182" s="255"/>
      <c r="D182" s="149"/>
      <c r="E182" s="154"/>
      <c r="F182" s="154"/>
      <c r="G182" s="154"/>
      <c r="H182" s="153"/>
      <c r="I182" s="153"/>
      <c r="J182" s="237"/>
      <c r="K182" s="237"/>
      <c r="L182" s="237"/>
    </row>
  </sheetData>
  <autoFilter ref="A11:K93">
    <filterColumn colId="1">
      <customFilters>
        <customFilter operator="notEqual" val=" "/>
      </customFilters>
    </filterColumn>
    <sortState ref="A12:K93">
      <sortCondition ref="F2:F59"/>
    </sortState>
  </autoFilter>
  <mergeCells count="2">
    <mergeCell ref="A99:A121"/>
    <mergeCell ref="A75:A93"/>
  </mergeCells>
  <conditionalFormatting sqref="H12:H68">
    <cfRule type="colorScale" priority="20">
      <colorScale>
        <cfvo type="min"/>
        <cfvo type="percentile" val="50"/>
        <cfvo type="max"/>
        <color rgb="FFF8696B"/>
        <color rgb="FFFFEB84"/>
        <color rgb="FF63BE7B"/>
      </colorScale>
    </cfRule>
  </conditionalFormatting>
  <conditionalFormatting sqref="I12:L68">
    <cfRule type="colorScale" priority="146">
      <colorScale>
        <cfvo type="min"/>
        <cfvo type="percentile" val="50"/>
        <cfvo type="max"/>
        <color rgb="FFF8696B"/>
        <color rgb="FFFFEB84"/>
        <color rgb="FF63BE7B"/>
      </colorScale>
    </cfRule>
  </conditionalFormatting>
  <conditionalFormatting sqref="H76:L94">
    <cfRule type="colorScale" priority="148">
      <colorScale>
        <cfvo type="min"/>
        <cfvo type="percentile" val="50"/>
        <cfvo type="max"/>
        <color rgb="FFF8696B"/>
        <color rgb="FFFFEB84"/>
        <color rgb="FF63BE7B"/>
      </colorScale>
    </cfRule>
  </conditionalFormatting>
  <conditionalFormatting sqref="H100:L121">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zoomScale="82" workbookViewId="0">
      <selection activeCell="A3" sqref="A3"/>
    </sheetView>
  </sheetViews>
  <sheetFormatPr defaultRowHeight="15" x14ac:dyDescent="0.25"/>
  <cols>
    <col min="1" max="1" width="52.42578125" bestFit="1" customWidth="1"/>
    <col min="2" max="2" width="52.85546875" customWidth="1"/>
    <col min="3" max="6" width="13" customWidth="1"/>
    <col min="7" max="7" width="2.7109375" customWidth="1"/>
    <col min="8" max="12" width="11.42578125" customWidth="1"/>
    <col min="13" max="13" width="2.7109375" customWidth="1"/>
  </cols>
  <sheetData>
    <row r="1" spans="1:12" x14ac:dyDescent="0.25">
      <c r="A1" s="235" t="s">
        <v>290</v>
      </c>
    </row>
    <row r="2" spans="1:12" s="235" customFormat="1" ht="12.75" x14ac:dyDescent="0.2">
      <c r="A2" s="235" t="s">
        <v>294</v>
      </c>
    </row>
    <row r="3" spans="1:12" ht="15.75" thickBot="1" x14ac:dyDescent="0.3">
      <c r="C3" s="303" t="s">
        <v>245</v>
      </c>
      <c r="D3" s="303"/>
      <c r="E3" s="303"/>
      <c r="F3" s="303"/>
    </row>
    <row r="4" spans="1:12" ht="47.45" customHeight="1" thickBot="1" x14ac:dyDescent="0.3">
      <c r="A4" s="215" t="s">
        <v>246</v>
      </c>
      <c r="B4" s="215" t="s">
        <v>247</v>
      </c>
      <c r="C4" s="216" t="s">
        <v>80</v>
      </c>
      <c r="D4" s="216" t="s">
        <v>82</v>
      </c>
      <c r="E4" s="216" t="s">
        <v>99</v>
      </c>
      <c r="F4" s="216" t="s">
        <v>81</v>
      </c>
      <c r="G4" s="22"/>
    </row>
    <row r="5" spans="1:12" ht="35.25" thickBot="1" x14ac:dyDescent="0.3">
      <c r="A5" s="217" t="s">
        <v>7</v>
      </c>
      <c r="B5" s="218" t="s">
        <v>100</v>
      </c>
      <c r="C5" s="11" t="s">
        <v>15</v>
      </c>
      <c r="D5" s="11" t="s">
        <v>15</v>
      </c>
      <c r="E5" s="11" t="s">
        <v>15</v>
      </c>
      <c r="F5" s="11" t="s">
        <v>15</v>
      </c>
      <c r="H5" s="304" t="s">
        <v>10</v>
      </c>
      <c r="I5" s="305"/>
      <c r="J5" s="305"/>
      <c r="K5" s="305"/>
      <c r="L5" s="306"/>
    </row>
    <row r="6" spans="1:12" ht="30" x14ac:dyDescent="0.25">
      <c r="A6" s="217" t="s">
        <v>12</v>
      </c>
      <c r="B6" s="218" t="s">
        <v>13</v>
      </c>
      <c r="C6" s="11" t="s">
        <v>15</v>
      </c>
      <c r="D6" s="11" t="s">
        <v>15</v>
      </c>
      <c r="E6" s="11" t="s">
        <v>15</v>
      </c>
      <c r="F6" s="11" t="s">
        <v>15</v>
      </c>
      <c r="H6" s="219"/>
      <c r="I6" s="220" t="s">
        <v>248</v>
      </c>
      <c r="J6" s="220" t="s">
        <v>249</v>
      </c>
      <c r="K6" s="220" t="s">
        <v>276</v>
      </c>
      <c r="L6" s="221" t="s">
        <v>250</v>
      </c>
    </row>
    <row r="7" spans="1:12" ht="23.25" x14ac:dyDescent="0.25">
      <c r="A7" s="217" t="s">
        <v>235</v>
      </c>
      <c r="B7" s="218" t="s">
        <v>131</v>
      </c>
      <c r="C7" s="11" t="s">
        <v>15</v>
      </c>
      <c r="D7" s="11" t="s">
        <v>15</v>
      </c>
      <c r="E7" s="11" t="s">
        <v>15</v>
      </c>
      <c r="F7" s="11" t="s">
        <v>15</v>
      </c>
      <c r="H7" s="37" t="s">
        <v>15</v>
      </c>
      <c r="I7" s="187">
        <f t="shared" ref="I7:L9" si="0">COUNTIF(C$5:C$43,$H7)</f>
        <v>18</v>
      </c>
      <c r="J7" s="187">
        <f t="shared" si="0"/>
        <v>20</v>
      </c>
      <c r="K7" s="187">
        <f t="shared" si="0"/>
        <v>11</v>
      </c>
      <c r="L7" s="188">
        <f t="shared" si="0"/>
        <v>18</v>
      </c>
    </row>
    <row r="8" spans="1:12" ht="34.5" x14ac:dyDescent="0.25">
      <c r="A8" s="217" t="s">
        <v>236</v>
      </c>
      <c r="B8" s="218" t="s">
        <v>237</v>
      </c>
      <c r="C8" s="11" t="s">
        <v>15</v>
      </c>
      <c r="D8" s="11" t="s">
        <v>15</v>
      </c>
      <c r="E8" s="11" t="s">
        <v>15</v>
      </c>
      <c r="F8" s="11" t="s">
        <v>15</v>
      </c>
      <c r="H8" s="37" t="s">
        <v>14</v>
      </c>
      <c r="I8" s="187">
        <f t="shared" si="0"/>
        <v>16</v>
      </c>
      <c r="J8" s="187">
        <f t="shared" si="0"/>
        <v>17</v>
      </c>
      <c r="K8" s="187">
        <f t="shared" si="0"/>
        <v>15</v>
      </c>
      <c r="L8" s="188">
        <f t="shared" si="0"/>
        <v>18</v>
      </c>
    </row>
    <row r="9" spans="1:12" ht="24" thickBot="1" x14ac:dyDescent="0.3">
      <c r="A9" s="217" t="s">
        <v>96</v>
      </c>
      <c r="B9" s="218" t="s">
        <v>103</v>
      </c>
      <c r="C9" s="11" t="s">
        <v>15</v>
      </c>
      <c r="D9" s="11" t="s">
        <v>15</v>
      </c>
      <c r="E9" s="11" t="s">
        <v>20</v>
      </c>
      <c r="F9" s="11" t="s">
        <v>15</v>
      </c>
      <c r="H9" s="38" t="s">
        <v>20</v>
      </c>
      <c r="I9" s="189">
        <f t="shared" si="0"/>
        <v>5</v>
      </c>
      <c r="J9" s="189">
        <f t="shared" si="0"/>
        <v>2</v>
      </c>
      <c r="K9" s="189">
        <f t="shared" si="0"/>
        <v>13</v>
      </c>
      <c r="L9" s="190">
        <f t="shared" si="0"/>
        <v>3</v>
      </c>
    </row>
    <row r="10" spans="1:12" ht="34.5" x14ac:dyDescent="0.25">
      <c r="A10" s="217" t="s">
        <v>79</v>
      </c>
      <c r="B10" s="218" t="s">
        <v>101</v>
      </c>
      <c r="C10" s="11" t="s">
        <v>14</v>
      </c>
      <c r="D10" s="11" t="s">
        <v>15</v>
      </c>
      <c r="E10" s="11" t="s">
        <v>14</v>
      </c>
      <c r="F10" s="11" t="s">
        <v>14</v>
      </c>
    </row>
    <row r="11" spans="1:12" ht="35.25" thickBot="1" x14ac:dyDescent="0.3">
      <c r="A11" s="217" t="s">
        <v>97</v>
      </c>
      <c r="B11" s="218" t="s">
        <v>102</v>
      </c>
      <c r="C11" s="11" t="s">
        <v>14</v>
      </c>
      <c r="D11" s="11" t="s">
        <v>15</v>
      </c>
      <c r="E11" s="11" t="s">
        <v>14</v>
      </c>
      <c r="F11" s="11" t="s">
        <v>14</v>
      </c>
    </row>
    <row r="12" spans="1:12" ht="35.25" thickBot="1" x14ac:dyDescent="0.3">
      <c r="A12" s="217" t="s">
        <v>98</v>
      </c>
      <c r="B12" s="218" t="s">
        <v>110</v>
      </c>
      <c r="C12" s="11" t="s">
        <v>15</v>
      </c>
      <c r="D12" s="11" t="s">
        <v>15</v>
      </c>
      <c r="E12" s="11" t="s">
        <v>14</v>
      </c>
      <c r="F12" s="11" t="s">
        <v>15</v>
      </c>
      <c r="H12" s="304" t="s">
        <v>10</v>
      </c>
      <c r="I12" s="305"/>
      <c r="J12" s="305"/>
      <c r="K12" s="305"/>
      <c r="L12" s="306"/>
    </row>
    <row r="13" spans="1:12" ht="34.5" x14ac:dyDescent="0.25">
      <c r="A13" s="217" t="s">
        <v>48</v>
      </c>
      <c r="B13" s="218" t="s">
        <v>75</v>
      </c>
      <c r="C13" s="11" t="s">
        <v>14</v>
      </c>
      <c r="D13" s="11" t="s">
        <v>15</v>
      </c>
      <c r="E13" s="11" t="s">
        <v>20</v>
      </c>
      <c r="F13" s="11" t="s">
        <v>15</v>
      </c>
      <c r="H13" s="219"/>
      <c r="I13" s="220" t="s">
        <v>248</v>
      </c>
      <c r="J13" s="220" t="s">
        <v>249</v>
      </c>
      <c r="K13" s="220" t="s">
        <v>276</v>
      </c>
      <c r="L13" s="221" t="s">
        <v>250</v>
      </c>
    </row>
    <row r="14" spans="1:12" ht="34.5" x14ac:dyDescent="0.25">
      <c r="A14" s="217" t="s">
        <v>95</v>
      </c>
      <c r="B14" s="218" t="s">
        <v>74</v>
      </c>
      <c r="C14" s="11" t="s">
        <v>14</v>
      </c>
      <c r="D14" s="11" t="s">
        <v>15</v>
      </c>
      <c r="E14" s="11" t="s">
        <v>20</v>
      </c>
      <c r="F14" s="11" t="s">
        <v>15</v>
      </c>
      <c r="H14" s="37" t="s">
        <v>15</v>
      </c>
      <c r="I14" s="222">
        <f>I7/SUM(I$7:I$9)</f>
        <v>0.46153846153846156</v>
      </c>
      <c r="J14" s="222">
        <f t="shared" ref="J14:L14" si="1">J7/SUM(J$7:J$9)</f>
        <v>0.51282051282051277</v>
      </c>
      <c r="K14" s="222">
        <f t="shared" si="1"/>
        <v>0.28205128205128205</v>
      </c>
      <c r="L14" s="223">
        <f t="shared" si="1"/>
        <v>0.46153846153846156</v>
      </c>
    </row>
    <row r="15" spans="1:12" ht="23.25" x14ac:dyDescent="0.25">
      <c r="A15" s="217" t="s">
        <v>94</v>
      </c>
      <c r="B15" s="218" t="s">
        <v>50</v>
      </c>
      <c r="C15" s="11" t="s">
        <v>20</v>
      </c>
      <c r="D15" s="11" t="s">
        <v>20</v>
      </c>
      <c r="E15" s="11" t="s">
        <v>20</v>
      </c>
      <c r="F15" s="11" t="s">
        <v>20</v>
      </c>
      <c r="H15" s="37" t="s">
        <v>14</v>
      </c>
      <c r="I15" s="222">
        <f t="shared" ref="I15:L16" si="2">I8/SUM(I$7:I$9)</f>
        <v>0.41025641025641024</v>
      </c>
      <c r="J15" s="222">
        <f t="shared" si="2"/>
        <v>0.4358974358974359</v>
      </c>
      <c r="K15" s="222">
        <f t="shared" si="2"/>
        <v>0.38461538461538464</v>
      </c>
      <c r="L15" s="223">
        <f t="shared" si="2"/>
        <v>0.46153846153846156</v>
      </c>
    </row>
    <row r="16" spans="1:12" ht="35.25" thickBot="1" x14ac:dyDescent="0.3">
      <c r="A16" s="217" t="s">
        <v>25</v>
      </c>
      <c r="B16" s="218" t="s">
        <v>111</v>
      </c>
      <c r="C16" s="11" t="s">
        <v>15</v>
      </c>
      <c r="D16" s="11" t="s">
        <v>14</v>
      </c>
      <c r="E16" s="11" t="s">
        <v>15</v>
      </c>
      <c r="F16" s="11" t="s">
        <v>15</v>
      </c>
      <c r="H16" s="38" t="s">
        <v>20</v>
      </c>
      <c r="I16" s="224">
        <f t="shared" si="2"/>
        <v>0.12820512820512819</v>
      </c>
      <c r="J16" s="224">
        <f t="shared" si="2"/>
        <v>5.128205128205128E-2</v>
      </c>
      <c r="K16" s="224">
        <f t="shared" si="2"/>
        <v>0.33333333333333331</v>
      </c>
      <c r="L16" s="225">
        <f t="shared" si="2"/>
        <v>7.6923076923076927E-2</v>
      </c>
    </row>
    <row r="17" spans="1:6" ht="34.5" x14ac:dyDescent="0.25">
      <c r="A17" s="217" t="s">
        <v>21</v>
      </c>
      <c r="B17" s="218" t="s">
        <v>73</v>
      </c>
      <c r="C17" s="11" t="s">
        <v>14</v>
      </c>
      <c r="D17" s="11" t="s">
        <v>14</v>
      </c>
      <c r="E17" s="11" t="s">
        <v>14</v>
      </c>
      <c r="F17" s="11" t="s">
        <v>14</v>
      </c>
    </row>
    <row r="18" spans="1:6" ht="23.25" x14ac:dyDescent="0.25">
      <c r="A18" s="217" t="s">
        <v>26</v>
      </c>
      <c r="B18" s="218" t="s">
        <v>123</v>
      </c>
      <c r="C18" s="11" t="s">
        <v>14</v>
      </c>
      <c r="D18" s="11" t="s">
        <v>14</v>
      </c>
      <c r="E18" s="11" t="s">
        <v>14</v>
      </c>
      <c r="F18" s="11" t="s">
        <v>14</v>
      </c>
    </row>
    <row r="19" spans="1:6" ht="34.5" x14ac:dyDescent="0.25">
      <c r="A19" s="217" t="s">
        <v>76</v>
      </c>
      <c r="B19" s="218" t="s">
        <v>104</v>
      </c>
      <c r="C19" s="11" t="s">
        <v>20</v>
      </c>
      <c r="D19" s="11" t="s">
        <v>14</v>
      </c>
      <c r="E19" s="11" t="s">
        <v>14</v>
      </c>
      <c r="F19" s="11" t="s">
        <v>14</v>
      </c>
    </row>
    <row r="20" spans="1:6" ht="23.25" x14ac:dyDescent="0.25">
      <c r="A20" s="217" t="s">
        <v>22</v>
      </c>
      <c r="B20" s="218" t="s">
        <v>49</v>
      </c>
      <c r="C20" s="11" t="s">
        <v>14</v>
      </c>
      <c r="D20" s="11" t="s">
        <v>15</v>
      </c>
      <c r="E20" s="11" t="s">
        <v>20</v>
      </c>
      <c r="F20" s="11" t="s">
        <v>14</v>
      </c>
    </row>
    <row r="21" spans="1:6" ht="34.5" x14ac:dyDescent="0.25">
      <c r="A21" s="217" t="s">
        <v>91</v>
      </c>
      <c r="B21" s="218" t="s">
        <v>55</v>
      </c>
      <c r="C21" s="11" t="s">
        <v>15</v>
      </c>
      <c r="D21" s="11" t="s">
        <v>15</v>
      </c>
      <c r="E21" s="11" t="s">
        <v>15</v>
      </c>
      <c r="F21" s="11" t="s">
        <v>15</v>
      </c>
    </row>
    <row r="22" spans="1:6" ht="45.75" x14ac:dyDescent="0.25">
      <c r="A22" s="217" t="s">
        <v>93</v>
      </c>
      <c r="B22" s="218" t="s">
        <v>258</v>
      </c>
      <c r="C22" s="11" t="s">
        <v>15</v>
      </c>
      <c r="D22" s="11" t="s">
        <v>15</v>
      </c>
      <c r="E22" s="11" t="s">
        <v>15</v>
      </c>
      <c r="F22" s="11" t="s">
        <v>15</v>
      </c>
    </row>
    <row r="23" spans="1:6" ht="34.5" x14ac:dyDescent="0.25">
      <c r="A23" s="217" t="s">
        <v>88</v>
      </c>
      <c r="B23" s="218" t="s">
        <v>129</v>
      </c>
      <c r="C23" s="11" t="s">
        <v>20</v>
      </c>
      <c r="D23" s="11" t="s">
        <v>15</v>
      </c>
      <c r="E23" s="11" t="s">
        <v>20</v>
      </c>
      <c r="F23" s="11" t="s">
        <v>15</v>
      </c>
    </row>
    <row r="24" spans="1:6" ht="23.25" x14ac:dyDescent="0.25">
      <c r="A24" s="217" t="s">
        <v>90</v>
      </c>
      <c r="B24" s="218" t="s">
        <v>105</v>
      </c>
      <c r="C24" s="11" t="s">
        <v>15</v>
      </c>
      <c r="D24" s="11" t="s">
        <v>14</v>
      </c>
      <c r="E24" s="11" t="s">
        <v>14</v>
      </c>
      <c r="F24" s="11" t="s">
        <v>15</v>
      </c>
    </row>
    <row r="25" spans="1:6" ht="45.75" x14ac:dyDescent="0.25">
      <c r="A25" s="217" t="s">
        <v>51</v>
      </c>
      <c r="B25" s="218" t="s">
        <v>107</v>
      </c>
      <c r="C25" s="11" t="s">
        <v>14</v>
      </c>
      <c r="D25" s="11" t="s">
        <v>14</v>
      </c>
      <c r="E25" s="11" t="s">
        <v>20</v>
      </c>
      <c r="F25" s="11" t="s">
        <v>20</v>
      </c>
    </row>
    <row r="26" spans="1:6" ht="34.5" x14ac:dyDescent="0.25">
      <c r="A26" s="217" t="s">
        <v>52</v>
      </c>
      <c r="B26" s="218" t="s">
        <v>106</v>
      </c>
      <c r="C26" s="11" t="s">
        <v>14</v>
      </c>
      <c r="D26" s="11" t="s">
        <v>14</v>
      </c>
      <c r="E26" s="11" t="s">
        <v>20</v>
      </c>
      <c r="F26" s="11" t="s">
        <v>20</v>
      </c>
    </row>
    <row r="27" spans="1:6" ht="34.5" x14ac:dyDescent="0.25">
      <c r="A27" s="217" t="s">
        <v>92</v>
      </c>
      <c r="B27" s="218" t="s">
        <v>242</v>
      </c>
      <c r="C27" s="11" t="s">
        <v>15</v>
      </c>
      <c r="D27" s="11" t="s">
        <v>14</v>
      </c>
      <c r="E27" s="11" t="s">
        <v>15</v>
      </c>
      <c r="F27" s="11" t="s">
        <v>15</v>
      </c>
    </row>
    <row r="28" spans="1:6" ht="45.75" x14ac:dyDescent="0.25">
      <c r="A28" s="217" t="s">
        <v>54</v>
      </c>
      <c r="B28" s="218" t="s">
        <v>108</v>
      </c>
      <c r="C28" s="11" t="s">
        <v>14</v>
      </c>
      <c r="D28" s="11" t="s">
        <v>14</v>
      </c>
      <c r="E28" s="11" t="s">
        <v>15</v>
      </c>
      <c r="F28" s="11" t="s">
        <v>14</v>
      </c>
    </row>
    <row r="29" spans="1:6" ht="45.75" x14ac:dyDescent="0.25">
      <c r="A29" s="217" t="s">
        <v>33</v>
      </c>
      <c r="B29" s="218" t="s">
        <v>109</v>
      </c>
      <c r="C29" s="11" t="s">
        <v>20</v>
      </c>
      <c r="D29" s="11" t="s">
        <v>14</v>
      </c>
      <c r="E29" s="11" t="s">
        <v>15</v>
      </c>
      <c r="F29" s="11" t="s">
        <v>14</v>
      </c>
    </row>
    <row r="30" spans="1:6" ht="23.25" x14ac:dyDescent="0.25">
      <c r="A30" s="217" t="s">
        <v>53</v>
      </c>
      <c r="B30" s="218" t="s">
        <v>114</v>
      </c>
      <c r="C30" s="11" t="s">
        <v>15</v>
      </c>
      <c r="D30" s="11" t="s">
        <v>14</v>
      </c>
      <c r="E30" s="11" t="s">
        <v>14</v>
      </c>
      <c r="F30" s="11" t="s">
        <v>14</v>
      </c>
    </row>
    <row r="31" spans="1:6" ht="34.5" x14ac:dyDescent="0.25">
      <c r="A31" s="217" t="s">
        <v>86</v>
      </c>
      <c r="B31" s="218" t="s">
        <v>112</v>
      </c>
      <c r="C31" s="11" t="s">
        <v>15</v>
      </c>
      <c r="D31" s="11" t="s">
        <v>14</v>
      </c>
      <c r="E31" s="11" t="s">
        <v>14</v>
      </c>
      <c r="F31" s="11" t="s">
        <v>14</v>
      </c>
    </row>
    <row r="32" spans="1:6" ht="34.5" x14ac:dyDescent="0.25">
      <c r="A32" s="217" t="s">
        <v>39</v>
      </c>
      <c r="B32" s="218" t="s">
        <v>115</v>
      </c>
      <c r="C32" s="11" t="s">
        <v>15</v>
      </c>
      <c r="D32" s="11" t="s">
        <v>14</v>
      </c>
      <c r="E32" s="11" t="s">
        <v>14</v>
      </c>
      <c r="F32" s="11" t="s">
        <v>14</v>
      </c>
    </row>
    <row r="33" spans="1:6" ht="34.5" x14ac:dyDescent="0.25">
      <c r="A33" s="217" t="s">
        <v>56</v>
      </c>
      <c r="B33" s="218" t="s">
        <v>243</v>
      </c>
      <c r="C33" s="11" t="s">
        <v>14</v>
      </c>
      <c r="D33" s="11" t="s">
        <v>14</v>
      </c>
      <c r="E33" s="11" t="s">
        <v>14</v>
      </c>
      <c r="F33" s="11" t="s">
        <v>14</v>
      </c>
    </row>
    <row r="34" spans="1:6" ht="23.25" x14ac:dyDescent="0.25">
      <c r="A34" s="217" t="s">
        <v>31</v>
      </c>
      <c r="B34" s="218" t="s">
        <v>34</v>
      </c>
      <c r="C34" s="11" t="s">
        <v>20</v>
      </c>
      <c r="D34" s="11" t="s">
        <v>14</v>
      </c>
      <c r="E34" s="11" t="s">
        <v>20</v>
      </c>
      <c r="F34" s="11" t="s">
        <v>14</v>
      </c>
    </row>
    <row r="35" spans="1:6" ht="34.5" x14ac:dyDescent="0.25">
      <c r="A35" s="217" t="s">
        <v>89</v>
      </c>
      <c r="B35" s="218" t="s">
        <v>116</v>
      </c>
      <c r="C35" s="11" t="s">
        <v>14</v>
      </c>
      <c r="D35" s="11" t="s">
        <v>20</v>
      </c>
      <c r="E35" s="11" t="s">
        <v>14</v>
      </c>
      <c r="F35" s="11" t="s">
        <v>14</v>
      </c>
    </row>
    <row r="36" spans="1:6" ht="23.25" x14ac:dyDescent="0.25">
      <c r="A36" s="217" t="s">
        <v>30</v>
      </c>
      <c r="B36" s="218" t="s">
        <v>117</v>
      </c>
      <c r="C36" s="11" t="s">
        <v>15</v>
      </c>
      <c r="D36" s="11" t="s">
        <v>15</v>
      </c>
      <c r="E36" s="11" t="s">
        <v>15</v>
      </c>
      <c r="F36" s="11" t="s">
        <v>15</v>
      </c>
    </row>
    <row r="37" spans="1:6" ht="34.5" x14ac:dyDescent="0.25">
      <c r="A37" s="217" t="s">
        <v>87</v>
      </c>
      <c r="B37" s="218" t="s">
        <v>113</v>
      </c>
      <c r="C37" s="11" t="s">
        <v>15</v>
      </c>
      <c r="D37" s="11" t="s">
        <v>15</v>
      </c>
      <c r="E37" s="11" t="s">
        <v>14</v>
      </c>
      <c r="F37" s="11" t="s">
        <v>15</v>
      </c>
    </row>
    <row r="38" spans="1:6" ht="34.5" x14ac:dyDescent="0.25">
      <c r="A38" s="217" t="s">
        <v>38</v>
      </c>
      <c r="B38" s="218" t="s">
        <v>118</v>
      </c>
      <c r="C38" s="11" t="s">
        <v>14</v>
      </c>
      <c r="D38" s="11" t="s">
        <v>14</v>
      </c>
      <c r="E38" s="11" t="s">
        <v>14</v>
      </c>
      <c r="F38" s="11" t="s">
        <v>14</v>
      </c>
    </row>
    <row r="39" spans="1:6" ht="23.25" x14ac:dyDescent="0.25">
      <c r="A39" s="217" t="s">
        <v>240</v>
      </c>
      <c r="B39" s="218" t="s">
        <v>119</v>
      </c>
      <c r="C39" s="11" t="s">
        <v>14</v>
      </c>
      <c r="D39" s="11" t="s">
        <v>15</v>
      </c>
      <c r="E39" s="11" t="s">
        <v>20</v>
      </c>
      <c r="F39" s="11" t="s">
        <v>14</v>
      </c>
    </row>
    <row r="40" spans="1:6" ht="34.5" x14ac:dyDescent="0.25">
      <c r="A40" s="217" t="s">
        <v>241</v>
      </c>
      <c r="B40" s="218" t="s">
        <v>120</v>
      </c>
      <c r="C40" s="11" t="s">
        <v>14</v>
      </c>
      <c r="D40" s="11" t="s">
        <v>15</v>
      </c>
      <c r="E40" s="11" t="s">
        <v>20</v>
      </c>
      <c r="F40" s="11" t="s">
        <v>15</v>
      </c>
    </row>
    <row r="41" spans="1:6" ht="34.5" x14ac:dyDescent="0.25">
      <c r="A41" s="217" t="s">
        <v>28</v>
      </c>
      <c r="B41" s="218" t="s">
        <v>121</v>
      </c>
      <c r="C41" s="11" t="s">
        <v>14</v>
      </c>
      <c r="D41" s="11" t="s">
        <v>15</v>
      </c>
      <c r="E41" s="11" t="s">
        <v>20</v>
      </c>
      <c r="F41" s="11" t="s">
        <v>15</v>
      </c>
    </row>
    <row r="42" spans="1:6" ht="23.25" x14ac:dyDescent="0.25">
      <c r="A42" s="217" t="s">
        <v>29</v>
      </c>
      <c r="B42" s="218" t="s">
        <v>122</v>
      </c>
      <c r="C42" s="11" t="s">
        <v>15</v>
      </c>
      <c r="D42" s="11" t="s">
        <v>15</v>
      </c>
      <c r="E42" s="11" t="s">
        <v>20</v>
      </c>
      <c r="F42" s="11" t="s">
        <v>14</v>
      </c>
    </row>
    <row r="43" spans="1:6" ht="34.5" x14ac:dyDescent="0.25">
      <c r="A43" s="217" t="s">
        <v>263</v>
      </c>
      <c r="B43" s="218" t="s">
        <v>256</v>
      </c>
      <c r="C43" s="11" t="s">
        <v>15</v>
      </c>
      <c r="D43" s="11" t="s">
        <v>14</v>
      </c>
      <c r="E43" s="11" t="s">
        <v>14</v>
      </c>
      <c r="F43" s="11" t="s">
        <v>14</v>
      </c>
    </row>
    <row r="45" spans="1:6" ht="28.5" customHeight="1" x14ac:dyDescent="0.25"/>
    <row r="50" spans="2:2" x14ac:dyDescent="0.25">
      <c r="B50" s="226"/>
    </row>
  </sheetData>
  <mergeCells count="3">
    <mergeCell ref="C3:F3"/>
    <mergeCell ref="H5:L5"/>
    <mergeCell ref="H12:L12"/>
  </mergeCells>
  <conditionalFormatting sqref="C5:F43">
    <cfRule type="cellIs" dxfId="41" priority="53" operator="equal">
      <formula>"?"</formula>
    </cfRule>
    <cfRule type="cellIs" dxfId="40" priority="54" operator="equal">
      <formula>"X"</formula>
    </cfRule>
  </conditionalFormatting>
  <conditionalFormatting sqref="C5:F43">
    <cfRule type="cellIs" dxfId="39" priority="49" operator="equal">
      <formula>"None"</formula>
    </cfRule>
    <cfRule type="cellIs" dxfId="38" priority="50" operator="equal">
      <formula>"L"</formula>
    </cfRule>
    <cfRule type="cellIs" dxfId="37" priority="51" operator="equal">
      <formula>"M"</formula>
    </cfRule>
    <cfRule type="cellIs" dxfId="36" priority="52" operator="equal">
      <formula>"H"</formula>
    </cfRule>
  </conditionalFormatting>
  <conditionalFormatting sqref="H7">
    <cfRule type="cellIs" dxfId="35" priority="47" operator="equal">
      <formula>"?"</formula>
    </cfRule>
    <cfRule type="cellIs" dxfId="34" priority="48" operator="equal">
      <formula>"X"</formula>
    </cfRule>
  </conditionalFormatting>
  <conditionalFormatting sqref="H7">
    <cfRule type="cellIs" dxfId="33" priority="43" operator="equal">
      <formula>"None"</formula>
    </cfRule>
    <cfRule type="cellIs" dxfId="32" priority="44" operator="equal">
      <formula>"L"</formula>
    </cfRule>
    <cfRule type="cellIs" dxfId="31" priority="45" operator="equal">
      <formula>"M"</formula>
    </cfRule>
    <cfRule type="cellIs" dxfId="30" priority="46" operator="equal">
      <formula>"H"</formula>
    </cfRule>
  </conditionalFormatting>
  <conditionalFormatting sqref="H8">
    <cfRule type="cellIs" dxfId="29" priority="41" operator="equal">
      <formula>"?"</formula>
    </cfRule>
    <cfRule type="cellIs" dxfId="28" priority="42" operator="equal">
      <formula>"X"</formula>
    </cfRule>
  </conditionalFormatting>
  <conditionalFormatting sqref="H8">
    <cfRule type="cellIs" dxfId="27" priority="37" operator="equal">
      <formula>"None"</formula>
    </cfRule>
    <cfRule type="cellIs" dxfId="26" priority="38" operator="equal">
      <formula>"L"</formula>
    </cfRule>
    <cfRule type="cellIs" dxfId="25" priority="39" operator="equal">
      <formula>"M"</formula>
    </cfRule>
    <cfRule type="cellIs" dxfId="24" priority="40" operator="equal">
      <formula>"H"</formula>
    </cfRule>
  </conditionalFormatting>
  <conditionalFormatting sqref="H9">
    <cfRule type="cellIs" dxfId="23" priority="35" operator="equal">
      <formula>"?"</formula>
    </cfRule>
    <cfRule type="cellIs" dxfId="22" priority="36" operator="equal">
      <formula>"X"</formula>
    </cfRule>
  </conditionalFormatting>
  <conditionalFormatting sqref="H9">
    <cfRule type="cellIs" dxfId="21" priority="31" operator="equal">
      <formula>"None"</formula>
    </cfRule>
    <cfRule type="cellIs" dxfId="20" priority="32" operator="equal">
      <formula>"L"</formula>
    </cfRule>
    <cfRule type="cellIs" dxfId="19" priority="33" operator="equal">
      <formula>"M"</formula>
    </cfRule>
    <cfRule type="cellIs" dxfId="18" priority="34" operator="equal">
      <formula>"H"</formula>
    </cfRule>
  </conditionalFormatting>
  <conditionalFormatting sqref="H14">
    <cfRule type="cellIs" dxfId="17" priority="23" operator="equal">
      <formula>"?"</formula>
    </cfRule>
    <cfRule type="cellIs" dxfId="16" priority="24" operator="equal">
      <formula>"X"</formula>
    </cfRule>
  </conditionalFormatting>
  <conditionalFormatting sqref="H14">
    <cfRule type="cellIs" dxfId="15" priority="19" operator="equal">
      <formula>"None"</formula>
    </cfRule>
    <cfRule type="cellIs" dxfId="14" priority="20" operator="equal">
      <formula>"L"</formula>
    </cfRule>
    <cfRule type="cellIs" dxfId="13" priority="21" operator="equal">
      <formula>"M"</formula>
    </cfRule>
    <cfRule type="cellIs" dxfId="12" priority="22" operator="equal">
      <formula>"H"</formula>
    </cfRule>
  </conditionalFormatting>
  <conditionalFormatting sqref="H15">
    <cfRule type="cellIs" dxfId="11" priority="17" operator="equal">
      <formula>"?"</formula>
    </cfRule>
    <cfRule type="cellIs" dxfId="10" priority="18" operator="equal">
      <formula>"X"</formula>
    </cfRule>
  </conditionalFormatting>
  <conditionalFormatting sqref="H15">
    <cfRule type="cellIs" dxfId="9" priority="13" operator="equal">
      <formula>"None"</formula>
    </cfRule>
    <cfRule type="cellIs" dxfId="8" priority="14" operator="equal">
      <formula>"L"</formula>
    </cfRule>
    <cfRule type="cellIs" dxfId="7" priority="15" operator="equal">
      <formula>"M"</formula>
    </cfRule>
    <cfRule type="cellIs" dxfId="6" priority="16" operator="equal">
      <formula>"H"</formula>
    </cfRule>
  </conditionalFormatting>
  <conditionalFormatting sqref="H16">
    <cfRule type="cellIs" dxfId="5" priority="11" operator="equal">
      <formula>"?"</formula>
    </cfRule>
    <cfRule type="cellIs" dxfId="4" priority="12" operator="equal">
      <formula>"X"</formula>
    </cfRule>
  </conditionalFormatting>
  <conditionalFormatting sqref="H16">
    <cfRule type="cellIs" dxfId="3" priority="7" operator="equal">
      <formula>"None"</formula>
    </cfRule>
    <cfRule type="cellIs" dxfId="2" priority="8" operator="equal">
      <formula>"L"</formula>
    </cfRule>
    <cfRule type="cellIs" dxfId="1" priority="9" operator="equal">
      <formula>"M"</formula>
    </cfRule>
    <cfRule type="cellIs" dxfId="0" priority="10" operator="equal">
      <formula>"H"</formula>
    </cfRule>
  </conditionalFormatting>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75" zoomScaleNormal="75" workbookViewId="0">
      <selection activeCell="A3" sqref="A3"/>
    </sheetView>
  </sheetViews>
  <sheetFormatPr defaultColWidth="10.7109375" defaultRowHeight="12.75" outlineLevelCol="2" x14ac:dyDescent="0.25"/>
  <cols>
    <col min="1" max="1" width="2.7109375" style="227" customWidth="1"/>
    <col min="2" max="2" width="5.7109375" style="227" customWidth="1"/>
    <col min="3" max="3" width="45.7109375" style="227" customWidth="1"/>
    <col min="4" max="4" width="15.7109375" style="227" customWidth="1"/>
    <col min="5" max="5" width="60.7109375" style="227" customWidth="1" outlineLevel="2"/>
    <col min="6" max="10" width="15.7109375" style="227" customWidth="1" outlineLevel="1"/>
    <col min="11" max="11" width="2.7109375" style="227" customWidth="1"/>
    <col min="12" max="16384" width="10.7109375" style="227"/>
  </cols>
  <sheetData>
    <row r="1" spans="1:10" x14ac:dyDescent="0.25">
      <c r="A1" s="227" t="s">
        <v>307</v>
      </c>
    </row>
    <row r="2" spans="1:10" x14ac:dyDescent="0.25">
      <c r="A2" s="227" t="s">
        <v>311</v>
      </c>
    </row>
    <row r="3" spans="1:10" x14ac:dyDescent="0.25">
      <c r="C3" s="227" t="s">
        <v>8</v>
      </c>
      <c r="D3" s="227">
        <f>COUNTIF($D$9:$D$32,$C3)</f>
        <v>11</v>
      </c>
    </row>
    <row r="4" spans="1:10" x14ac:dyDescent="0.25">
      <c r="C4" s="227" t="s">
        <v>32</v>
      </c>
      <c r="D4" s="227">
        <f>COUNTIF($D$9:$D$32,$C4)</f>
        <v>12</v>
      </c>
    </row>
    <row r="5" spans="1:10" x14ac:dyDescent="0.25">
      <c r="C5" s="227" t="s">
        <v>270</v>
      </c>
      <c r="D5" s="227">
        <f>COUNTIF($D$9:$D$32,$C5)</f>
        <v>1</v>
      </c>
    </row>
    <row r="6" spans="1:10" x14ac:dyDescent="0.25">
      <c r="C6" s="232" t="s">
        <v>257</v>
      </c>
      <c r="D6" s="232">
        <f>SUM(D3:D5)</f>
        <v>24</v>
      </c>
    </row>
    <row r="8" spans="1:10" ht="51" x14ac:dyDescent="0.25">
      <c r="B8" s="18" t="s">
        <v>27</v>
      </c>
      <c r="C8" s="18" t="s">
        <v>246</v>
      </c>
      <c r="D8" s="18" t="s">
        <v>0</v>
      </c>
      <c r="E8" s="18" t="s">
        <v>255</v>
      </c>
      <c r="F8" s="18" t="s">
        <v>58</v>
      </c>
      <c r="G8" s="18" t="s">
        <v>6</v>
      </c>
      <c r="H8" s="18" t="s">
        <v>3</v>
      </c>
      <c r="I8" s="18" t="s">
        <v>44</v>
      </c>
      <c r="J8" s="18" t="s">
        <v>36</v>
      </c>
    </row>
    <row r="9" spans="1:10" ht="51" x14ac:dyDescent="0.25">
      <c r="B9" s="228">
        <v>1</v>
      </c>
      <c r="C9" s="229" t="s">
        <v>259</v>
      </c>
      <c r="D9" s="228" t="s">
        <v>32</v>
      </c>
      <c r="E9" s="230" t="s">
        <v>260</v>
      </c>
      <c r="F9" s="3" t="s">
        <v>18</v>
      </c>
      <c r="G9" s="3" t="s">
        <v>24</v>
      </c>
      <c r="H9" s="3" t="s">
        <v>11</v>
      </c>
      <c r="I9" s="3" t="s">
        <v>45</v>
      </c>
      <c r="J9" s="3" t="s">
        <v>19</v>
      </c>
    </row>
    <row r="10" spans="1:10" ht="51" x14ac:dyDescent="0.25">
      <c r="B10" s="228">
        <v>2</v>
      </c>
      <c r="C10" s="229" t="s">
        <v>92</v>
      </c>
      <c r="D10" s="228" t="s">
        <v>32</v>
      </c>
      <c r="E10" s="230" t="s">
        <v>242</v>
      </c>
      <c r="F10" s="3" t="s">
        <v>9</v>
      </c>
      <c r="G10" s="3" t="s">
        <v>24</v>
      </c>
      <c r="H10" s="3" t="s">
        <v>16</v>
      </c>
      <c r="I10" s="3" t="s">
        <v>264</v>
      </c>
      <c r="J10" s="3" t="s">
        <v>19</v>
      </c>
    </row>
    <row r="11" spans="1:10" ht="25.5" x14ac:dyDescent="0.25">
      <c r="B11" s="228">
        <v>3</v>
      </c>
      <c r="C11" s="229" t="s">
        <v>53</v>
      </c>
      <c r="D11" s="228" t="s">
        <v>32</v>
      </c>
      <c r="E11" s="230" t="s">
        <v>114</v>
      </c>
      <c r="F11" s="3" t="s">
        <v>18</v>
      </c>
      <c r="G11" s="3" t="s">
        <v>23</v>
      </c>
      <c r="H11" s="3" t="s">
        <v>11</v>
      </c>
      <c r="I11" s="3" t="s">
        <v>43</v>
      </c>
      <c r="J11" s="3" t="s">
        <v>19</v>
      </c>
    </row>
    <row r="12" spans="1:10" ht="38.25" x14ac:dyDescent="0.25">
      <c r="B12" s="228">
        <v>4</v>
      </c>
      <c r="C12" s="229" t="s">
        <v>56</v>
      </c>
      <c r="D12" s="228" t="s">
        <v>32</v>
      </c>
      <c r="E12" s="230" t="s">
        <v>243</v>
      </c>
      <c r="F12" s="3" t="s">
        <v>9</v>
      </c>
      <c r="G12" s="3" t="s">
        <v>10</v>
      </c>
      <c r="H12" s="3" t="s">
        <v>11</v>
      </c>
      <c r="I12" s="3" t="s">
        <v>46</v>
      </c>
      <c r="J12" s="3" t="s">
        <v>19</v>
      </c>
    </row>
    <row r="13" spans="1:10" ht="38.25" x14ac:dyDescent="0.25">
      <c r="B13" s="228">
        <v>5</v>
      </c>
      <c r="C13" s="229" t="s">
        <v>28</v>
      </c>
      <c r="D13" s="228" t="s">
        <v>32</v>
      </c>
      <c r="E13" s="230" t="s">
        <v>121</v>
      </c>
      <c r="F13" s="3" t="s">
        <v>18</v>
      </c>
      <c r="G13" s="3" t="s">
        <v>72</v>
      </c>
      <c r="H13" s="3" t="s">
        <v>16</v>
      </c>
      <c r="I13" s="3" t="s">
        <v>47</v>
      </c>
      <c r="J13" s="3" t="s">
        <v>19</v>
      </c>
    </row>
    <row r="14" spans="1:10" ht="38.25" x14ac:dyDescent="0.25">
      <c r="B14" s="228">
        <v>6</v>
      </c>
      <c r="C14" s="229" t="s">
        <v>88</v>
      </c>
      <c r="D14" s="228" t="s">
        <v>32</v>
      </c>
      <c r="E14" s="230" t="s">
        <v>129</v>
      </c>
      <c r="F14" s="3" t="s">
        <v>9</v>
      </c>
      <c r="G14" s="3" t="s">
        <v>10</v>
      </c>
      <c r="H14" s="3" t="s">
        <v>16</v>
      </c>
      <c r="I14" s="3" t="s">
        <v>46</v>
      </c>
      <c r="J14" s="3" t="s">
        <v>19</v>
      </c>
    </row>
    <row r="15" spans="1:10" ht="38.25" x14ac:dyDescent="0.25">
      <c r="B15" s="228">
        <v>7</v>
      </c>
      <c r="C15" s="229" t="s">
        <v>91</v>
      </c>
      <c r="D15" s="228" t="s">
        <v>32</v>
      </c>
      <c r="E15" s="230" t="s">
        <v>55</v>
      </c>
      <c r="F15" s="3" t="s">
        <v>9</v>
      </c>
      <c r="G15" s="3" t="s">
        <v>10</v>
      </c>
      <c r="H15" s="3" t="s">
        <v>16</v>
      </c>
      <c r="I15" s="3" t="s">
        <v>264</v>
      </c>
      <c r="J15" s="3" t="s">
        <v>130</v>
      </c>
    </row>
    <row r="16" spans="1:10" ht="51" x14ac:dyDescent="0.25">
      <c r="B16" s="228">
        <v>8</v>
      </c>
      <c r="C16" s="229" t="s">
        <v>93</v>
      </c>
      <c r="D16" s="228" t="s">
        <v>32</v>
      </c>
      <c r="E16" s="230" t="s">
        <v>258</v>
      </c>
      <c r="F16" s="3" t="s">
        <v>9</v>
      </c>
      <c r="G16" s="3" t="s">
        <v>10</v>
      </c>
      <c r="H16" s="3" t="s">
        <v>16</v>
      </c>
      <c r="I16" s="3" t="s">
        <v>264</v>
      </c>
      <c r="J16" s="3" t="s">
        <v>37</v>
      </c>
    </row>
    <row r="17" spans="1:10" ht="25.5" x14ac:dyDescent="0.25">
      <c r="B17" s="228">
        <v>9</v>
      </c>
      <c r="C17" s="229" t="s">
        <v>30</v>
      </c>
      <c r="D17" s="228" t="s">
        <v>32</v>
      </c>
      <c r="E17" s="230" t="s">
        <v>117</v>
      </c>
      <c r="F17" s="3" t="s">
        <v>18</v>
      </c>
      <c r="G17" s="3" t="s">
        <v>23</v>
      </c>
      <c r="H17" s="3" t="s">
        <v>11</v>
      </c>
      <c r="I17" s="3" t="s">
        <v>43</v>
      </c>
      <c r="J17" s="3" t="s">
        <v>19</v>
      </c>
    </row>
    <row r="18" spans="1:10" ht="38.25" x14ac:dyDescent="0.25">
      <c r="B18" s="228">
        <v>10</v>
      </c>
      <c r="C18" s="229" t="s">
        <v>240</v>
      </c>
      <c r="D18" s="228" t="s">
        <v>32</v>
      </c>
      <c r="E18" s="230" t="s">
        <v>119</v>
      </c>
      <c r="F18" s="3" t="s">
        <v>18</v>
      </c>
      <c r="G18" s="3" t="s">
        <v>10</v>
      </c>
      <c r="H18" s="3" t="s">
        <v>11</v>
      </c>
      <c r="I18" s="3" t="s">
        <v>46</v>
      </c>
      <c r="J18" s="3" t="s">
        <v>19</v>
      </c>
    </row>
    <row r="19" spans="1:10" ht="38.25" x14ac:dyDescent="0.25">
      <c r="B19" s="228">
        <v>11</v>
      </c>
      <c r="C19" s="229" t="s">
        <v>265</v>
      </c>
      <c r="D19" s="228" t="s">
        <v>32</v>
      </c>
      <c r="E19" s="230" t="s">
        <v>120</v>
      </c>
      <c r="F19" s="3" t="s">
        <v>18</v>
      </c>
      <c r="G19" s="3" t="s">
        <v>10</v>
      </c>
      <c r="H19" s="3" t="s">
        <v>11</v>
      </c>
      <c r="I19" s="3" t="s">
        <v>46</v>
      </c>
      <c r="J19" s="3" t="s">
        <v>19</v>
      </c>
    </row>
    <row r="20" spans="1:10" ht="25.5" x14ac:dyDescent="0.25">
      <c r="A20" s="231"/>
      <c r="B20" s="228">
        <v>12</v>
      </c>
      <c r="C20" s="229" t="s">
        <v>235</v>
      </c>
      <c r="D20" s="228" t="s">
        <v>8</v>
      </c>
      <c r="E20" s="230" t="s">
        <v>131</v>
      </c>
      <c r="F20" s="3" t="s">
        <v>18</v>
      </c>
      <c r="G20" s="3" t="s">
        <v>23</v>
      </c>
      <c r="H20" s="3" t="s">
        <v>11</v>
      </c>
      <c r="I20" s="3" t="s">
        <v>46</v>
      </c>
      <c r="J20" s="3" t="s">
        <v>130</v>
      </c>
    </row>
    <row r="21" spans="1:10" ht="38.25" x14ac:dyDescent="0.25">
      <c r="A21" s="231"/>
      <c r="B21" s="228">
        <v>13</v>
      </c>
      <c r="C21" s="229" t="s">
        <v>236</v>
      </c>
      <c r="D21" s="228" t="s">
        <v>8</v>
      </c>
      <c r="E21" s="230" t="s">
        <v>237</v>
      </c>
      <c r="F21" s="3" t="s">
        <v>18</v>
      </c>
      <c r="G21" s="3" t="s">
        <v>23</v>
      </c>
      <c r="H21" s="3" t="s">
        <v>11</v>
      </c>
      <c r="I21" s="3" t="s">
        <v>46</v>
      </c>
      <c r="J21" s="3" t="s">
        <v>19</v>
      </c>
    </row>
    <row r="22" spans="1:10" ht="38.25" x14ac:dyDescent="0.25">
      <c r="A22" s="231"/>
      <c r="B22" s="228">
        <v>14</v>
      </c>
      <c r="C22" s="229" t="s">
        <v>7</v>
      </c>
      <c r="D22" s="228" t="s">
        <v>8</v>
      </c>
      <c r="E22" s="230" t="s">
        <v>100</v>
      </c>
      <c r="F22" s="3" t="s">
        <v>9</v>
      </c>
      <c r="G22" s="3" t="s">
        <v>72</v>
      </c>
      <c r="H22" s="3" t="s">
        <v>11</v>
      </c>
      <c r="I22" s="3" t="s">
        <v>46</v>
      </c>
      <c r="J22" s="3" t="s">
        <v>37</v>
      </c>
    </row>
    <row r="23" spans="1:10" ht="25.5" x14ac:dyDescent="0.25">
      <c r="A23" s="231"/>
      <c r="B23" s="228">
        <v>15</v>
      </c>
      <c r="C23" s="229" t="s">
        <v>12</v>
      </c>
      <c r="D23" s="228" t="s">
        <v>8</v>
      </c>
      <c r="E23" s="230" t="s">
        <v>13</v>
      </c>
      <c r="F23" s="3" t="s">
        <v>9</v>
      </c>
      <c r="G23" s="3" t="s">
        <v>72</v>
      </c>
      <c r="H23" s="3" t="s">
        <v>11</v>
      </c>
      <c r="I23" s="3" t="s">
        <v>71</v>
      </c>
      <c r="J23" s="3" t="s">
        <v>37</v>
      </c>
    </row>
    <row r="24" spans="1:10" ht="51" x14ac:dyDescent="0.25">
      <c r="B24" s="228">
        <v>16</v>
      </c>
      <c r="C24" s="229" t="s">
        <v>261</v>
      </c>
      <c r="D24" s="228" t="s">
        <v>8</v>
      </c>
      <c r="E24" s="230" t="s">
        <v>101</v>
      </c>
      <c r="F24" s="3" t="s">
        <v>9</v>
      </c>
      <c r="G24" s="3" t="s">
        <v>24</v>
      </c>
      <c r="H24" s="3" t="s">
        <v>11</v>
      </c>
      <c r="I24" s="3" t="s">
        <v>45</v>
      </c>
      <c r="J24" s="3" t="s">
        <v>19</v>
      </c>
    </row>
    <row r="25" spans="1:10" ht="38.25" x14ac:dyDescent="0.25">
      <c r="B25" s="228">
        <v>17</v>
      </c>
      <c r="C25" s="229" t="s">
        <v>98</v>
      </c>
      <c r="D25" s="228" t="s">
        <v>8</v>
      </c>
      <c r="E25" s="230" t="s">
        <v>110</v>
      </c>
      <c r="F25" s="3" t="s">
        <v>18</v>
      </c>
      <c r="G25" s="3" t="s">
        <v>23</v>
      </c>
      <c r="H25" s="3" t="s">
        <v>11</v>
      </c>
      <c r="I25" s="3" t="s">
        <v>43</v>
      </c>
      <c r="J25" s="3" t="s">
        <v>19</v>
      </c>
    </row>
    <row r="26" spans="1:10" ht="38.25" x14ac:dyDescent="0.25">
      <c r="B26" s="228">
        <v>18</v>
      </c>
      <c r="C26" s="229" t="s">
        <v>48</v>
      </c>
      <c r="D26" s="228" t="s">
        <v>8</v>
      </c>
      <c r="E26" s="230" t="s">
        <v>75</v>
      </c>
      <c r="F26" s="3" t="s">
        <v>9</v>
      </c>
      <c r="G26" s="3" t="s">
        <v>72</v>
      </c>
      <c r="H26" s="3" t="s">
        <v>11</v>
      </c>
      <c r="I26" s="3" t="s">
        <v>46</v>
      </c>
      <c r="J26" s="3" t="s">
        <v>19</v>
      </c>
    </row>
    <row r="27" spans="1:10" ht="38.25" x14ac:dyDescent="0.25">
      <c r="B27" s="228">
        <v>19</v>
      </c>
      <c r="C27" s="229" t="s">
        <v>76</v>
      </c>
      <c r="D27" s="228" t="s">
        <v>8</v>
      </c>
      <c r="E27" s="230" t="s">
        <v>104</v>
      </c>
      <c r="F27" s="3" t="s">
        <v>18</v>
      </c>
      <c r="G27" s="3" t="s">
        <v>266</v>
      </c>
      <c r="H27" s="3" t="s">
        <v>11</v>
      </c>
      <c r="I27" s="3" t="s">
        <v>46</v>
      </c>
      <c r="J27" s="3" t="s">
        <v>19</v>
      </c>
    </row>
    <row r="28" spans="1:10" ht="25.5" x14ac:dyDescent="0.25">
      <c r="B28" s="228">
        <v>20</v>
      </c>
      <c r="C28" s="229" t="s">
        <v>262</v>
      </c>
      <c r="D28" s="228" t="s">
        <v>8</v>
      </c>
      <c r="E28" s="230" t="s">
        <v>123</v>
      </c>
      <c r="F28" s="3" t="s">
        <v>18</v>
      </c>
      <c r="G28" s="3" t="s">
        <v>266</v>
      </c>
      <c r="H28" s="3" t="s">
        <v>11</v>
      </c>
      <c r="I28" s="3" t="s">
        <v>43</v>
      </c>
      <c r="J28" s="3" t="s">
        <v>19</v>
      </c>
    </row>
    <row r="29" spans="1:10" ht="38.25" x14ac:dyDescent="0.25">
      <c r="B29" s="228">
        <v>21</v>
      </c>
      <c r="C29" s="229" t="s">
        <v>263</v>
      </c>
      <c r="D29" s="228" t="s">
        <v>270</v>
      </c>
      <c r="E29" s="230" t="s">
        <v>256</v>
      </c>
      <c r="F29" s="3" t="s">
        <v>18</v>
      </c>
      <c r="G29" s="3" t="s">
        <v>10</v>
      </c>
      <c r="H29" s="3" t="s">
        <v>11</v>
      </c>
      <c r="I29" s="3" t="s">
        <v>46</v>
      </c>
      <c r="J29" s="3" t="s">
        <v>19</v>
      </c>
    </row>
    <row r="30" spans="1:10" ht="38.25" x14ac:dyDescent="0.25">
      <c r="B30" s="228">
        <v>22</v>
      </c>
      <c r="C30" s="229" t="s">
        <v>21</v>
      </c>
      <c r="D30" s="228" t="s">
        <v>8</v>
      </c>
      <c r="E30" s="230" t="s">
        <v>73</v>
      </c>
      <c r="F30" s="3" t="s">
        <v>9</v>
      </c>
      <c r="G30" s="3" t="s">
        <v>72</v>
      </c>
      <c r="H30" s="3" t="s">
        <v>11</v>
      </c>
      <c r="I30" s="3" t="s">
        <v>46</v>
      </c>
      <c r="J30" s="3" t="s">
        <v>19</v>
      </c>
    </row>
    <row r="31" spans="1:10" ht="38.25" x14ac:dyDescent="0.25">
      <c r="B31" s="228">
        <v>23</v>
      </c>
      <c r="C31" s="229" t="s">
        <v>267</v>
      </c>
      <c r="D31" s="228" t="s">
        <v>8</v>
      </c>
      <c r="E31" s="4" t="s">
        <v>239</v>
      </c>
      <c r="F31" s="3" t="s">
        <v>9</v>
      </c>
      <c r="G31" s="3" t="s">
        <v>72</v>
      </c>
      <c r="H31" s="3" t="s">
        <v>11</v>
      </c>
      <c r="I31" s="3" t="s">
        <v>46</v>
      </c>
      <c r="J31" s="3" t="s">
        <v>19</v>
      </c>
    </row>
    <row r="32" spans="1:10" ht="38.25" x14ac:dyDescent="0.25">
      <c r="B32" s="228">
        <v>24</v>
      </c>
      <c r="C32" s="229" t="s">
        <v>268</v>
      </c>
      <c r="D32" s="228" t="s">
        <v>32</v>
      </c>
      <c r="E32" s="230" t="s">
        <v>112</v>
      </c>
      <c r="F32" s="3" t="s">
        <v>18</v>
      </c>
      <c r="G32" s="3" t="s">
        <v>23</v>
      </c>
      <c r="H32" s="3" t="s">
        <v>11</v>
      </c>
      <c r="I32" s="3" t="s">
        <v>43</v>
      </c>
      <c r="J32" s="3" t="s">
        <v>19</v>
      </c>
    </row>
  </sheetData>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5"/>
  <sheetViews>
    <sheetView tabSelected="1" zoomScale="75" zoomScaleNormal="75" workbookViewId="0">
      <selection activeCell="A3" sqref="A3"/>
    </sheetView>
  </sheetViews>
  <sheetFormatPr defaultRowHeight="15" x14ac:dyDescent="0.25"/>
  <cols>
    <col min="2" max="2" width="22.7109375" bestFit="1" customWidth="1"/>
    <col min="3" max="3" width="45.5703125" bestFit="1" customWidth="1"/>
    <col min="4" max="4" width="94.42578125" bestFit="1" customWidth="1"/>
    <col min="5" max="5" width="36.28515625" bestFit="1" customWidth="1"/>
    <col min="6" max="6" width="54.5703125" bestFit="1" customWidth="1"/>
    <col min="7" max="7" width="49.140625" bestFit="1" customWidth="1"/>
    <col min="8" max="8" width="28.42578125" bestFit="1" customWidth="1"/>
    <col min="9" max="9" width="29.42578125" bestFit="1" customWidth="1"/>
    <col min="10" max="10" width="23.5703125" customWidth="1"/>
    <col min="11" max="11" width="32.7109375" customWidth="1"/>
  </cols>
  <sheetData>
    <row r="1" spans="1:9" ht="15.75" thickBot="1" x14ac:dyDescent="0.3">
      <c r="A1" s="236" t="s">
        <v>275</v>
      </c>
    </row>
    <row r="2" spans="1:9" ht="16.5" thickBot="1" x14ac:dyDescent="0.3">
      <c r="B2" s="200" t="s">
        <v>188</v>
      </c>
      <c r="C2" s="201" t="s">
        <v>187</v>
      </c>
      <c r="D2" s="200" t="s">
        <v>2</v>
      </c>
      <c r="E2" s="200" t="s">
        <v>189</v>
      </c>
      <c r="F2" s="200" t="s">
        <v>192</v>
      </c>
      <c r="G2" s="200" t="s">
        <v>196</v>
      </c>
      <c r="H2" s="202" t="s">
        <v>186</v>
      </c>
      <c r="I2" s="202" t="s">
        <v>185</v>
      </c>
    </row>
    <row r="3" spans="1:9" ht="24" x14ac:dyDescent="0.25">
      <c r="B3" s="313" t="s">
        <v>184</v>
      </c>
      <c r="C3" s="316" t="s">
        <v>183</v>
      </c>
      <c r="D3" s="321" t="s">
        <v>182</v>
      </c>
      <c r="E3" s="133" t="s">
        <v>181</v>
      </c>
      <c r="F3" s="139" t="s">
        <v>197</v>
      </c>
      <c r="G3" s="307" t="s">
        <v>208</v>
      </c>
      <c r="H3" s="118">
        <v>0.2</v>
      </c>
      <c r="I3" s="117" t="s">
        <v>178</v>
      </c>
    </row>
    <row r="4" spans="1:9" ht="18.75" x14ac:dyDescent="0.25">
      <c r="B4" s="314"/>
      <c r="C4" s="317"/>
      <c r="D4" s="322"/>
      <c r="E4" s="131" t="s">
        <v>180</v>
      </c>
      <c r="F4" s="140" t="s">
        <v>198</v>
      </c>
      <c r="G4" s="308"/>
      <c r="H4" s="119">
        <v>0.15</v>
      </c>
      <c r="I4" s="114" t="s">
        <v>178</v>
      </c>
    </row>
    <row r="5" spans="1:9" ht="24" x14ac:dyDescent="0.25">
      <c r="B5" s="314"/>
      <c r="C5" s="318"/>
      <c r="D5" s="323"/>
      <c r="E5" s="131" t="s">
        <v>179</v>
      </c>
      <c r="F5" s="140" t="s">
        <v>199</v>
      </c>
      <c r="G5" s="308"/>
      <c r="H5" s="120">
        <v>0.05</v>
      </c>
      <c r="I5" s="115" t="s">
        <v>178</v>
      </c>
    </row>
    <row r="6" spans="1:9" ht="24" x14ac:dyDescent="0.25">
      <c r="B6" s="314"/>
      <c r="C6" s="319" t="s">
        <v>139</v>
      </c>
      <c r="D6" s="324" t="s">
        <v>177</v>
      </c>
      <c r="E6" s="132" t="s">
        <v>176</v>
      </c>
      <c r="F6" s="141" t="s">
        <v>193</v>
      </c>
      <c r="G6" s="308"/>
      <c r="H6" s="121">
        <v>0.25</v>
      </c>
      <c r="I6" s="116" t="s">
        <v>155</v>
      </c>
    </row>
    <row r="7" spans="1:9" ht="24" x14ac:dyDescent="0.25">
      <c r="B7" s="314"/>
      <c r="C7" s="318"/>
      <c r="D7" s="323"/>
      <c r="E7" s="131" t="s">
        <v>175</v>
      </c>
      <c r="F7" s="141" t="s">
        <v>194</v>
      </c>
      <c r="G7" s="308"/>
      <c r="H7" s="120">
        <v>0.15</v>
      </c>
      <c r="I7" s="115" t="s">
        <v>155</v>
      </c>
    </row>
    <row r="8" spans="1:9" ht="36" x14ac:dyDescent="0.25">
      <c r="B8" s="314"/>
      <c r="C8" s="317" t="s">
        <v>144</v>
      </c>
      <c r="D8" s="322" t="s">
        <v>174</v>
      </c>
      <c r="E8" s="132" t="s">
        <v>173</v>
      </c>
      <c r="F8" s="142" t="s">
        <v>195</v>
      </c>
      <c r="G8" s="308"/>
      <c r="H8" s="119">
        <v>0.05</v>
      </c>
      <c r="I8" s="114" t="s">
        <v>155</v>
      </c>
    </row>
    <row r="9" spans="1:9" ht="24" x14ac:dyDescent="0.25">
      <c r="B9" s="314"/>
      <c r="C9" s="317"/>
      <c r="D9" s="322"/>
      <c r="E9" s="131" t="s">
        <v>172</v>
      </c>
      <c r="F9" s="142" t="s">
        <v>200</v>
      </c>
      <c r="G9" s="308"/>
      <c r="H9" s="119">
        <v>0.05</v>
      </c>
      <c r="I9" s="114" t="s">
        <v>155</v>
      </c>
    </row>
    <row r="10" spans="1:9" ht="24" x14ac:dyDescent="0.25">
      <c r="B10" s="314"/>
      <c r="C10" s="317"/>
      <c r="D10" s="322"/>
      <c r="E10" s="131" t="s">
        <v>171</v>
      </c>
      <c r="F10" s="142" t="s">
        <v>201</v>
      </c>
      <c r="G10" s="308"/>
      <c r="H10" s="119">
        <v>0.05</v>
      </c>
      <c r="I10" s="114" t="s">
        <v>155</v>
      </c>
    </row>
    <row r="11" spans="1:9" ht="24.75" thickBot="1" x14ac:dyDescent="0.3">
      <c r="B11" s="315"/>
      <c r="C11" s="320"/>
      <c r="D11" s="325"/>
      <c r="E11" s="137" t="s">
        <v>170</v>
      </c>
      <c r="F11" s="143" t="s">
        <v>202</v>
      </c>
      <c r="G11" s="309"/>
      <c r="H11" s="124">
        <v>0.05</v>
      </c>
      <c r="I11" s="138" t="s">
        <v>155</v>
      </c>
    </row>
    <row r="12" spans="1:9" ht="24" x14ac:dyDescent="0.25">
      <c r="B12" s="313" t="s">
        <v>132</v>
      </c>
      <c r="C12" s="126" t="s">
        <v>169</v>
      </c>
      <c r="D12" s="145" t="s">
        <v>203</v>
      </c>
      <c r="E12" s="136"/>
      <c r="F12" s="158" t="s">
        <v>203</v>
      </c>
      <c r="G12" s="164" t="s">
        <v>209</v>
      </c>
      <c r="H12" s="120">
        <v>0.3</v>
      </c>
      <c r="I12" s="113" t="s">
        <v>155</v>
      </c>
    </row>
    <row r="13" spans="1:9" ht="24" x14ac:dyDescent="0.25">
      <c r="B13" s="314"/>
      <c r="C13" s="125" t="s">
        <v>168</v>
      </c>
      <c r="D13" s="146" t="s">
        <v>204</v>
      </c>
      <c r="E13" s="136"/>
      <c r="F13" s="159" t="s">
        <v>204</v>
      </c>
      <c r="G13" s="165" t="s">
        <v>210</v>
      </c>
      <c r="H13" s="123">
        <v>0.3</v>
      </c>
      <c r="I13" s="171" t="s">
        <v>155</v>
      </c>
    </row>
    <row r="14" spans="1:9" ht="24" x14ac:dyDescent="0.25">
      <c r="B14" s="314"/>
      <c r="C14" s="126" t="s">
        <v>167</v>
      </c>
      <c r="D14" s="146" t="s">
        <v>205</v>
      </c>
      <c r="E14" s="136"/>
      <c r="F14" s="159" t="s">
        <v>205</v>
      </c>
      <c r="G14" s="165" t="s">
        <v>211</v>
      </c>
      <c r="H14" s="120">
        <v>0.25</v>
      </c>
      <c r="I14" s="113" t="s">
        <v>155</v>
      </c>
    </row>
    <row r="15" spans="1:9" ht="24.75" thickBot="1" x14ac:dyDescent="0.3">
      <c r="B15" s="315"/>
      <c r="C15" s="127" t="s">
        <v>212</v>
      </c>
      <c r="D15" s="147" t="s">
        <v>206</v>
      </c>
      <c r="E15" s="135"/>
      <c r="F15" s="160" t="s">
        <v>206</v>
      </c>
      <c r="G15" s="166" t="s">
        <v>213</v>
      </c>
      <c r="H15" s="124">
        <v>0.15</v>
      </c>
      <c r="I15" s="109" t="s">
        <v>155</v>
      </c>
    </row>
    <row r="16" spans="1:9" ht="36" x14ac:dyDescent="0.25">
      <c r="B16" s="313" t="s">
        <v>166</v>
      </c>
      <c r="C16" s="128" t="s">
        <v>165</v>
      </c>
      <c r="D16" s="112" t="s">
        <v>164</v>
      </c>
      <c r="E16" s="310" t="s">
        <v>124</v>
      </c>
      <c r="F16" s="161" t="s">
        <v>164</v>
      </c>
      <c r="G16" s="167" t="s">
        <v>214</v>
      </c>
      <c r="H16" s="122">
        <v>0.5</v>
      </c>
      <c r="I16" s="172" t="s">
        <v>155</v>
      </c>
    </row>
    <row r="17" spans="2:11" ht="36" x14ac:dyDescent="0.25">
      <c r="B17" s="314"/>
      <c r="C17" s="129" t="s">
        <v>163</v>
      </c>
      <c r="D17" s="111" t="s">
        <v>162</v>
      </c>
      <c r="E17" s="311"/>
      <c r="F17" s="162" t="s">
        <v>162</v>
      </c>
      <c r="G17" s="168" t="s">
        <v>215</v>
      </c>
      <c r="H17" s="123">
        <v>0.1</v>
      </c>
      <c r="I17" s="173" t="s">
        <v>155</v>
      </c>
    </row>
    <row r="18" spans="2:11" ht="24" x14ac:dyDescent="0.25">
      <c r="B18" s="314"/>
      <c r="C18" s="129" t="s">
        <v>161</v>
      </c>
      <c r="D18" s="111" t="s">
        <v>160</v>
      </c>
      <c r="E18" s="311"/>
      <c r="F18" s="162" t="s">
        <v>160</v>
      </c>
      <c r="G18" s="168" t="s">
        <v>216</v>
      </c>
      <c r="H18" s="123">
        <v>0.25</v>
      </c>
      <c r="I18" s="173" t="s">
        <v>155</v>
      </c>
    </row>
    <row r="19" spans="2:11" ht="36" x14ac:dyDescent="0.25">
      <c r="B19" s="314"/>
      <c r="C19" s="130" t="s">
        <v>159</v>
      </c>
      <c r="D19" s="111" t="s">
        <v>158</v>
      </c>
      <c r="E19" s="311"/>
      <c r="F19" s="162" t="s">
        <v>158</v>
      </c>
      <c r="G19" s="151" t="s">
        <v>217</v>
      </c>
      <c r="H19" s="123">
        <v>0.1</v>
      </c>
      <c r="I19" s="173" t="s">
        <v>155</v>
      </c>
    </row>
    <row r="20" spans="2:11" ht="36.75" thickBot="1" x14ac:dyDescent="0.3">
      <c r="B20" s="315"/>
      <c r="C20" s="127" t="s">
        <v>157</v>
      </c>
      <c r="D20" s="110" t="s">
        <v>156</v>
      </c>
      <c r="E20" s="312"/>
      <c r="F20" s="163" t="s">
        <v>156</v>
      </c>
      <c r="G20" s="142" t="s">
        <v>218</v>
      </c>
      <c r="H20" s="124">
        <v>0.05</v>
      </c>
      <c r="I20" s="109" t="s">
        <v>155</v>
      </c>
    </row>
    <row r="25" spans="2:11" x14ac:dyDescent="0.25">
      <c r="K25" s="22"/>
    </row>
  </sheetData>
  <mergeCells count="11">
    <mergeCell ref="G3:G11"/>
    <mergeCell ref="E16:E20"/>
    <mergeCell ref="B16:B20"/>
    <mergeCell ref="B12:B15"/>
    <mergeCell ref="C3:C5"/>
    <mergeCell ref="C6:C7"/>
    <mergeCell ref="C8:C11"/>
    <mergeCell ref="B3:B11"/>
    <mergeCell ref="D3:D5"/>
    <mergeCell ref="D6:D7"/>
    <mergeCell ref="D8:D11"/>
  </mergeCells>
  <pageMargins left="0.7" right="0.7" top="0.75" bottom="0.75" header="0.3" footer="0.3"/>
  <pageSetup orientation="portrait" r:id="rId1"/>
  <headerFooter>
    <oddHeader>&amp;LAppendix D-6: Original Concept List Summary&amp;RClean Energy Implementation Plan</oddHeader>
    <oddFooter>&amp;LDECEMBER 17, 2021&amp;C&amp;P of &amp;N&amp;RPuget Sound Energy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0"/>
  <sheetViews>
    <sheetView tabSelected="1" workbookViewId="0">
      <selection activeCell="A3" sqref="A3"/>
    </sheetView>
  </sheetViews>
  <sheetFormatPr defaultRowHeight="15" x14ac:dyDescent="0.25"/>
  <cols>
    <col min="1" max="1" width="22.7109375" bestFit="1" customWidth="1"/>
  </cols>
  <sheetData>
    <row r="1" spans="1:2" s="235" customFormat="1" ht="12.75" x14ac:dyDescent="0.2">
      <c r="A1" s="238" t="s">
        <v>275</v>
      </c>
    </row>
    <row r="2" spans="1:2" x14ac:dyDescent="0.25">
      <c r="A2" s="326" t="s">
        <v>145</v>
      </c>
      <c r="B2" s="326"/>
    </row>
    <row r="3" spans="1:2" x14ac:dyDescent="0.25">
      <c r="A3" t="s">
        <v>135</v>
      </c>
      <c r="B3">
        <v>100</v>
      </c>
    </row>
    <row r="4" spans="1:2" x14ac:dyDescent="0.25">
      <c r="A4" t="s">
        <v>146</v>
      </c>
      <c r="B4">
        <v>100</v>
      </c>
    </row>
    <row r="5" spans="1:2" x14ac:dyDescent="0.25">
      <c r="A5" t="s">
        <v>147</v>
      </c>
      <c r="B5">
        <v>100</v>
      </c>
    </row>
    <row r="7" spans="1:2" x14ac:dyDescent="0.25">
      <c r="A7" s="326" t="s">
        <v>148</v>
      </c>
      <c r="B7" s="326"/>
    </row>
    <row r="8" spans="1:2" x14ac:dyDescent="0.25">
      <c r="A8" t="s">
        <v>15</v>
      </c>
      <c r="B8" s="45">
        <v>1</v>
      </c>
    </row>
    <row r="9" spans="1:2" x14ac:dyDescent="0.25">
      <c r="A9" t="s">
        <v>14</v>
      </c>
      <c r="B9" s="45">
        <v>0.5</v>
      </c>
    </row>
    <row r="10" spans="1:2" x14ac:dyDescent="0.25">
      <c r="A10" t="s">
        <v>20</v>
      </c>
      <c r="B10" s="45">
        <v>0</v>
      </c>
    </row>
  </sheetData>
  <mergeCells count="2">
    <mergeCell ref="A2:B2"/>
    <mergeCell ref="A7:B7"/>
  </mergeCells>
  <pageMargins left="0.7" right="0.7" top="0.75" bottom="0.75" header="0.3" footer="0.3"/>
  <pageSetup orientation="portrait" horizontalDpi="90" verticalDpi="90" r:id="rId1"/>
  <headerFooter>
    <oddHeader>&amp;LAppendix D-6: Original Concept List Summary&amp;RClean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07C163E-780C-4031-BF62-124B4AB5FCAB}"/>
</file>

<file path=customXml/itemProps2.xml><?xml version="1.0" encoding="utf-8"?>
<ds:datastoreItem xmlns:ds="http://schemas.openxmlformats.org/officeDocument/2006/customXml" ds:itemID="{21A7A762-4978-4ACE-BDB4-3C0BB7B9DA41}"/>
</file>

<file path=customXml/itemProps3.xml><?xml version="1.0" encoding="utf-8"?>
<ds:datastoreItem xmlns:ds="http://schemas.openxmlformats.org/officeDocument/2006/customXml" ds:itemID="{6908E32C-FB9D-422D-BD5F-3E41FA2DE204}"/>
</file>

<file path=customXml/itemProps4.xml><?xml version="1.0" encoding="utf-8"?>
<ds:datastoreItem xmlns:ds="http://schemas.openxmlformats.org/officeDocument/2006/customXml" ds:itemID="{3756CA8F-7869-4E91-8F96-7CCB180A55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Original Concept List</vt:lpstr>
      <vt:lpstr>PSE-Fit &amp; Feas. Mapping</vt:lpstr>
      <vt:lpstr>Stakeholder Feas Scoring</vt:lpstr>
      <vt:lpstr>DER Concept List</vt:lpstr>
      <vt:lpstr>Scoring Overview</vt:lpstr>
      <vt:lpstr>Scoring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2021-12-17T19:11:25Z</dcterms:created>
  <dcterms:modified xsi:type="dcterms:W3CDTF">2021-12-17T19:11:40Z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