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readedComments/threadedComment3.xml" ContentType="application/vnd.ms-excel.threaded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threadedComments/threadedComment4.xml" ContentType="application/vnd.ms-excel.threaded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/>
  <mc:AlternateContent xmlns:mc="http://schemas.openxmlformats.org/markup-compatibility/2006">
    <mc:Choice Requires="x15">
      <x15ac:absPath xmlns:x15ac="http://schemas.microsoft.com/office/spreadsheetml/2010/11/ac" url="https://npenergy.sharepoint.com/sites/Projects/Shared Documents/GridLab IRP Engagement/2023 PacifiCorp/Work Papers/"/>
    </mc:Choice>
  </mc:AlternateContent>
  <xr:revisionPtr revIDLastSave="2" documentId="8_{331F23FA-C7FB-4D93-8AD2-4837C7073195}" xr6:coauthVersionLast="47" xr6:coauthVersionMax="47" xr10:uidLastSave="{4CC4F0ED-AD96-4622-A79A-B7B3AE7B40C6}"/>
  <bookViews>
    <workbookView xWindow="-120" yWindow="-120" windowWidth="38640" windowHeight="21120" tabRatio="751" firstSheet="2" activeTab="2" xr2:uid="{00000000-000D-0000-FFFF-FFFF00000000}"/>
  </bookViews>
  <sheets>
    <sheet name="INDEX" sheetId="10" r:id="rId1"/>
    <sheet name="Fig 7.3 PV COMP" sheetId="4" r:id="rId2"/>
    <sheet name="Fig 7.4 OSW Wind COMP" sheetId="8" r:id="rId3"/>
    <sheet name="Fig 7.4 Wind COMP" sheetId="5" r:id="rId4"/>
    <sheet name="Fig 7.5 LI Storage COMP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6" l="1"/>
  <c r="T16" i="4"/>
  <c r="S16" i="4"/>
  <c r="U25" i="4" l="1"/>
  <c r="U24" i="4"/>
  <c r="U22" i="4"/>
  <c r="U21" i="4"/>
  <c r="U20" i="4"/>
  <c r="Y22" i="8"/>
  <c r="Y23" i="8" s="1"/>
  <c r="Y24" i="8" s="1"/>
  <c r="Y25" i="8" s="1"/>
  <c r="Y26" i="8" s="1"/>
  <c r="Y27" i="8" s="1"/>
  <c r="Z15" i="8"/>
  <c r="AB15" i="8" s="1"/>
  <c r="Q14" i="8"/>
  <c r="Q15" i="8"/>
  <c r="Q16" i="8"/>
  <c r="I12" i="4"/>
  <c r="J12" i="4"/>
  <c r="K12" i="4"/>
  <c r="L12" i="4"/>
  <c r="M12" i="4"/>
  <c r="N1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M13" i="4"/>
  <c r="N13" i="4"/>
  <c r="I14" i="4"/>
  <c r="J14" i="4"/>
  <c r="K14" i="4"/>
  <c r="L14" i="4"/>
  <c r="M14" i="4"/>
  <c r="N14" i="4"/>
  <c r="I15" i="4"/>
  <c r="J15" i="4"/>
  <c r="K15" i="4"/>
  <c r="L15" i="4"/>
  <c r="I16" i="4"/>
  <c r="J16" i="4"/>
  <c r="K16" i="4"/>
  <c r="L16" i="4"/>
  <c r="M16" i="4"/>
  <c r="M17" i="4" s="1"/>
  <c r="M18" i="4" s="1"/>
  <c r="M19" i="4" s="1"/>
  <c r="M20" i="4" s="1"/>
  <c r="M21" i="4" s="1"/>
  <c r="M22" i="4" s="1"/>
  <c r="M23" i="4" s="1"/>
  <c r="M24" i="4" s="1"/>
  <c r="M25" i="4" s="1"/>
  <c r="N16" i="4"/>
  <c r="N17" i="4" s="1"/>
  <c r="N18" i="4" s="1"/>
  <c r="N19" i="4" s="1"/>
  <c r="N20" i="4" s="1"/>
  <c r="N21" i="4" s="1"/>
  <c r="N22" i="4" s="1"/>
  <c r="N23" i="4" s="1"/>
  <c r="N24" i="4" s="1"/>
  <c r="N25" i="4" s="1"/>
  <c r="I17" i="4"/>
  <c r="J17" i="4"/>
  <c r="K17" i="4"/>
  <c r="L17" i="4"/>
  <c r="I18" i="4"/>
  <c r="J18" i="4"/>
  <c r="K18" i="4"/>
  <c r="L18" i="4"/>
  <c r="I19" i="4"/>
  <c r="J19" i="4"/>
  <c r="K19" i="4"/>
  <c r="L19" i="4"/>
  <c r="I20" i="4"/>
  <c r="J20" i="4"/>
  <c r="K20" i="4"/>
  <c r="L20" i="4"/>
  <c r="I21" i="4"/>
  <c r="J21" i="4"/>
  <c r="K21" i="4"/>
  <c r="L21" i="4"/>
  <c r="I22" i="4"/>
  <c r="J22" i="4"/>
  <c r="K22" i="4"/>
  <c r="L22" i="4"/>
  <c r="I23" i="4"/>
  <c r="J23" i="4"/>
  <c r="K23" i="4"/>
  <c r="L23" i="4"/>
  <c r="J41" i="6"/>
  <c r="K41" i="6"/>
  <c r="J42" i="6"/>
  <c r="K42" i="6"/>
  <c r="J43" i="6"/>
  <c r="K43" i="6"/>
  <c r="J44" i="6"/>
  <c r="K44" i="6"/>
  <c r="J45" i="6"/>
  <c r="K45" i="6"/>
  <c r="S45" i="6"/>
  <c r="S46" i="6" s="1"/>
  <c r="S47" i="6" s="1"/>
  <c r="S48" i="6" s="1"/>
  <c r="S49" i="6" s="1"/>
  <c r="S50" i="6" s="1"/>
  <c r="S51" i="6" s="1"/>
  <c r="S52" i="6" s="1"/>
  <c r="S53" i="6" s="1"/>
  <c r="S54" i="6" s="1"/>
  <c r="J46" i="6"/>
  <c r="K46" i="6"/>
  <c r="J47" i="6"/>
  <c r="K47" i="6"/>
  <c r="J48" i="6"/>
  <c r="K48" i="6"/>
  <c r="J49" i="6"/>
  <c r="K49" i="6"/>
  <c r="J50" i="6"/>
  <c r="K50" i="6"/>
  <c r="U18" i="4"/>
  <c r="U17" i="4"/>
  <c r="U16" i="4"/>
  <c r="U15" i="4"/>
  <c r="U14" i="4"/>
  <c r="U13" i="4"/>
  <c r="AD30" i="6"/>
  <c r="AD31" i="6"/>
  <c r="AD32" i="6"/>
  <c r="AD33" i="6"/>
  <c r="AD34" i="6"/>
  <c r="AD29" i="6"/>
  <c r="AD27" i="6"/>
  <c r="AD26" i="6"/>
  <c r="AD25" i="6"/>
  <c r="AD24" i="6"/>
  <c r="AD23" i="6"/>
  <c r="AD22" i="6"/>
  <c r="AD21" i="6"/>
  <c r="S21" i="6"/>
  <c r="AB24" i="6"/>
  <c r="AB25" i="6"/>
  <c r="AB26" i="6"/>
  <c r="AB27" i="6"/>
  <c r="AB28" i="6"/>
  <c r="AB29" i="6"/>
  <c r="AB30" i="6"/>
  <c r="AB31" i="6"/>
  <c r="AB32" i="6"/>
  <c r="AB33" i="6"/>
  <c r="AB34" i="6"/>
  <c r="AA24" i="6"/>
  <c r="AA25" i="6"/>
  <c r="AA26" i="6"/>
  <c r="AA27" i="6"/>
  <c r="AA28" i="6"/>
  <c r="AA29" i="6"/>
  <c r="AA30" i="6"/>
  <c r="AA31" i="6"/>
  <c r="AA32" i="6"/>
  <c r="AA33" i="6"/>
  <c r="AA34" i="6"/>
  <c r="Z22" i="6"/>
  <c r="AB22" i="6" s="1"/>
  <c r="Y22" i="6"/>
  <c r="X22" i="6"/>
  <c r="W22" i="6"/>
  <c r="V22" i="6"/>
  <c r="Z21" i="6"/>
  <c r="Y21" i="6"/>
  <c r="X21" i="6"/>
  <c r="W21" i="6"/>
  <c r="V21" i="6"/>
  <c r="Z23" i="6"/>
  <c r="Y23" i="6"/>
  <c r="AA23" i="6" s="1"/>
  <c r="X23" i="6"/>
  <c r="W24" i="6"/>
  <c r="V24" i="6"/>
  <c r="W23" i="6"/>
  <c r="V23" i="6"/>
  <c r="U24" i="6"/>
  <c r="U25" i="6"/>
  <c r="V25" i="6"/>
  <c r="W25" i="6"/>
  <c r="U26" i="6"/>
  <c r="V26" i="6"/>
  <c r="W26" i="6"/>
  <c r="U27" i="6"/>
  <c r="V27" i="6"/>
  <c r="W27" i="6"/>
  <c r="U28" i="6"/>
  <c r="V28" i="6"/>
  <c r="W28" i="6"/>
  <c r="U29" i="6"/>
  <c r="V29" i="6"/>
  <c r="W29" i="6"/>
  <c r="U30" i="6"/>
  <c r="V30" i="6"/>
  <c r="W30" i="6"/>
  <c r="U31" i="6"/>
  <c r="V31" i="6"/>
  <c r="W31" i="6"/>
  <c r="U32" i="6"/>
  <c r="V32" i="6"/>
  <c r="W32" i="6"/>
  <c r="U33" i="6"/>
  <c r="V33" i="6"/>
  <c r="W33" i="6"/>
  <c r="U34" i="6"/>
  <c r="V34" i="6"/>
  <c r="W34" i="6"/>
  <c r="AA20" i="8"/>
  <c r="AA36" i="8"/>
  <c r="Z16" i="8"/>
  <c r="AB16" i="8" s="1"/>
  <c r="Z17" i="8"/>
  <c r="AA17" i="8" s="1"/>
  <c r="Z18" i="8"/>
  <c r="AA18" i="8" s="1"/>
  <c r="Z19" i="8"/>
  <c r="AA19" i="8" s="1"/>
  <c r="Z20" i="8"/>
  <c r="AB20" i="8" s="1"/>
  <c r="Z21" i="8"/>
  <c r="AA21" i="8" s="1"/>
  <c r="Z22" i="8"/>
  <c r="AA22" i="8" s="1"/>
  <c r="Z23" i="8"/>
  <c r="AA23" i="8" s="1"/>
  <c r="Z24" i="8"/>
  <c r="AB24" i="8" s="1"/>
  <c r="Z25" i="8"/>
  <c r="AA25" i="8" s="1"/>
  <c r="Z26" i="8"/>
  <c r="AA26" i="8" s="1"/>
  <c r="Z27" i="8"/>
  <c r="AA27" i="8" s="1"/>
  <c r="Z28" i="8"/>
  <c r="AB28" i="8" s="1"/>
  <c r="Z29" i="8"/>
  <c r="AA29" i="8" s="1"/>
  <c r="Z30" i="8"/>
  <c r="AA30" i="8" s="1"/>
  <c r="Z31" i="8"/>
  <c r="AA31" i="8" s="1"/>
  <c r="Z32" i="8"/>
  <c r="AB32" i="8" s="1"/>
  <c r="Z33" i="8"/>
  <c r="AA33" i="8" s="1"/>
  <c r="Z34" i="8"/>
  <c r="AA34" i="8" s="1"/>
  <c r="Z35" i="8"/>
  <c r="AA35" i="8" s="1"/>
  <c r="Z36" i="8"/>
  <c r="AB36" i="8" s="1"/>
  <c r="Z37" i="8"/>
  <c r="AA37" i="8" s="1"/>
  <c r="Z38" i="8"/>
  <c r="AA38" i="8" s="1"/>
  <c r="Z39" i="8"/>
  <c r="AA39" i="8" s="1"/>
  <c r="Z40" i="8"/>
  <c r="AB40" i="8" s="1"/>
  <c r="Z41" i="8"/>
  <c r="AA41" i="8" s="1"/>
  <c r="Z42" i="8"/>
  <c r="AA42" i="8" s="1"/>
  <c r="Z43" i="8"/>
  <c r="AA43" i="8" s="1"/>
  <c r="Z44" i="8"/>
  <c r="AB44" i="8" s="1"/>
  <c r="Z45" i="8"/>
  <c r="AA45" i="8" s="1"/>
  <c r="W45" i="8"/>
  <c r="V45" i="8"/>
  <c r="W44" i="8"/>
  <c r="V44" i="8"/>
  <c r="W43" i="8"/>
  <c r="V43" i="8"/>
  <c r="W42" i="8"/>
  <c r="V42" i="8"/>
  <c r="W41" i="8"/>
  <c r="V41" i="8"/>
  <c r="W40" i="8"/>
  <c r="V40" i="8"/>
  <c r="W39" i="8"/>
  <c r="V39" i="8"/>
  <c r="W38" i="8"/>
  <c r="V38" i="8"/>
  <c r="W37" i="8"/>
  <c r="V37" i="8"/>
  <c r="W36" i="8"/>
  <c r="V36" i="8"/>
  <c r="W35" i="8"/>
  <c r="V35" i="8"/>
  <c r="W34" i="8"/>
  <c r="V34" i="8"/>
  <c r="W33" i="8"/>
  <c r="V33" i="8"/>
  <c r="W32" i="8"/>
  <c r="V32" i="8"/>
  <c r="W31" i="8"/>
  <c r="V31" i="8"/>
  <c r="W30" i="8"/>
  <c r="V30" i="8"/>
  <c r="W29" i="8"/>
  <c r="V29" i="8"/>
  <c r="W28" i="8"/>
  <c r="V28" i="8"/>
  <c r="W27" i="8"/>
  <c r="V27" i="8"/>
  <c r="W26" i="8"/>
  <c r="V26" i="8"/>
  <c r="W25" i="8"/>
  <c r="V25" i="8"/>
  <c r="K25" i="8"/>
  <c r="J25" i="8"/>
  <c r="W24" i="8"/>
  <c r="V24" i="8"/>
  <c r="K24" i="8"/>
  <c r="J24" i="8"/>
  <c r="W23" i="8"/>
  <c r="V23" i="8"/>
  <c r="K23" i="8"/>
  <c r="J23" i="8"/>
  <c r="W22" i="8"/>
  <c r="V22" i="8"/>
  <c r="K22" i="8"/>
  <c r="J22" i="8"/>
  <c r="W21" i="8"/>
  <c r="V21" i="8"/>
  <c r="K21" i="8"/>
  <c r="J21" i="8"/>
  <c r="X20" i="8"/>
  <c r="W20" i="8"/>
  <c r="V20" i="8"/>
  <c r="K20" i="8"/>
  <c r="J20" i="8"/>
  <c r="X19" i="8"/>
  <c r="W19" i="8"/>
  <c r="V19" i="8"/>
  <c r="K19" i="8"/>
  <c r="J19" i="8"/>
  <c r="X18" i="8"/>
  <c r="W18" i="8"/>
  <c r="V18" i="8"/>
  <c r="P18" i="8"/>
  <c r="P19" i="8" s="1"/>
  <c r="P20" i="8" s="1"/>
  <c r="P21" i="8" s="1"/>
  <c r="P22" i="8" s="1"/>
  <c r="P23" i="8" s="1"/>
  <c r="P24" i="8" s="1"/>
  <c r="P25" i="8" s="1"/>
  <c r="P26" i="8" s="1"/>
  <c r="P27" i="8" s="1"/>
  <c r="O18" i="8"/>
  <c r="O19" i="8" s="1"/>
  <c r="O20" i="8" s="1"/>
  <c r="O21" i="8" s="1"/>
  <c r="O22" i="8" s="1"/>
  <c r="O23" i="8" s="1"/>
  <c r="O24" i="8" s="1"/>
  <c r="O25" i="8" s="1"/>
  <c r="O26" i="8" s="1"/>
  <c r="O27" i="8" s="1"/>
  <c r="N18" i="8"/>
  <c r="N19" i="8" s="1"/>
  <c r="N20" i="8" s="1"/>
  <c r="N21" i="8" s="1"/>
  <c r="N22" i="8" s="1"/>
  <c r="N23" i="8" s="1"/>
  <c r="N24" i="8" s="1"/>
  <c r="N25" i="8" s="1"/>
  <c r="N26" i="8" s="1"/>
  <c r="N27" i="8" s="1"/>
  <c r="M18" i="8"/>
  <c r="M19" i="8" s="1"/>
  <c r="M20" i="8" s="1"/>
  <c r="M21" i="8" s="1"/>
  <c r="M22" i="8" s="1"/>
  <c r="M23" i="8" s="1"/>
  <c r="M24" i="8" s="1"/>
  <c r="M25" i="8" s="1"/>
  <c r="M26" i="8" s="1"/>
  <c r="M27" i="8" s="1"/>
  <c r="K18" i="8"/>
  <c r="J18" i="8"/>
  <c r="X17" i="8"/>
  <c r="W17" i="8"/>
  <c r="V17" i="8"/>
  <c r="K17" i="8"/>
  <c r="J17" i="8"/>
  <c r="X16" i="8"/>
  <c r="W16" i="8"/>
  <c r="V16" i="8"/>
  <c r="P16" i="8"/>
  <c r="O16" i="8"/>
  <c r="N16" i="8"/>
  <c r="M16" i="8"/>
  <c r="K16" i="8"/>
  <c r="J16" i="8"/>
  <c r="X15" i="8"/>
  <c r="U15" i="8"/>
  <c r="T15" i="8"/>
  <c r="S15" i="8"/>
  <c r="P15" i="8"/>
  <c r="O15" i="8"/>
  <c r="N15" i="8"/>
  <c r="M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U14" i="8"/>
  <c r="T14" i="8"/>
  <c r="S14" i="8"/>
  <c r="P14" i="8"/>
  <c r="O14" i="8"/>
  <c r="N14" i="8"/>
  <c r="M14" i="8"/>
  <c r="L14" i="8"/>
  <c r="K14" i="8"/>
  <c r="J14" i="8"/>
  <c r="AB39" i="8" l="1"/>
  <c r="AB23" i="8"/>
  <c r="AB35" i="8"/>
  <c r="AB19" i="8"/>
  <c r="AA32" i="8"/>
  <c r="AA16" i="8"/>
  <c r="AB31" i="8"/>
  <c r="AA44" i="8"/>
  <c r="AA28" i="8"/>
  <c r="AB43" i="8"/>
  <c r="AB27" i="8"/>
  <c r="AA40" i="8"/>
  <c r="AA24" i="8"/>
  <c r="AA22" i="6"/>
  <c r="AB23" i="6"/>
  <c r="AA15" i="8"/>
  <c r="AB42" i="8"/>
  <c r="AB38" i="8"/>
  <c r="AB34" i="8"/>
  <c r="AB30" i="8"/>
  <c r="AB26" i="8"/>
  <c r="AB22" i="8"/>
  <c r="AB18" i="8"/>
  <c r="AB45" i="8"/>
  <c r="AB41" i="8"/>
  <c r="AB37" i="8"/>
  <c r="AB33" i="8"/>
  <c r="AB29" i="8"/>
  <c r="AB25" i="8"/>
  <c r="AB21" i="8"/>
  <c r="AB17" i="8"/>
  <c r="M27" i="4"/>
  <c r="W14" i="8"/>
  <c r="V15" i="8"/>
  <c r="W15" i="8"/>
  <c r="V14" i="8"/>
  <c r="Z14" i="8" l="1"/>
  <c r="X26" i="8" l="1"/>
  <c r="X25" i="8" s="1"/>
  <c r="X24" i="8" s="1"/>
  <c r="X23" i="8" s="1"/>
  <c r="X22" i="8" s="1"/>
  <c r="X21" i="8" s="1"/>
  <c r="Y15" i="8" s="1"/>
  <c r="Y16" i="8" s="1"/>
  <c r="Y17" i="8" s="1"/>
  <c r="Y18" i="8" s="1"/>
  <c r="Y19" i="8" s="1"/>
  <c r="Y20" i="8" s="1"/>
  <c r="X20" i="5" l="1"/>
  <c r="X19" i="5"/>
  <c r="X18" i="5"/>
  <c r="X17" i="5"/>
  <c r="X16" i="5"/>
  <c r="X15" i="5"/>
  <c r="X21" i="5"/>
  <c r="X14" i="5"/>
  <c r="N14" i="6"/>
  <c r="J14" i="6"/>
  <c r="L14" i="6"/>
  <c r="O14" i="6"/>
  <c r="P14" i="6"/>
  <c r="L34" i="6"/>
  <c r="K34" i="6"/>
  <c r="J34" i="6"/>
  <c r="I34" i="6"/>
  <c r="L33" i="6"/>
  <c r="K33" i="6"/>
  <c r="J33" i="6"/>
  <c r="I33" i="6"/>
  <c r="U22" i="6"/>
  <c r="U21" i="6"/>
  <c r="U20" i="6"/>
  <c r="U19" i="6"/>
  <c r="U18" i="6"/>
  <c r="P23" i="6"/>
  <c r="O23" i="6"/>
  <c r="N23" i="6"/>
  <c r="M23" i="6"/>
  <c r="P22" i="6"/>
  <c r="O22" i="6"/>
  <c r="N22" i="6"/>
  <c r="M22" i="6"/>
  <c r="P21" i="6"/>
  <c r="O21" i="6"/>
  <c r="N21" i="6"/>
  <c r="M21" i="6"/>
  <c r="L21" i="6"/>
  <c r="K21" i="6"/>
  <c r="J21" i="6"/>
  <c r="I21" i="6"/>
  <c r="P20" i="6"/>
  <c r="O20" i="6"/>
  <c r="N20" i="6"/>
  <c r="M20" i="6"/>
  <c r="L20" i="6"/>
  <c r="K20" i="6"/>
  <c r="J20" i="6"/>
  <c r="I20" i="6"/>
  <c r="P19" i="6"/>
  <c r="O19" i="6"/>
  <c r="N19" i="6"/>
  <c r="M19" i="6"/>
  <c r="L19" i="6"/>
  <c r="K19" i="6"/>
  <c r="J19" i="6"/>
  <c r="I19" i="6"/>
  <c r="P18" i="6"/>
  <c r="O18" i="6"/>
  <c r="N18" i="6"/>
  <c r="M18" i="6"/>
  <c r="L18" i="6"/>
  <c r="K18" i="6"/>
  <c r="J18" i="6"/>
  <c r="I18" i="6"/>
  <c r="V16" i="5"/>
  <c r="W16" i="5"/>
  <c r="V17" i="5"/>
  <c r="W17" i="5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V29" i="5"/>
  <c r="W29" i="5"/>
  <c r="V30" i="5"/>
  <c r="W30" i="5"/>
  <c r="V31" i="5"/>
  <c r="W31" i="5"/>
  <c r="V32" i="5"/>
  <c r="W32" i="5"/>
  <c r="V33" i="5"/>
  <c r="W33" i="5"/>
  <c r="V34" i="5"/>
  <c r="W34" i="5"/>
  <c r="V35" i="5"/>
  <c r="W35" i="5"/>
  <c r="V36" i="5"/>
  <c r="W36" i="5"/>
  <c r="V37" i="5"/>
  <c r="W37" i="5"/>
  <c r="V38" i="5"/>
  <c r="W38" i="5"/>
  <c r="V39" i="5"/>
  <c r="W39" i="5"/>
  <c r="V40" i="5"/>
  <c r="W40" i="5"/>
  <c r="V41" i="5"/>
  <c r="W41" i="5"/>
  <c r="V42" i="5"/>
  <c r="W42" i="5"/>
  <c r="V43" i="5"/>
  <c r="W43" i="5"/>
  <c r="V44" i="5"/>
  <c r="W44" i="5"/>
  <c r="V45" i="5"/>
  <c r="W45" i="5"/>
  <c r="U15" i="5"/>
  <c r="T15" i="5"/>
  <c r="S15" i="5"/>
  <c r="Q16" i="5"/>
  <c r="P16" i="5"/>
  <c r="O16" i="5"/>
  <c r="N16" i="5"/>
  <c r="M16" i="5"/>
  <c r="Q15" i="5"/>
  <c r="P15" i="5"/>
  <c r="O15" i="5"/>
  <c r="N15" i="5"/>
  <c r="M15" i="5"/>
  <c r="U14" i="5"/>
  <c r="T14" i="5"/>
  <c r="S14" i="5"/>
  <c r="Q14" i="5"/>
  <c r="P14" i="5"/>
  <c r="O14" i="5"/>
  <c r="N14" i="5"/>
  <c r="M14" i="5"/>
  <c r="L14" i="5"/>
  <c r="K14" i="5"/>
  <c r="J14" i="5"/>
  <c r="S14" i="4"/>
  <c r="T14" i="4"/>
  <c r="S15" i="4"/>
  <c r="T15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T33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1" i="4"/>
  <c r="T41" i="4"/>
  <c r="S42" i="4"/>
  <c r="T42" i="4"/>
  <c r="S43" i="4"/>
  <c r="T43" i="4"/>
  <c r="R13" i="4"/>
  <c r="Q13" i="4"/>
  <c r="P13" i="4"/>
  <c r="R12" i="4"/>
  <c r="T12" i="4" s="1"/>
  <c r="Q12" i="4"/>
  <c r="P12" i="4"/>
  <c r="M26" i="6"/>
  <c r="M25" i="6"/>
  <c r="O24" i="6"/>
  <c r="O29" i="6" s="1"/>
  <c r="N24" i="6"/>
  <c r="N25" i="6" s="1"/>
  <c r="K23" i="6"/>
  <c r="L22" i="6"/>
  <c r="L30" i="6" s="1"/>
  <c r="K22" i="6"/>
  <c r="K31" i="6" s="1"/>
  <c r="J22" i="6"/>
  <c r="J27" i="6" s="1"/>
  <c r="I22" i="6"/>
  <c r="I30" i="6" s="1"/>
  <c r="H20" i="6"/>
  <c r="H29" i="6" s="1"/>
  <c r="G20" i="6"/>
  <c r="G24" i="6" s="1"/>
  <c r="A19" i="6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K25" i="5"/>
  <c r="J25" i="5"/>
  <c r="K24" i="5"/>
  <c r="J24" i="5"/>
  <c r="K23" i="5"/>
  <c r="J23" i="5"/>
  <c r="K22" i="5"/>
  <c r="J22" i="5"/>
  <c r="G22" i="5"/>
  <c r="K21" i="5"/>
  <c r="J21" i="5"/>
  <c r="G21" i="5"/>
  <c r="K20" i="5"/>
  <c r="J20" i="5"/>
  <c r="K19" i="5"/>
  <c r="J19" i="5"/>
  <c r="P18" i="5"/>
  <c r="P19" i="5" s="1"/>
  <c r="P20" i="5" s="1"/>
  <c r="P21" i="5" s="1"/>
  <c r="P22" i="5" s="1"/>
  <c r="P23" i="5" s="1"/>
  <c r="P24" i="5" s="1"/>
  <c r="P25" i="5" s="1"/>
  <c r="P26" i="5" s="1"/>
  <c r="P27" i="5" s="1"/>
  <c r="O18" i="5"/>
  <c r="O19" i="5" s="1"/>
  <c r="O20" i="5" s="1"/>
  <c r="O21" i="5" s="1"/>
  <c r="O22" i="5" s="1"/>
  <c r="O23" i="5" s="1"/>
  <c r="O24" i="5" s="1"/>
  <c r="O25" i="5" s="1"/>
  <c r="O26" i="5" s="1"/>
  <c r="O27" i="5" s="1"/>
  <c r="N18" i="5"/>
  <c r="N19" i="5" s="1"/>
  <c r="N20" i="5" s="1"/>
  <c r="N21" i="5" s="1"/>
  <c r="N22" i="5" s="1"/>
  <c r="N23" i="5" s="1"/>
  <c r="N24" i="5" s="1"/>
  <c r="N25" i="5" s="1"/>
  <c r="N26" i="5" s="1"/>
  <c r="N27" i="5" s="1"/>
  <c r="M18" i="5"/>
  <c r="M19" i="5" s="1"/>
  <c r="M20" i="5" s="1"/>
  <c r="M21" i="5" s="1"/>
  <c r="M22" i="5" s="1"/>
  <c r="M23" i="5" s="1"/>
  <c r="M24" i="5" s="1"/>
  <c r="M25" i="5" s="1"/>
  <c r="M26" i="5" s="1"/>
  <c r="M27" i="5" s="1"/>
  <c r="K18" i="5"/>
  <c r="J18" i="5"/>
  <c r="G18" i="5"/>
  <c r="K17" i="5"/>
  <c r="J17" i="5"/>
  <c r="G17" i="5"/>
  <c r="K16" i="5"/>
  <c r="J16" i="5"/>
  <c r="G16" i="5"/>
  <c r="G15" i="5"/>
  <c r="G14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H17" i="5"/>
  <c r="G23" i="5"/>
  <c r="O34" i="6" l="1"/>
  <c r="O25" i="6"/>
  <c r="I23" i="6"/>
  <c r="J26" i="6"/>
  <c r="J23" i="6"/>
  <c r="O30" i="6"/>
  <c r="O26" i="6"/>
  <c r="O28" i="6"/>
  <c r="W15" i="5"/>
  <c r="Y15" i="5" s="1"/>
  <c r="Y16" i="5" s="1"/>
  <c r="Y17" i="5" s="1"/>
  <c r="Y18" i="5" s="1"/>
  <c r="Y19" i="5" s="1"/>
  <c r="Y20" i="5" s="1"/>
  <c r="S12" i="4"/>
  <c r="U23" i="4"/>
  <c r="P24" i="6"/>
  <c r="P28" i="6" s="1"/>
  <c r="O27" i="6"/>
  <c r="O31" i="6"/>
  <c r="J25" i="6"/>
  <c r="K28" i="6"/>
  <c r="O32" i="6"/>
  <c r="L28" i="6"/>
  <c r="O33" i="6"/>
  <c r="V12" i="4"/>
  <c r="S13" i="4"/>
  <c r="T13" i="4"/>
  <c r="X23" i="5"/>
  <c r="L26" i="6"/>
  <c r="L23" i="6"/>
  <c r="H22" i="6"/>
  <c r="L31" i="6"/>
  <c r="H28" i="6"/>
  <c r="H21" i="6"/>
  <c r="G23" i="6"/>
  <c r="K26" i="6"/>
  <c r="H30" i="6"/>
  <c r="K29" i="6"/>
  <c r="I27" i="6"/>
  <c r="K24" i="6"/>
  <c r="K27" i="6"/>
  <c r="L29" i="6"/>
  <c r="K32" i="6"/>
  <c r="L24" i="6"/>
  <c r="L27" i="6"/>
  <c r="L32" i="6"/>
  <c r="W14" i="5"/>
  <c r="X26" i="5"/>
  <c r="X25" i="5"/>
  <c r="V14" i="5"/>
  <c r="X24" i="5"/>
  <c r="X22" i="5"/>
  <c r="X27" i="5"/>
  <c r="V15" i="5"/>
  <c r="M27" i="6"/>
  <c r="N27" i="6"/>
  <c r="H21" i="5"/>
  <c r="H20" i="5"/>
  <c r="J29" i="6"/>
  <c r="J32" i="6"/>
  <c r="J28" i="6"/>
  <c r="J31" i="6"/>
  <c r="P26" i="6"/>
  <c r="P25" i="6"/>
  <c r="N26" i="6"/>
  <c r="H15" i="5"/>
  <c r="I31" i="6"/>
  <c r="G30" i="6"/>
  <c r="G25" i="6"/>
  <c r="G22" i="6"/>
  <c r="G29" i="6"/>
  <c r="G21" i="6"/>
  <c r="G26" i="6"/>
  <c r="H24" i="6"/>
  <c r="H25" i="6"/>
  <c r="H22" i="5"/>
  <c r="H19" i="5"/>
  <c r="H18" i="5"/>
  <c r="H14" i="5"/>
  <c r="I24" i="6"/>
  <c r="I32" i="6"/>
  <c r="I28" i="6"/>
  <c r="H16" i="5"/>
  <c r="H23" i="5"/>
  <c r="H27" i="6"/>
  <c r="H23" i="6"/>
  <c r="H26" i="6"/>
  <c r="J24" i="6"/>
  <c r="I25" i="6"/>
  <c r="I26" i="6"/>
  <c r="G27" i="6"/>
  <c r="G28" i="6"/>
  <c r="I29" i="6"/>
  <c r="J30" i="6"/>
  <c r="P32" i="6"/>
  <c r="G19" i="5"/>
  <c r="K25" i="6"/>
  <c r="K30" i="6"/>
  <c r="G20" i="5"/>
  <c r="L25" i="6"/>
  <c r="P34" i="6" l="1"/>
  <c r="P27" i="6"/>
  <c r="P33" i="6"/>
  <c r="Z14" i="5"/>
  <c r="P30" i="6"/>
  <c r="P31" i="6"/>
  <c r="P29" i="6"/>
  <c r="M28" i="6"/>
  <c r="N28" i="6"/>
  <c r="M29" i="6" l="1"/>
  <c r="N29" i="6"/>
  <c r="N30" i="6" l="1"/>
  <c r="M30" i="6"/>
  <c r="N31" i="6" l="1"/>
  <c r="M31" i="6"/>
  <c r="M32" i="6" l="1"/>
  <c r="N32" i="6"/>
  <c r="M33" i="6" l="1"/>
  <c r="N33" i="6"/>
  <c r="M34" i="6" l="1"/>
  <c r="N3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tc={EA5318E0-A6B7-47C5-AF69-569FD6A25E4C}</author>
    <author>tc={FBFC49E9-9320-4B9E-A83E-E462CF028C77}</author>
  </authors>
  <commentList>
    <comment ref="U10" authorId="0" shapeId="0" xr:uid="{EA5318E0-A6B7-47C5-AF69-569FD6A25E4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Values from Tables 150 &amp; 29, Trend interpolated from Figure 163</t>
      </text>
    </comment>
    <comment ref="V10" authorId="1" shapeId="0" xr:uid="{FBFC49E9-9320-4B9E-A83E-E462CF028C7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CPUC 2023 IRP Inputs &amp; Assumptions, Workbook “CPUC IRP Resource Cost &amp; Build - Draft 2023 I&amp;A - v2.xlsx”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tc={BE25A939-C21C-4883-8B08-3D0D087E6E2D}</author>
    <author>tc={80DA777C-B5CA-4079-94DF-6700A6F623A2}</author>
  </authors>
  <commentList>
    <comment ref="Z12" authorId="0" shapeId="0" xr:uid="{BE25A939-C21C-4883-8B08-3D0D087E6E2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CPUC 2023 IRP Inputs &amp; Assumptions, Workbook “CPUC IRP Resource Cost &amp; Build - Draft 2023 I&amp;A - v2.xlsx” </t>
      </text>
    </comment>
    <comment ref="Y13" authorId="1" shapeId="0" xr:uid="{80DA777C-B5CA-4079-94DF-6700A6F623A2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from Figure 162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tc={3AB93559-0239-4857-A659-F61B8121A6F6}</author>
  </authors>
  <commentList>
    <comment ref="Z12" authorId="0" shapeId="0" xr:uid="{3AB93559-0239-4857-A659-F61B8121A6F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CPUC 2023 IRP Inputs &amp; Assumptions, Workbook “CPUC IRP Resource Cost &amp; Build - Draft 2023 I&amp;A - v2.xlsx”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tc={204C2EF7-F29E-4AAB-9DE3-5E73CE8B7D1E}</author>
    <author>tc={3B91C452-E1A1-44D4-8FBE-7BB481161359}</author>
  </authors>
  <commentList>
    <comment ref="S15" authorId="0" shapeId="0" xr:uid="{204C2EF7-F29E-4AAB-9DE3-5E73CE8B7D1E}">
      <text>
        <t>[Threaded comment]
Your version of Excel allows you to read this threaded comment; however, any edits to it will get removed if the file is opened in a newer version of Excel. Learn more: https://go.microsoft.com/fwlink/?linkid=870924
Comment:
    CPUC 2023 IRP Inputs &amp; Assumptions, Workbook “CPUC IRP Resource Cost &amp; Build - Draft 2023 I&amp;A - v2.xlsx”</t>
      </text>
    </comment>
    <comment ref="AD15" authorId="1" shapeId="0" xr:uid="{3B91C452-E1A1-44D4-8FBE-7BB48116135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Values from Tables 33 &amp; 154, interpolations estimated from Figure 165</t>
      </text>
    </comment>
  </commentList>
</comments>
</file>

<file path=xl/sharedStrings.xml><?xml version="1.0" encoding="utf-8"?>
<sst xmlns="http://schemas.openxmlformats.org/spreadsheetml/2006/main" count="281" uniqueCount="78">
  <si>
    <t>Sheet Name</t>
  </si>
  <si>
    <t>Description</t>
  </si>
  <si>
    <t>Fig 7.3 PV COMP</t>
  </si>
  <si>
    <t>Comparison of Solar PV capital cost assumptions between PAC's 2021 &amp; 2023 IRPs, PGE's 2023 IRP, CPUC's 2023 IRP, and NREL ATB 2023</t>
  </si>
  <si>
    <t>Fig 7.4 OSW Wind COMP</t>
  </si>
  <si>
    <t>Comparison of Offshore Wind capital cost assumptions between PAC's 2023 IRP, PGE's 2023 IRP, CPUC's 2023 IRP, and NREL ATB 2023</t>
  </si>
  <si>
    <t>Fig 7.4 Wind COMP</t>
  </si>
  <si>
    <t>Comparison of Land-based Wind capital cost assumptions between PAC's 2021 &amp; 2023 IRPs, PGE's 2023 IRP, CPUC's 2023 IRP, and NREL ATB 2023</t>
  </si>
  <si>
    <t>Fig 7.5 LI Storage COMP</t>
  </si>
  <si>
    <t>Comparison of Land-based Wind capital cost assumptions between PAC's 2021 &amp; 2023 IRPs, PGE's 2023 IRP, CPUC's 2023 IRP,  NREL ATB 2023, and a 2023 NREL study</t>
  </si>
  <si>
    <t>SAT PV</t>
  </si>
  <si>
    <t>IRP Year</t>
  </si>
  <si>
    <t>State</t>
  </si>
  <si>
    <t>Base Capital</t>
  </si>
  <si>
    <t>UT</t>
  </si>
  <si>
    <t>Original Data</t>
  </si>
  <si>
    <t>Comparison Data</t>
  </si>
  <si>
    <t>PGE 2023 IRP</t>
  </si>
  <si>
    <t>OR</t>
  </si>
  <si>
    <t>2023 ATB, NREL (2023)</t>
  </si>
  <si>
    <t>https://data.openei.org/files/5865/2023_v2_Workbook_07_20_23.xlsx</t>
  </si>
  <si>
    <t>Forecasts</t>
  </si>
  <si>
    <t>2017 IRP</t>
  </si>
  <si>
    <t>2018 IRP</t>
  </si>
  <si>
    <t>2019 IRP</t>
  </si>
  <si>
    <t>2021 IRP</t>
  </si>
  <si>
    <t>2023 IRP</t>
  </si>
  <si>
    <t>2023 ATB - Adv</t>
  </si>
  <si>
    <t>2023 ATB</t>
  </si>
  <si>
    <t>2023 ATB - Con</t>
  </si>
  <si>
    <t>CPUC 2023 IRP</t>
  </si>
  <si>
    <t>Year</t>
  </si>
  <si>
    <t>UT 200MW</t>
  </si>
  <si>
    <t>OR 200MW</t>
  </si>
  <si>
    <t>OR 200 MW</t>
  </si>
  <si>
    <t>Advanced</t>
  </si>
  <si>
    <t>Moderate</t>
  </si>
  <si>
    <t>Conservative</t>
  </si>
  <si>
    <t>Neg Error</t>
  </si>
  <si>
    <t>Pos Error</t>
  </si>
  <si>
    <t>Wind</t>
  </si>
  <si>
    <t>WY</t>
  </si>
  <si>
    <t>PGE Interpolation</t>
  </si>
  <si>
    <t>OSW 200MW</t>
  </si>
  <si>
    <t>OSW 1GW</t>
  </si>
  <si>
    <t>Neg</t>
  </si>
  <si>
    <t>Pos</t>
  </si>
  <si>
    <t>Estimate</t>
  </si>
  <si>
    <t>Interpolation</t>
  </si>
  <si>
    <t>From "CPUC IRP Resource Cost &amp; Build - Draft 2023 I&amp;A - v2.xlsx"</t>
  </si>
  <si>
    <t>Floating Offshore Wind - Class 11</t>
  </si>
  <si>
    <t>Floating Offshore Wind - Class 8</t>
  </si>
  <si>
    <t>Floating Offshore Wind - Morro Bay</t>
  </si>
  <si>
    <t>Floating Offshore Wind - Diablo Canyon</t>
  </si>
  <si>
    <t>Floating Offshore Wind - Humboldt</t>
  </si>
  <si>
    <t>Floating Offshore Wind - Cape Mendocino</t>
  </si>
  <si>
    <t>Floating Offshore Wind - Del Norte</t>
  </si>
  <si>
    <t>Li-Ion Battery</t>
  </si>
  <si>
    <t>Flow Battery</t>
  </si>
  <si>
    <t>MW</t>
  </si>
  <si>
    <t>MWh</t>
  </si>
  <si>
    <t>Battery</t>
  </si>
  <si>
    <t>Tech</t>
  </si>
  <si>
    <t>Li-Ion NCM</t>
  </si>
  <si>
    <t>Flow</t>
  </si>
  <si>
    <t>Wesley Cole and Akash Karmakar, Cost Projections for Utility-Scale Battery Storage: 2023 Update, NREL (June 2023)</t>
  </si>
  <si>
    <t>2021 IRP (NCM)</t>
  </si>
  <si>
    <t>https://www.nrel.gov/docs/fy23osti/85332.pdf</t>
  </si>
  <si>
    <t>ATB Battery Energy Costs ($/kW)</t>
  </si>
  <si>
    <t>2023 CPUC IRP</t>
  </si>
  <si>
    <t>2023 NREL study</t>
  </si>
  <si>
    <t>2023 PGE IRP</t>
  </si>
  <si>
    <t>Li-ion NCM</t>
  </si>
  <si>
    <t>Li-Ion LFP</t>
  </si>
  <si>
    <t>4-hour</t>
  </si>
  <si>
    <t>8-hour</t>
  </si>
  <si>
    <t>Li-ion</t>
  </si>
  <si>
    <t>Utility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</si>
</sst>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m/d/yyyy\ hh:mm"/>
    <numFmt numFmtId="167" formatCode="0.0%"/>
    <numFmt numFmtId="168" formatCode="0.000%"/>
  </numFmts>
  <fonts count="3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color theme="0"/>
      <name val="Arial"/>
      <family val="2"/>
    </font>
    <font>
      <b/>
      <i/>
      <u/>
      <sz val="9"/>
      <color theme="9"/>
      <name val="Arial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E85F3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9C0006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9C5700"/>
      <name val="Calibri"/>
      <family val="2"/>
      <scheme val="minor"/>
    </font>
    <font>
      <b/>
      <i/>
      <sz val="9"/>
      <color theme="6" tint="-0.2499465926084170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22"/>
      <color theme="3"/>
      <name val="Calibri"/>
      <family val="2"/>
      <scheme val="maj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0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50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</patternFill>
    </fill>
  </fills>
  <borders count="29"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3" tint="0.39994506668294322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>
      <alignment vertical="center"/>
    </xf>
    <xf numFmtId="0" fontId="13" fillId="15" borderId="11" applyNumberFormat="0">
      <alignment vertical="center"/>
    </xf>
    <xf numFmtId="0" fontId="10" fillId="16" borderId="6" applyNumberFormat="0">
      <alignment vertical="center"/>
    </xf>
    <xf numFmtId="0" fontId="12" fillId="0" borderId="6" applyNumberFormat="0">
      <alignment vertical="center"/>
    </xf>
    <xf numFmtId="0" fontId="10" fillId="10" borderId="6" applyAlignment="0">
      <alignment horizontal="left"/>
    </xf>
    <xf numFmtId="9" fontId="11" fillId="0" borderId="0" applyFont="0" applyFill="0" applyBorder="0" applyAlignment="0" applyProtection="0">
      <protection locked="0"/>
    </xf>
    <xf numFmtId="43" fontId="11" fillId="0" borderId="0" applyFont="0" applyFill="0" applyBorder="0" applyAlignment="0" applyProtection="0">
      <protection locked="0"/>
    </xf>
    <xf numFmtId="0" fontId="14" fillId="11" borderId="6" applyNumberFormat="0" applyProtection="0">
      <alignment vertical="center"/>
    </xf>
    <xf numFmtId="44" fontId="10" fillId="0" borderId="0" applyFont="0" applyFill="0" applyBorder="0" applyAlignment="0" applyProtection="0">
      <protection locked="0"/>
    </xf>
    <xf numFmtId="0" fontId="28" fillId="0" borderId="10" applyNumberFormat="0" applyAlignment="0"/>
    <xf numFmtId="0" fontId="15" fillId="0" borderId="7" applyNumberFormat="0" applyAlignment="0"/>
    <xf numFmtId="0" fontId="7" fillId="0" borderId="10" applyNumberFormat="0" applyAlignment="0">
      <alignment vertical="center"/>
    </xf>
    <xf numFmtId="0" fontId="8" fillId="0" borderId="8" applyNumberFormat="0" applyAlignment="0"/>
    <xf numFmtId="0" fontId="27" fillId="0" borderId="9" applyNumberFormat="0" applyAlignment="0"/>
    <xf numFmtId="0" fontId="22" fillId="2" borderId="0" applyNumberFormat="0" applyBorder="0" applyProtection="0">
      <alignment vertical="center"/>
    </xf>
    <xf numFmtId="0" fontId="21" fillId="3" borderId="0" applyNumberFormat="0" applyBorder="0" applyProtection="0">
      <alignment vertical="center"/>
    </xf>
    <xf numFmtId="0" fontId="23" fillId="4" borderId="0" applyNumberFormat="0" applyBorder="0" applyProtection="0">
      <alignment vertical="center"/>
    </xf>
    <xf numFmtId="0" fontId="16" fillId="8" borderId="6" applyNumberFormat="0">
      <alignment vertical="center"/>
    </xf>
    <xf numFmtId="0" fontId="17" fillId="7" borderId="6" applyNumberFormat="0">
      <alignment vertical="center"/>
    </xf>
    <xf numFmtId="0" fontId="17" fillId="9" borderId="6" applyNumberFormat="0">
      <alignment vertical="center"/>
    </xf>
    <xf numFmtId="0" fontId="19" fillId="0" borderId="3" applyNumberFormat="0">
      <alignment vertical="center"/>
    </xf>
    <xf numFmtId="0" fontId="18" fillId="5" borderId="4" applyNumberFormat="0">
      <alignment vertical="center"/>
    </xf>
    <xf numFmtId="0" fontId="24" fillId="0" borderId="0" applyNumberFormat="0" applyFill="0" applyBorder="0">
      <alignment vertical="center"/>
    </xf>
    <xf numFmtId="0" fontId="20" fillId="12" borderId="6" applyNumberFormat="0">
      <alignment vertical="center"/>
    </xf>
    <xf numFmtId="0" fontId="26" fillId="0" borderId="0" applyNumberFormat="0" applyFill="0" applyBorder="0" applyAlignment="0"/>
    <xf numFmtId="0" fontId="25" fillId="0" borderId="12" applyNumberFormat="0">
      <alignment vertical="center"/>
    </xf>
    <xf numFmtId="166" fontId="10" fillId="0" borderId="0" applyFont="0" applyFill="0" applyBorder="0" applyProtection="0">
      <alignment vertical="center"/>
      <protection locked="0"/>
    </xf>
    <xf numFmtId="0" fontId="17" fillId="14" borderId="6" applyNumberFormat="0">
      <alignment vertical="center"/>
    </xf>
    <xf numFmtId="0" fontId="16" fillId="13" borderId="6" applyNumberFormat="0">
      <alignment vertical="center"/>
    </xf>
    <xf numFmtId="0" fontId="2" fillId="0" borderId="0"/>
    <xf numFmtId="0" fontId="10" fillId="0" borderId="0">
      <alignment vertical="center"/>
    </xf>
    <xf numFmtId="44" fontId="2" fillId="0" borderId="0" applyFont="0" applyFill="0" applyBorder="0" applyAlignment="0" applyProtection="0"/>
    <xf numFmtId="0" fontId="2" fillId="6" borderId="5" applyNumberFormat="0" applyFont="0" applyAlignment="0" applyProtection="0"/>
    <xf numFmtId="0" fontId="9" fillId="19" borderId="14" applyNumberFormat="0" applyBorder="0">
      <alignment horizontal="center" vertical="center" wrapText="1"/>
    </xf>
    <xf numFmtId="0" fontId="31" fillId="20" borderId="16">
      <alignment vertical="center"/>
    </xf>
    <xf numFmtId="0" fontId="2" fillId="0" borderId="0"/>
  </cellStyleXfs>
  <cellXfs count="83">
    <xf numFmtId="0" fontId="0" fillId="0" borderId="0" xfId="0"/>
    <xf numFmtId="44" fontId="3" fillId="0" borderId="0" xfId="0" applyNumberFormat="1" applyFont="1"/>
    <xf numFmtId="44" fontId="3" fillId="0" borderId="0" xfId="0" applyNumberFormat="1" applyFont="1" applyAlignment="1">
      <alignment horizontal="right"/>
    </xf>
    <xf numFmtId="10" fontId="3" fillId="0" borderId="0" xfId="0" applyNumberFormat="1" applyFont="1"/>
    <xf numFmtId="10" fontId="3" fillId="0" borderId="1" xfId="0" applyNumberFormat="1" applyFont="1" applyBorder="1"/>
    <xf numFmtId="10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44" fontId="3" fillId="0" borderId="0" xfId="0" applyNumberFormat="1" applyFont="1" applyAlignment="1">
      <alignment horizontal="left"/>
    </xf>
    <xf numFmtId="9" fontId="3" fillId="0" borderId="0" xfId="0" applyNumberFormat="1" applyFont="1"/>
    <xf numFmtId="44" fontId="0" fillId="0" borderId="0" xfId="0" applyNumberFormat="1"/>
    <xf numFmtId="165" fontId="30" fillId="18" borderId="15" xfId="34" applyNumberFormat="1" applyFont="1" applyFill="1" applyBorder="1"/>
    <xf numFmtId="0" fontId="29" fillId="17" borderId="13" xfId="32" applyFont="1" applyFill="1" applyBorder="1" applyAlignment="1">
      <alignment horizontal="center" vertical="center"/>
    </xf>
    <xf numFmtId="167" fontId="0" fillId="0" borderId="0" xfId="2" applyNumberFormat="1" applyFont="1"/>
    <xf numFmtId="8" fontId="0" fillId="0" borderId="0" xfId="0" applyNumberFormat="1"/>
    <xf numFmtId="0" fontId="33" fillId="0" borderId="0" xfId="0" applyFont="1"/>
    <xf numFmtId="0" fontId="0" fillId="0" borderId="17" xfId="0" applyBorder="1"/>
    <xf numFmtId="0" fontId="0" fillId="0" borderId="23" xfId="0" applyBorder="1"/>
    <xf numFmtId="44" fontId="3" fillId="0" borderId="23" xfId="0" applyNumberFormat="1" applyFont="1" applyBorder="1"/>
    <xf numFmtId="0" fontId="0" fillId="0" borderId="24" xfId="0" applyBorder="1"/>
    <xf numFmtId="0" fontId="0" fillId="0" borderId="21" xfId="0" applyBorder="1"/>
    <xf numFmtId="0" fontId="0" fillId="0" borderId="19" xfId="0" applyBorder="1"/>
    <xf numFmtId="44" fontId="3" fillId="0" borderId="21" xfId="0" applyNumberFormat="1" applyFont="1" applyBorder="1" applyAlignment="1">
      <alignment horizontal="right"/>
    </xf>
    <xf numFmtId="9" fontId="3" fillId="0" borderId="0" xfId="2" applyFont="1" applyBorder="1"/>
    <xf numFmtId="9" fontId="3" fillId="0" borderId="21" xfId="2" applyFont="1" applyBorder="1"/>
    <xf numFmtId="0" fontId="0" fillId="0" borderId="18" xfId="0" applyBorder="1"/>
    <xf numFmtId="0" fontId="0" fillId="0" borderId="7" xfId="0" applyBorder="1"/>
    <xf numFmtId="44" fontId="3" fillId="0" borderId="7" xfId="0" applyNumberFormat="1" applyFont="1" applyBorder="1"/>
    <xf numFmtId="0" fontId="0" fillId="0" borderId="20" xfId="0" applyBorder="1"/>
    <xf numFmtId="0" fontId="34" fillId="0" borderId="23" xfId="0" applyFont="1" applyBorder="1" applyAlignment="1">
      <alignment vertical="center"/>
    </xf>
    <xf numFmtId="0" fontId="34" fillId="0" borderId="0" xfId="0" applyFont="1" applyAlignment="1">
      <alignment vertical="center"/>
    </xf>
    <xf numFmtId="2" fontId="3" fillId="0" borderId="28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/>
    </xf>
    <xf numFmtId="0" fontId="1" fillId="0" borderId="0" xfId="0" applyFont="1"/>
    <xf numFmtId="0" fontId="35" fillId="0" borderId="0" xfId="0" applyFont="1"/>
    <xf numFmtId="0" fontId="32" fillId="0" borderId="0" xfId="0" applyFont="1"/>
    <xf numFmtId="44" fontId="3" fillId="0" borderId="19" xfId="0" applyNumberFormat="1" applyFont="1" applyBorder="1" applyAlignment="1">
      <alignment horizontal="right"/>
    </xf>
    <xf numFmtId="44" fontId="32" fillId="0" borderId="0" xfId="0" applyNumberFormat="1" applyFont="1"/>
    <xf numFmtId="165" fontId="0" fillId="0" borderId="0" xfId="1" applyNumberFormat="1" applyFont="1" applyBorder="1"/>
    <xf numFmtId="164" fontId="32" fillId="0" borderId="0" xfId="0" applyNumberFormat="1" applyFont="1"/>
    <xf numFmtId="9" fontId="3" fillId="0" borderId="19" xfId="2" applyFont="1" applyBorder="1"/>
    <xf numFmtId="44" fontId="0" fillId="0" borderId="7" xfId="0" applyNumberFormat="1" applyBorder="1"/>
    <xf numFmtId="165" fontId="0" fillId="0" borderId="0" xfId="0" applyNumberFormat="1"/>
    <xf numFmtId="1" fontId="32" fillId="0" borderId="0" xfId="0" applyNumberFormat="1" applyFont="1"/>
    <xf numFmtId="10" fontId="3" fillId="0" borderId="19" xfId="0" applyNumberFormat="1" applyFont="1" applyBorder="1"/>
    <xf numFmtId="0" fontId="1" fillId="0" borderId="17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19" xfId="0" applyFont="1" applyBorder="1"/>
    <xf numFmtId="0" fontId="1" fillId="0" borderId="21" xfId="0" applyFont="1" applyBorder="1"/>
    <xf numFmtId="164" fontId="1" fillId="0" borderId="21" xfId="0" applyNumberFormat="1" applyFont="1" applyBorder="1"/>
    <xf numFmtId="164" fontId="1" fillId="0" borderId="0" xfId="0" applyNumberFormat="1" applyFont="1"/>
    <xf numFmtId="9" fontId="1" fillId="0" borderId="0" xfId="0" applyNumberFormat="1" applyFont="1"/>
    <xf numFmtId="168" fontId="1" fillId="0" borderId="0" xfId="0" applyNumberFormat="1" applyFont="1"/>
    <xf numFmtId="0" fontId="1" fillId="0" borderId="18" xfId="0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20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/>
    </xf>
    <xf numFmtId="2" fontId="3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5" fillId="0" borderId="0" xfId="0" applyFont="1" applyAlignment="1"/>
    <xf numFmtId="164" fontId="1" fillId="0" borderId="19" xfId="0" applyNumberFormat="1" applyFont="1" applyBorder="1"/>
    <xf numFmtId="0" fontId="5" fillId="0" borderId="26" xfId="0" applyFont="1" applyBorder="1" applyAlignment="1"/>
    <xf numFmtId="0" fontId="5" fillId="0" borderId="27" xfId="0" applyFont="1" applyBorder="1" applyAlignment="1"/>
  </cellXfs>
  <cellStyles count="39">
    <cellStyle name="Bad 2" xfId="18" xr:uid="{51DBD828-619B-4753-AACF-1B15EA66F6FD}"/>
    <cellStyle name="Calculation 2" xfId="22" xr:uid="{31BA0F0B-AA6E-43A8-B6AB-EDAE357DD15C}"/>
    <cellStyle name="Calculation with Different Formula" xfId="30" xr:uid="{42C90A91-431A-4FA0-A6D3-442F30D9FD10}"/>
    <cellStyle name="Check Cell 2" xfId="24" xr:uid="{AB23EF51-A947-42B3-8985-FE171CF071BC}"/>
    <cellStyle name="Comma 2" xfId="9" xr:uid="{D32CB227-6869-4151-B19E-F964AB26B884}"/>
    <cellStyle name="Currency" xfId="1" builtinId="4"/>
    <cellStyle name="Currency 2" xfId="34" xr:uid="{CDBA26DE-0635-43A8-B005-B8AF6A8DC7E2}"/>
    <cellStyle name="Currency 3" xfId="11" xr:uid="{53830D14-9235-4C09-A0EC-3D122A91E805}"/>
    <cellStyle name="Datetime Format" xfId="29" xr:uid="{B74AC98F-DE7E-4A46-BF3D-22B84E7AEC33}"/>
    <cellStyle name="Dropdown Input" xfId="31" xr:uid="{6F018931-49C8-403A-9275-3A9EE312451B}"/>
    <cellStyle name="Explanatory Text 2" xfId="27" xr:uid="{BCA8DB76-5CBB-424F-B264-B60E91053C67}"/>
    <cellStyle name="Good 2" xfId="17" xr:uid="{94329836-DFFE-4BF2-9080-9E866D78417B}"/>
    <cellStyle name="Heading" xfId="36" xr:uid="{B49A89DF-9A0C-453A-8ED3-0E58E474EADD}"/>
    <cellStyle name="Heading 1 2" xfId="13" xr:uid="{EB68E363-862F-4251-82D3-A80284EA6BDB}"/>
    <cellStyle name="Heading 2 2" xfId="14" xr:uid="{B6CB31D6-197D-4256-8B0D-A0F26BA857D9}"/>
    <cellStyle name="Heading 3 2" xfId="15" xr:uid="{DE2ABE58-E79B-4D2E-83E5-65EF1BE9CD25}"/>
    <cellStyle name="Heading 4 2" xfId="16" xr:uid="{4ADCBE5B-297D-439A-AC17-267AE8A2B6B3}"/>
    <cellStyle name="Hidden Header" xfId="37" xr:uid="{E589EBA2-45D6-46B9-BCCF-BA751B5BCFB5}"/>
    <cellStyle name="Hyperlink" xfId="10" builtinId="8" customBuiltin="1"/>
    <cellStyle name="Input 2" xfId="20" xr:uid="{50A28F9F-FEA9-4EDD-8ABF-5540FA4B532F}"/>
    <cellStyle name="Linked Cell 2" xfId="23" xr:uid="{097C739B-F2B0-44E4-BB97-79AA003EB58B}"/>
    <cellStyle name="Neutral 2" xfId="19" xr:uid="{60CDB1BA-8482-458D-827D-3F1F8D13CEDB}"/>
    <cellStyle name="Normal" xfId="0" builtinId="0"/>
    <cellStyle name="Normal 2" xfId="32" xr:uid="{BF3871F3-2F23-463B-B723-5DA959D3805A}"/>
    <cellStyle name="Normal 3" xfId="38" xr:uid="{6AC57369-726F-4323-8C54-61A4747FF933}"/>
    <cellStyle name="Normal 4" xfId="3" xr:uid="{8630B26F-1EFA-4042-91E8-6B0726698C58}"/>
    <cellStyle name="Normal 7" xfId="33" xr:uid="{40F7D607-5DAD-4EDC-84E0-A7018BAE1FA6}"/>
    <cellStyle name="Note 2" xfId="35" xr:uid="{CC252783-435F-46F4-9B00-241C854E99F5}"/>
    <cellStyle name="Note 3" xfId="26" xr:uid="{54AEC3B8-0E10-445A-AD8C-95EA5F41412C}"/>
    <cellStyle name="Output 2" xfId="21" xr:uid="{64AAAD9D-7A02-47FF-A873-C3688AB9728A}"/>
    <cellStyle name="Percent" xfId="2" builtinId="5"/>
    <cellStyle name="Percent 2" xfId="8" xr:uid="{538F3DFD-93C3-4B9B-9B51-8436DC01D835}"/>
    <cellStyle name="Table Header" xfId="4" xr:uid="{F5054D3D-C0FB-4B34-B7F9-123E4142E540}"/>
    <cellStyle name="Table Index" xfId="5" xr:uid="{E773F5D4-8748-443C-A532-458A583CCBC5}"/>
    <cellStyle name="Table Sub-Header" xfId="7" xr:uid="{EAFE6041-3087-4765-BEB1-0B1FCBEAFBB1}"/>
    <cellStyle name="Table Value" xfId="6" xr:uid="{4DCBCC9F-BAB5-4CEA-A8C1-20E99862FE4C}"/>
    <cellStyle name="Title 2" xfId="12" xr:uid="{6641C24B-2B0C-4E6D-AF45-923813E15874}"/>
    <cellStyle name="Total 2" xfId="28" xr:uid="{141E13ED-5FA2-4013-A045-20F17989169B}"/>
    <cellStyle name="Warning Text 2" xfId="25" xr:uid="{92192832-1896-4AAB-90B4-2B93722D21D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A125255-F8B4-477E-B07A-9D108A792829}">
      <tableStyleElement type="wholeTable" dxfId="1"/>
      <tableStyleElement type="headerRow" dxfId="0"/>
    </tableStyle>
  </tableStyles>
  <colors>
    <mruColors>
      <color rgb="FF97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Utility-Scale</a:t>
            </a:r>
            <a:r>
              <a:rPr lang="en-US" sz="1400" b="0" i="0" baseline="0">
                <a:solidFill>
                  <a:srgbClr val="757575"/>
                </a:solidFill>
                <a:latin typeface="+mn-lt"/>
              </a:rPr>
              <a:t> Solar PV Overnight Capital Cost Forecasts</a:t>
            </a:r>
            <a:endParaRPr lang="en-US" sz="1400" b="0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58544349872309"/>
          <c:y val="9.5253934065416712E-2"/>
          <c:w val="0.82894017558150057"/>
          <c:h val="0.74218659887245031"/>
        </c:manualLayout>
      </c:layout>
      <c:lineChart>
        <c:grouping val="standard"/>
        <c:varyColors val="1"/>
        <c:ser>
          <c:idx val="4"/>
          <c:order val="0"/>
          <c:tx>
            <c:v>2021 IRP UT</c:v>
          </c:tx>
          <c:spPr>
            <a:ln w="19050" cmpd="sng">
              <a:solidFill>
                <a:srgbClr val="FF0000">
                  <a:alpha val="100000"/>
                </a:srgbClr>
              </a:solidFill>
              <a:prstDash val="lgDash"/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cat>
            <c:numRef>
              <c:f>'Fig 7.3 PV COMP'!$A$12:$A$25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7.3 PV COMP'!$K$12:$K$23</c:f>
              <c:numCache>
                <c:formatCode>_("$"* #,##0.00_);_("$"* \(#,##0.00\);_("$"* "-"??_);_(@_)</c:formatCode>
                <c:ptCount val="12"/>
                <c:pt idx="0">
                  <c:v>#N/A</c:v>
                </c:pt>
                <c:pt idx="1">
                  <c:v>1297.2</c:v>
                </c:pt>
                <c:pt idx="2">
                  <c:v>1247.6368772283006</c:v>
                </c:pt>
                <c:pt idx="3">
                  <c:v>1198.0737544566009</c:v>
                </c:pt>
                <c:pt idx="4">
                  <c:v>1148.5106316849015</c:v>
                </c:pt>
                <c:pt idx="5">
                  <c:v>1098.9475089132018</c:v>
                </c:pt>
                <c:pt idx="6">
                  <c:v>1049.3843861415023</c:v>
                </c:pt>
                <c:pt idx="7">
                  <c:v>999.82126336980275</c:v>
                </c:pt>
                <c:pt idx="8">
                  <c:v>950.25814059810318</c:v>
                </c:pt>
                <c:pt idx="9">
                  <c:v>900.6950178264035</c:v>
                </c:pt>
                <c:pt idx="10">
                  <c:v>851.13189505470405</c:v>
                </c:pt>
                <c:pt idx="11">
                  <c:v>801.56877228300482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42-444F-900C-1FA9FE2CB699}"/>
            </c:ext>
          </c:extLst>
        </c:ser>
        <c:ser>
          <c:idx val="5"/>
          <c:order val="1"/>
          <c:tx>
            <c:v>2023 IRP UT</c:v>
          </c:tx>
          <c:spPr>
            <a:ln w="19050" cmpd="sng">
              <a:solidFill>
                <a:srgbClr val="0070C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70C0">
                  <a:alpha val="100000"/>
                </a:srgbClr>
              </a:solidFill>
              <a:ln cmpd="sng">
                <a:solidFill>
                  <a:srgbClr val="0070C0">
                    <a:alpha val="100000"/>
                  </a:srgbClr>
                </a:solidFill>
              </a:ln>
            </c:spPr>
          </c:marker>
          <c:cat>
            <c:numRef>
              <c:f>'Fig 7.3 PV COMP'!$A$12:$A$25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7.3 PV COMP'!$M$12:$M$25</c:f>
              <c:numCache>
                <c:formatCode>_("$"* #,##0.00_);_("$"* \(#,##0.00\);_("$"* "-"??_);_(@_)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1140.3900000000001</c:v>
                </c:pt>
                <c:pt idx="4">
                  <c:v>1533.4318518992925</c:v>
                </c:pt>
                <c:pt idx="5">
                  <c:v>1533.4318518992925</c:v>
                </c:pt>
                <c:pt idx="6">
                  <c:v>1533.4318518992925</c:v>
                </c:pt>
                <c:pt idx="7">
                  <c:v>1533.4318518992925</c:v>
                </c:pt>
                <c:pt idx="8">
                  <c:v>1533.4318518992925</c:v>
                </c:pt>
                <c:pt idx="9">
                  <c:v>1533.4318518992925</c:v>
                </c:pt>
                <c:pt idx="10">
                  <c:v>1455.0462948102868</c:v>
                </c:pt>
                <c:pt idx="11">
                  <c:v>1376.6607377212811</c:v>
                </c:pt>
                <c:pt idx="12">
                  <c:v>1298.2751806322754</c:v>
                </c:pt>
                <c:pt idx="13">
                  <c:v>1219.8896235432694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42-444F-900C-1FA9FE2CB699}"/>
            </c:ext>
          </c:extLst>
        </c:ser>
        <c:ser>
          <c:idx val="6"/>
          <c:order val="2"/>
          <c:tx>
            <c:strRef>
              <c:f>'Fig 7.3 PV COMP'!$Q$10</c:f>
              <c:strCache>
                <c:ptCount val="1"/>
                <c:pt idx="0">
                  <c:v>2023 ATB</c:v>
                </c:pt>
              </c:strCache>
            </c:strRef>
          </c:tx>
          <c:spPr>
            <a:ln cmpd="sng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 w="12700" cmpd="sng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7.3 PV COMP'!$T$12:$T$55</c:f>
                <c:numCache>
                  <c:formatCode>_("$"* #,##0.00_);_("$"* \(#,##0.00\);_("$"* "-"??_);_(@_)</c:formatCode>
                  <c:ptCount val="44"/>
                  <c:pt idx="0">
                    <c:v>#N/A</c:v>
                  </c:pt>
                  <c:pt idx="1">
                    <c:v>#N/A</c:v>
                  </c:pt>
                  <c:pt idx="2">
                    <c:v>0</c:v>
                  </c:pt>
                  <c:pt idx="3">
                    <c:v>0</c:v>
                  </c:pt>
                  <c:pt idx="4" formatCode="&quot;$&quot;#,##0">
                    <c:v>20</c:v>
                  </c:pt>
                  <c:pt idx="5" formatCode="&quot;$&quot;#,##0">
                    <c:v>40</c:v>
                  </c:pt>
                  <c:pt idx="6" formatCode="&quot;$&quot;#,##0">
                    <c:v>61</c:v>
                  </c:pt>
                  <c:pt idx="7" formatCode="&quot;$&quot;#,##0">
                    <c:v>81</c:v>
                  </c:pt>
                  <c:pt idx="8" formatCode="&quot;$&quot;#,##0">
                    <c:v>101</c:v>
                  </c:pt>
                  <c:pt idx="9" formatCode="&quot;$&quot;#,##0">
                    <c:v>121</c:v>
                  </c:pt>
                  <c:pt idx="10" formatCode="&quot;$&quot;#,##0">
                    <c:v>141</c:v>
                  </c:pt>
                  <c:pt idx="11" formatCode="&quot;$&quot;#,##0">
                    <c:v>162</c:v>
                  </c:pt>
                  <c:pt idx="12" formatCode="&quot;$&quot;#,##0">
                    <c:v>182</c:v>
                  </c:pt>
                  <c:pt idx="13" formatCode="&quot;$&quot;#,##0">
                    <c:v>203</c:v>
                  </c:pt>
                  <c:pt idx="14" formatCode="&quot;$&quot;#,##0">
                    <c:v>222</c:v>
                  </c:pt>
                  <c:pt idx="15" formatCode="&quot;$&quot;#,##0">
                    <c:v>242</c:v>
                  </c:pt>
                  <c:pt idx="16" formatCode="&quot;$&quot;#,##0">
                    <c:v>263</c:v>
                  </c:pt>
                  <c:pt idx="17" formatCode="&quot;$&quot;#,##0">
                    <c:v>258</c:v>
                  </c:pt>
                  <c:pt idx="18" formatCode="&quot;$&quot;#,##0">
                    <c:v>253</c:v>
                  </c:pt>
                  <c:pt idx="19" formatCode="&quot;$&quot;#,##0">
                    <c:v>248</c:v>
                  </c:pt>
                  <c:pt idx="20" formatCode="&quot;$&quot;#,##0">
                    <c:v>243</c:v>
                  </c:pt>
                  <c:pt idx="21" formatCode="&quot;$&quot;#,##0">
                    <c:v>238</c:v>
                  </c:pt>
                  <c:pt idx="22" formatCode="&quot;$&quot;#,##0">
                    <c:v>234</c:v>
                  </c:pt>
                  <c:pt idx="23" formatCode="&quot;$&quot;#,##0">
                    <c:v>228</c:v>
                  </c:pt>
                  <c:pt idx="24" formatCode="&quot;$&quot;#,##0">
                    <c:v>224</c:v>
                  </c:pt>
                  <c:pt idx="25" formatCode="&quot;$&quot;#,##0">
                    <c:v>219</c:v>
                  </c:pt>
                  <c:pt idx="26" formatCode="&quot;$&quot;#,##0">
                    <c:v>214</c:v>
                  </c:pt>
                  <c:pt idx="27" formatCode="&quot;$&quot;#,##0">
                    <c:v>209</c:v>
                  </c:pt>
                  <c:pt idx="28" formatCode="&quot;$&quot;#,##0">
                    <c:v>205</c:v>
                  </c:pt>
                  <c:pt idx="29" formatCode="&quot;$&quot;#,##0">
                    <c:v>199</c:v>
                  </c:pt>
                  <c:pt idx="30" formatCode="&quot;$&quot;#,##0">
                    <c:v>195</c:v>
                  </c:pt>
                  <c:pt idx="31" formatCode="&quot;$&quot;#,##0">
                    <c:v>190</c:v>
                  </c:pt>
                </c:numCache>
              </c:numRef>
            </c:plus>
            <c:minus>
              <c:numRef>
                <c:f>'Fig 7.3 PV COMP'!$S$12:$S$55</c:f>
                <c:numCache>
                  <c:formatCode>_("$"* #,##0.00_);_("$"* \(#,##0.00\);_("$"* "-"??_);_(@_)</c:formatCode>
                  <c:ptCount val="44"/>
                  <c:pt idx="0">
                    <c:v>#N/A</c:v>
                  </c:pt>
                  <c:pt idx="1">
                    <c:v>#N/A</c:v>
                  </c:pt>
                  <c:pt idx="2">
                    <c:v>0</c:v>
                  </c:pt>
                  <c:pt idx="3">
                    <c:v>0</c:v>
                  </c:pt>
                  <c:pt idx="4" formatCode="&quot;$&quot;#,##0">
                    <c:v>15</c:v>
                  </c:pt>
                  <c:pt idx="5" formatCode="&quot;$&quot;#,##0">
                    <c:v>30</c:v>
                  </c:pt>
                  <c:pt idx="6" formatCode="&quot;$&quot;#,##0">
                    <c:v>44</c:v>
                  </c:pt>
                  <c:pt idx="7" formatCode="&quot;$&quot;#,##0">
                    <c:v>59</c:v>
                  </c:pt>
                  <c:pt idx="8" formatCode="&quot;$&quot;#,##0">
                    <c:v>73</c:v>
                  </c:pt>
                  <c:pt idx="9" formatCode="&quot;$&quot;#,##0">
                    <c:v>88</c:v>
                  </c:pt>
                  <c:pt idx="10" formatCode="&quot;$&quot;#,##0">
                    <c:v>103</c:v>
                  </c:pt>
                  <c:pt idx="11" formatCode="&quot;$&quot;#,##0">
                    <c:v>117</c:v>
                  </c:pt>
                  <c:pt idx="12" formatCode="&quot;$&quot;#,##0">
                    <c:v>132</c:v>
                  </c:pt>
                  <c:pt idx="13" formatCode="&quot;$&quot;#,##0">
                    <c:v>146</c:v>
                  </c:pt>
                  <c:pt idx="14" formatCode="&quot;$&quot;#,##0">
                    <c:v>161</c:v>
                  </c:pt>
                  <c:pt idx="15" formatCode="&quot;$&quot;#,##0">
                    <c:v>176</c:v>
                  </c:pt>
                  <c:pt idx="16" formatCode="&quot;$&quot;#,##0">
                    <c:v>190</c:v>
                  </c:pt>
                  <c:pt idx="17" formatCode="&quot;$&quot;#,##0">
                    <c:v>185</c:v>
                  </c:pt>
                  <c:pt idx="18" formatCode="&quot;$&quot;#,##0">
                    <c:v>179</c:v>
                  </c:pt>
                  <c:pt idx="19" formatCode="&quot;$&quot;#,##0">
                    <c:v>173</c:v>
                  </c:pt>
                  <c:pt idx="20" formatCode="&quot;$&quot;#,##0">
                    <c:v>168</c:v>
                  </c:pt>
                  <c:pt idx="21" formatCode="&quot;$&quot;#,##0">
                    <c:v>162</c:v>
                  </c:pt>
                  <c:pt idx="22" formatCode="&quot;$&quot;#,##0">
                    <c:v>157</c:v>
                  </c:pt>
                  <c:pt idx="23" formatCode="&quot;$&quot;#,##0">
                    <c:v>152</c:v>
                  </c:pt>
                  <c:pt idx="24" formatCode="&quot;$&quot;#,##0">
                    <c:v>146</c:v>
                  </c:pt>
                  <c:pt idx="25" formatCode="&quot;$&quot;#,##0">
                    <c:v>140</c:v>
                  </c:pt>
                  <c:pt idx="26" formatCode="&quot;$&quot;#,##0">
                    <c:v>135</c:v>
                  </c:pt>
                  <c:pt idx="27" formatCode="&quot;$&quot;#,##0">
                    <c:v>129</c:v>
                  </c:pt>
                  <c:pt idx="28" formatCode="&quot;$&quot;#,##0">
                    <c:v>124</c:v>
                  </c:pt>
                  <c:pt idx="29" formatCode="&quot;$&quot;#,##0">
                    <c:v>119</c:v>
                  </c:pt>
                  <c:pt idx="30" formatCode="&quot;$&quot;#,##0">
                    <c:v>113</c:v>
                  </c:pt>
                  <c:pt idx="31" formatCode="&quot;$&quot;#,##0">
                    <c:v>107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cat>
            <c:numRef>
              <c:f>'Fig 7.3 PV COMP'!$A$12:$A$25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7.3 PV COMP'!$Q$12:$Q$25</c:f>
              <c:numCache>
                <c:formatCode>_("$"* #,##0.00_);_("$"* \(#,##0.00\);_("$"* "-"??_);_(@_)</c:formatCode>
                <c:ptCount val="14"/>
                <c:pt idx="0">
                  <c:v>#N/A</c:v>
                </c:pt>
                <c:pt idx="1">
                  <c:v>#N/A</c:v>
                </c:pt>
                <c:pt idx="2" formatCode="&quot;$&quot;#,##0">
                  <c:v>1246</c:v>
                </c:pt>
                <c:pt idx="3" formatCode="&quot;$&quot;#,##0">
                  <c:v>1325</c:v>
                </c:pt>
                <c:pt idx="4" formatCode="&quot;$&quot;#,##0">
                  <c:v>1285</c:v>
                </c:pt>
                <c:pt idx="5" formatCode="&quot;$&quot;#,##0">
                  <c:v>1245</c:v>
                </c:pt>
                <c:pt idx="6" formatCode="&quot;$&quot;#,##0">
                  <c:v>1204</c:v>
                </c:pt>
                <c:pt idx="7" formatCode="&quot;$&quot;#,##0">
                  <c:v>1164</c:v>
                </c:pt>
                <c:pt idx="8" formatCode="&quot;$&quot;#,##0">
                  <c:v>1123</c:v>
                </c:pt>
                <c:pt idx="9" formatCode="&quot;$&quot;#,##0">
                  <c:v>1083</c:v>
                </c:pt>
                <c:pt idx="10" formatCode="&quot;$&quot;#,##0">
                  <c:v>1043</c:v>
                </c:pt>
                <c:pt idx="11" formatCode="&quot;$&quot;#,##0">
                  <c:v>1002</c:v>
                </c:pt>
                <c:pt idx="12" formatCode="&quot;$&quot;#,##0">
                  <c:v>962</c:v>
                </c:pt>
                <c:pt idx="13" formatCode="&quot;$&quot;#,##0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42-444F-900C-1FA9FE2CB699}"/>
            </c:ext>
          </c:extLst>
        </c:ser>
        <c:ser>
          <c:idx val="0"/>
          <c:order val="3"/>
          <c:tx>
            <c:strRef>
              <c:f>'Fig 7.3 PV COMP'!$U$10</c:f>
              <c:strCache>
                <c:ptCount val="1"/>
                <c:pt idx="0">
                  <c:v>PGE 2023 IRP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noFill/>
              </a:ln>
            </c:spPr>
          </c:marker>
          <c:val>
            <c:numRef>
              <c:f>'Fig 7.3 PV COMP'!$U$12:$U$25</c:f>
              <c:numCache>
                <c:formatCode>_("$"* #,##0.00_);_("$"* \(#,##0.00\);_("$"* "-"??_);_(@_)</c:formatCode>
                <c:ptCount val="14"/>
                <c:pt idx="0" formatCode="_(&quot;$&quot;* #,##0_);_(&quot;$&quot;* \(#,##0\);_(&quot;$&quot;* &quot;-&quot;??_);_(@_)">
                  <c:v>1347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 formatCode="_(&quot;$&quot;* #,##0_);_(&quot;$&quot;* \(#,##0\);_(&quot;$&quot;* &quot;-&quot;??_);_(@_)">
                  <c:v>1297</c:v>
                </c:pt>
                <c:pt idx="8" formatCode="_(&quot;$&quot;* #,##0_);_(&quot;$&quot;* \(#,##0\);_(&quot;$&quot;* &quot;-&quot;??_);_(@_)">
                  <c:v>1232.1499999999999</c:v>
                </c:pt>
                <c:pt idx="9" formatCode="_(&quot;$&quot;* #,##0_);_(&quot;$&quot;* \(#,##0\);_(&quot;$&quot;* &quot;-&quot;??_);_(@_)">
                  <c:v>1167.3</c:v>
                </c:pt>
                <c:pt idx="10" formatCode="_(&quot;$&quot;* #,##0_);_(&quot;$&quot;* \(#,##0\);_(&quot;$&quot;* &quot;-&quot;??_);_(@_)">
                  <c:v>1102.45</c:v>
                </c:pt>
                <c:pt idx="11" formatCode="_(&quot;$&quot;* #,##0_);_(&quot;$&quot;* \(#,##0\);_(&quot;$&quot;* &quot;-&quot;??_);_(@_)">
                  <c:v>1037.6000000000001</c:v>
                </c:pt>
                <c:pt idx="12" formatCode="_(&quot;$&quot;* #,##0_);_(&quot;$&quot;* \(#,##0\);_(&quot;$&quot;* &quot;-&quot;??_);_(@_)">
                  <c:v>1027.2240000000002</c:v>
                </c:pt>
                <c:pt idx="13" formatCode="_(&quot;$&quot;* #,##0_);_(&quot;$&quot;* \(#,##0\);_(&quot;$&quot;* &quot;-&quot;??_);_(@_)">
                  <c:v>1016.8480000000001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42-444F-900C-1FA9FE2CB699}"/>
            </c:ext>
          </c:extLst>
        </c:ser>
        <c:ser>
          <c:idx val="1"/>
          <c:order val="4"/>
          <c:tx>
            <c:strRef>
              <c:f>'Fig 7.3 PV COMP'!$V$10</c:f>
              <c:strCache>
                <c:ptCount val="1"/>
                <c:pt idx="0">
                  <c:v>CPUC 2023 IRP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noFill/>
              </a:ln>
            </c:spPr>
          </c:marker>
          <c:val>
            <c:numRef>
              <c:f>'Fig 7.3 PV COMP'!$V$12:$V$25</c:f>
              <c:numCache>
                <c:formatCode>_("$"* #,##0_);_("$"* \(#,##0\);_("$"* "-"??_);_(@_)</c:formatCode>
                <c:ptCount val="14"/>
                <c:pt idx="0" formatCode="_(&quot;$&quot;* #,##0.00_);_(&quot;$&quot;* \(#,##0.00\);_(&quot;$&quot;* &quot;-&quot;??_);_(@_)">
                  <c:v>#N/A</c:v>
                </c:pt>
                <c:pt idx="1">
                  <c:v>1318.38</c:v>
                </c:pt>
                <c:pt idx="2">
                  <c:v>1318.38</c:v>
                </c:pt>
                <c:pt idx="3">
                  <c:v>1318.38</c:v>
                </c:pt>
                <c:pt idx="4">
                  <c:v>1318.38</c:v>
                </c:pt>
                <c:pt idx="5">
                  <c:v>1318.38</c:v>
                </c:pt>
                <c:pt idx="6">
                  <c:v>1318.38</c:v>
                </c:pt>
                <c:pt idx="7">
                  <c:v>1318.38</c:v>
                </c:pt>
                <c:pt idx="8">
                  <c:v>1318.38</c:v>
                </c:pt>
                <c:pt idx="9">
                  <c:v>1304.78</c:v>
                </c:pt>
                <c:pt idx="10">
                  <c:v>1291.18</c:v>
                </c:pt>
                <c:pt idx="11">
                  <c:v>1277.5899999999999</c:v>
                </c:pt>
                <c:pt idx="12">
                  <c:v>1263.99</c:v>
                </c:pt>
                <c:pt idx="13">
                  <c:v>1250.3900000000001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342-444F-900C-1FA9FE2CB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998979"/>
        <c:axId val="913099204"/>
      </c:lineChart>
      <c:catAx>
        <c:axId val="16919989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Calendar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13099204"/>
        <c:crosses val="autoZero"/>
        <c:auto val="1"/>
        <c:lblAlgn val="ctr"/>
        <c:lblOffset val="100"/>
        <c:noMultiLvlLbl val="1"/>
      </c:catAx>
      <c:valAx>
        <c:axId val="913099204"/>
        <c:scaling>
          <c:orientation val="minMax"/>
          <c:min val="8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PV Base Capital Cost ($/kW)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1998979"/>
        <c:crossesAt val="1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History of SSR Off-Shore Wind Costs &amp; Forecast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0102765036689"/>
          <c:y val="9.0222532428304539E-2"/>
          <c:w val="0.86147938681936598"/>
          <c:h val="0.77366796931445758"/>
        </c:manualLayout>
      </c:layout>
      <c:lineChart>
        <c:grouping val="standard"/>
        <c:varyColors val="1"/>
        <c:ser>
          <c:idx val="4"/>
          <c:order val="0"/>
          <c:tx>
            <c:v>2023 IRP OSW</c:v>
          </c:tx>
          <c:spPr>
            <a:ln w="19050" cmpd="sng">
              <a:solidFill>
                <a:srgbClr val="0070C0">
                  <a:alpha val="96862"/>
                </a:srgbClr>
              </a:solidFill>
            </a:ln>
          </c:spPr>
          <c:marker>
            <c:symbol val="circle"/>
            <c:size val="5"/>
            <c:spPr>
              <a:solidFill>
                <a:srgbClr val="0070C0">
                  <a:alpha val="96862"/>
                </a:srgbClr>
              </a:solidFill>
              <a:ln cmpd="sng">
                <a:solidFill>
                  <a:srgbClr val="0070C0">
                    <a:alpha val="96862"/>
                  </a:srgbClr>
                </a:solidFill>
              </a:ln>
            </c:spPr>
          </c:marker>
          <c:cat>
            <c:numRef>
              <c:f>'Fig 7.4 OSW Wind COMP'!$A$14:$A$27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7.4 OSW Wind COMP'!$O$14:$O$27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 formatCode="_(&quot;$&quot;* #,##0.00_);_(&quot;$&quot;* \(#,##0.00\);_(&quot;$&quot;* &quot;-&quot;??_);_(@_)">
                  <c:v>4635.7361989855781</c:v>
                </c:pt>
                <c:pt idx="4" formatCode="_(&quot;$&quot;* #,##0.00_);_(&quot;$&quot;* \(#,##0.00\);_(&quot;$&quot;* &quot;-&quot;??_);_(@_)">
                  <c:v>5901.8983567367568</c:v>
                </c:pt>
                <c:pt idx="5" formatCode="_(&quot;$&quot;* #,##0.00_);_(&quot;$&quot;* \(#,##0.00\);_(&quot;$&quot;* &quot;-&quot;??_);_(@_)">
                  <c:v>5901.8983567367568</c:v>
                </c:pt>
                <c:pt idx="6" formatCode="_(&quot;$&quot;* #,##0.00_);_(&quot;$&quot;* \(#,##0.00\);_(&quot;$&quot;* &quot;-&quot;??_);_(@_)">
                  <c:v>5901.8983567367568</c:v>
                </c:pt>
                <c:pt idx="7" formatCode="_(&quot;$&quot;* #,##0.00_);_(&quot;$&quot;* \(#,##0.00\);_(&quot;$&quot;* &quot;-&quot;??_);_(@_)">
                  <c:v>5901.8983567367568</c:v>
                </c:pt>
                <c:pt idx="8" formatCode="_(&quot;$&quot;* #,##0.00_);_(&quot;$&quot;* \(#,##0.00\);_(&quot;$&quot;* &quot;-&quot;??_);_(@_)">
                  <c:v>5901.8983567367568</c:v>
                </c:pt>
                <c:pt idx="9" formatCode="_(&quot;$&quot;* #,##0.00_);_(&quot;$&quot;* \(#,##0.00\);_(&quot;$&quot;* &quot;-&quot;??_);_(@_)">
                  <c:v>5901.8983567367568</c:v>
                </c:pt>
                <c:pt idx="10" formatCode="_(&quot;$&quot;* #,##0.00_);_(&quot;$&quot;* \(#,##0.00\);_(&quot;$&quot;* &quot;-&quot;??_);_(@_)">
                  <c:v>5476.2199278425296</c:v>
                </c:pt>
                <c:pt idx="11" formatCode="_(&quot;$&quot;* #,##0.00_);_(&quot;$&quot;* \(#,##0.00\);_(&quot;$&quot;* &quot;-&quot;??_);_(@_)">
                  <c:v>5050.5414989483024</c:v>
                </c:pt>
                <c:pt idx="12" formatCode="_(&quot;$&quot;* #,##0.00_);_(&quot;$&quot;* \(#,##0.00\);_(&quot;$&quot;* &quot;-&quot;??_);_(@_)">
                  <c:v>4624.8630700540753</c:v>
                </c:pt>
                <c:pt idx="13" formatCode="_(&quot;$&quot;* #,##0.00_);_(&quot;$&quot;* \(#,##0.00\);_(&quot;$&quot;* &quot;-&quot;??_);_(@_)">
                  <c:v>4199.184641159849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C-4FC5-8AD1-CB567DC145BC}"/>
            </c:ext>
          </c:extLst>
        </c:ser>
        <c:ser>
          <c:idx val="7"/>
          <c:order val="1"/>
          <c:tx>
            <c:strRef>
              <c:f>'Fig 7.4 OSW Wind COMP'!$T$12</c:f>
              <c:strCache>
                <c:ptCount val="1"/>
                <c:pt idx="0">
                  <c:v>2023 ATB</c:v>
                </c:pt>
              </c:strCache>
            </c:strRef>
          </c:tx>
          <c:spPr>
            <a:ln cmpd="sng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7.4 OSW Wind COMP'!$W$14:$W$45</c:f>
                <c:numCache>
                  <c:formatCode>General</c:formatCode>
                  <c:ptCount val="32"/>
                  <c:pt idx="0">
                    <c:v>#N/A</c:v>
                  </c:pt>
                  <c:pt idx="1">
                    <c:v>#N/A</c:v>
                  </c:pt>
                  <c:pt idx="2" formatCode="0">
                    <c:v>454.95074259127296</c:v>
                  </c:pt>
                  <c:pt idx="3" formatCode="0">
                    <c:v>562.48394247588567</c:v>
                  </c:pt>
                  <c:pt idx="4" formatCode="0">
                    <c:v>567.2213448787993</c:v>
                  </c:pt>
                  <c:pt idx="5" formatCode="0">
                    <c:v>535.19842127461698</c:v>
                  </c:pt>
                  <c:pt idx="6" formatCode="0">
                    <c:v>551.16593158296837</c:v>
                  </c:pt>
                  <c:pt idx="7" formatCode="0">
                    <c:v>564.66626918683687</c:v>
                  </c:pt>
                  <c:pt idx="8" formatCode="0">
                    <c:v>576.36079355199672</c:v>
                  </c:pt>
                  <c:pt idx="9" formatCode="0">
                    <c:v>586.67609509430258</c:v>
                  </c:pt>
                  <c:pt idx="10" formatCode="0">
                    <c:v>595.90344675497772</c:v>
                  </c:pt>
                  <c:pt idx="11" formatCode="0">
                    <c:v>604.25060166785715</c:v>
                  </c:pt>
                  <c:pt idx="12" formatCode="0">
                    <c:v>611.87095706333002</c:v>
                  </c:pt>
                  <c:pt idx="13" formatCode="0">
                    <c:v>618.88100448920795</c:v>
                  </c:pt>
                  <c:pt idx="14" formatCode="0">
                    <c:v>625.37129466719807</c:v>
                  </c:pt>
                  <c:pt idx="15" formatCode="0">
                    <c:v>631.41361026631148</c:v>
                  </c:pt>
                  <c:pt idx="16" formatCode="0">
                    <c:v>637.06581903235792</c:v>
                  </c:pt>
                  <c:pt idx="17" formatCode="0">
                    <c:v>642.37525303904476</c:v>
                  </c:pt>
                  <c:pt idx="18" formatCode="0">
                    <c:v>647.38112057466333</c:v>
                  </c:pt>
                  <c:pt idx="19" formatCode="0">
                    <c:v>652.11626505323329</c:v>
                  </c:pt>
                  <c:pt idx="20" formatCode="0">
                    <c:v>656.60847223533938</c:v>
                  </c:pt>
                  <c:pt idx="21" formatCode="0">
                    <c:v>660.88145817853183</c:v>
                  </c:pt>
                  <c:pt idx="22" formatCode="0">
                    <c:v>664.95562714821926</c:v>
                  </c:pt>
                  <c:pt idx="23" formatCode="0">
                    <c:v>668.84866091534604</c:v>
                  </c:pt>
                  <c:pt idx="24" formatCode="0">
                    <c:v>672.57598254369123</c:v>
                  </c:pt>
                  <c:pt idx="25" formatCode="0">
                    <c:v>676.15112543832038</c:v>
                  </c:pt>
                  <c:pt idx="26" formatCode="0">
                    <c:v>679.58602996957006</c:v>
                  </c:pt>
                  <c:pt idx="27" formatCode="0">
                    <c:v>682.89128408599709</c:v>
                  </c:pt>
                  <c:pt idx="28" formatCode="0">
                    <c:v>686.07632014755973</c:v>
                  </c:pt>
                  <c:pt idx="29" formatCode="0">
                    <c:v>689.14957720324264</c:v>
                  </c:pt>
                  <c:pt idx="30" formatCode="0">
                    <c:v>692.11863574667268</c:v>
                  </c:pt>
                  <c:pt idx="31" formatCode="0">
                    <c:v>694.99033036765968</c:v>
                  </c:pt>
                </c:numCache>
              </c:numRef>
            </c:plus>
            <c:minus>
              <c:numRef>
                <c:f>'Fig 7.4 OSW Wind COMP'!$V$14:$V$45</c:f>
                <c:numCache>
                  <c:formatCode>General</c:formatCode>
                  <c:ptCount val="32"/>
                  <c:pt idx="0">
                    <c:v>#N/A</c:v>
                  </c:pt>
                  <c:pt idx="1">
                    <c:v>#N/A</c:v>
                  </c:pt>
                  <c:pt idx="2" formatCode="0">
                    <c:v>247.03268375600601</c:v>
                  </c:pt>
                  <c:pt idx="3" formatCode="0">
                    <c:v>295.1874838208164</c:v>
                  </c:pt>
                  <c:pt idx="4" formatCode="0">
                    <c:v>291.2130939626818</c:v>
                  </c:pt>
                  <c:pt idx="5" formatCode="0">
                    <c:v>270.4393937511004</c:v>
                  </c:pt>
                  <c:pt idx="6" formatCode="0">
                    <c:v>275.09681050462586</c:v>
                  </c:pt>
                  <c:pt idx="7" formatCode="0">
                    <c:v>279.0346002614674</c:v>
                  </c:pt>
                  <c:pt idx="8" formatCode="0">
                    <c:v>282.44566890341503</c:v>
                  </c:pt>
                  <c:pt idx="9" formatCode="0">
                    <c:v>285.45444467954076</c:v>
                  </c:pt>
                  <c:pt idx="10" formatCode="0">
                    <c:v>288.14588632480582</c:v>
                  </c:pt>
                  <c:pt idx="11" formatCode="0">
                    <c:v>290.58059144694198</c:v>
                  </c:pt>
                  <c:pt idx="12" formatCode="0">
                    <c:v>292.80330307833037</c:v>
                  </c:pt>
                  <c:pt idx="13" formatCode="0">
                    <c:v>294.84799957100904</c:v>
                  </c:pt>
                  <c:pt idx="14" formatCode="0">
                    <c:v>296.74109283517237</c:v>
                  </c:pt>
                  <c:pt idx="15" formatCode="0">
                    <c:v>298.50352049972071</c:v>
                  </c:pt>
                  <c:pt idx="16" formatCode="0">
                    <c:v>300.15216147712044</c:v>
                  </c:pt>
                  <c:pt idx="17" formatCode="0">
                    <c:v>301.70082162619428</c:v>
                  </c:pt>
                  <c:pt idx="18" formatCode="0">
                    <c:v>303.16093725324527</c:v>
                  </c:pt>
                  <c:pt idx="19" formatCode="0">
                    <c:v>304.54208815272659</c:v>
                  </c:pt>
                  <c:pt idx="20" formatCode="0">
                    <c:v>305.85237889851032</c:v>
                  </c:pt>
                  <c:pt idx="21" formatCode="0">
                    <c:v>307.09872701008771</c:v>
                  </c:pt>
                  <c:pt idx="22" formatCode="0">
                    <c:v>308.28708402064603</c:v>
                  </c:pt>
                  <c:pt idx="23" formatCode="0">
                    <c:v>309.4226073639179</c:v>
                  </c:pt>
                  <c:pt idx="24" formatCode="0">
                    <c:v>310.50979565203534</c:v>
                  </c:pt>
                  <c:pt idx="25" formatCode="0">
                    <c:v>311.5525963199002</c:v>
                  </c:pt>
                  <c:pt idx="26" formatCode="0">
                    <c:v>312.55449214471309</c:v>
                  </c:pt>
                  <c:pt idx="27" formatCode="0">
                    <c:v>313.51857142816061</c:v>
                  </c:pt>
                  <c:pt idx="28" formatCode="0">
                    <c:v>314.44758540887733</c:v>
                  </c:pt>
                  <c:pt idx="29" formatCode="0">
                    <c:v>315.34399559572648</c:v>
                  </c:pt>
                  <c:pt idx="30" formatCode="0">
                    <c:v>316.21001307342522</c:v>
                  </c:pt>
                  <c:pt idx="31" formatCode="0">
                    <c:v>317.04763136084193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cat>
            <c:numRef>
              <c:f>'Fig 7.4 OSW Wind COMP'!$A$14:$A$27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7.4 OSW Wind COMP'!$T$14:$T$27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 formatCode="&quot;$&quot;#,##0">
                  <c:v>3516.4060842910062</c:v>
                </c:pt>
                <c:pt idx="3" formatCode="&quot;$&quot;#,##0">
                  <c:v>3849.3915009375587</c:v>
                </c:pt>
                <c:pt idx="4" formatCode="&quot;$&quot;#,##0">
                  <c:v>3567.344932806935</c:v>
                </c:pt>
                <c:pt idx="5" formatCode="&quot;$&quot;#,##0">
                  <c:v>3155.0368982807368</c:v>
                </c:pt>
                <c:pt idx="6" formatCode="&quot;$&quot;#,##0">
                  <c:v>3083.1324357789758</c:v>
                </c:pt>
                <c:pt idx="7" formatCode="&quot;$&quot;#,##0">
                  <c:v>3022.338078972411</c:v>
                </c:pt>
                <c:pt idx="8" formatCode="&quot;$&quot;#,##0">
                  <c:v>2969.6756117216028</c:v>
                </c:pt>
                <c:pt idx="9" formatCode="&quot;$&quot;#,##0">
                  <c:v>2923.224023551647</c:v>
                </c:pt>
                <c:pt idx="10" formatCode="&quot;$&quot;#,##0">
                  <c:v>2881.6716619960357</c:v>
                </c:pt>
                <c:pt idx="11" formatCode="&quot;$&quot;#,##0">
                  <c:v>2844.0829787361554</c:v>
                </c:pt>
                <c:pt idx="12" formatCode="&quot;$&quot;#,##0">
                  <c:v>2809.7671994942743</c:v>
                </c:pt>
                <c:pt idx="13" formatCode="&quot;$&quot;#,##0">
                  <c:v>2778.199742668774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CC-4FC5-8AD1-CB567DC145BC}"/>
            </c:ext>
          </c:extLst>
        </c:ser>
        <c:ser>
          <c:idx val="0"/>
          <c:order val="2"/>
          <c:tx>
            <c:strRef>
              <c:f>'Fig 7.4 OSW Wind COMP'!$X$12</c:f>
              <c:strCache>
                <c:ptCount val="1"/>
                <c:pt idx="0">
                  <c:v>PGE 2023 IRP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noFill/>
              </a:ln>
            </c:spPr>
          </c:marker>
          <c:val>
            <c:numRef>
              <c:f>'Fig 7.4 OSW Wind COMP'!$X$14:$X$27</c:f>
              <c:numCache>
                <c:formatCode>General</c:formatCode>
                <c:ptCount val="14"/>
                <c:pt idx="0">
                  <c:v>3346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4006.7796610169498</c:v>
                </c:pt>
                <c:pt idx="8">
                  <c:v>3906.610169491526</c:v>
                </c:pt>
                <c:pt idx="9">
                  <c:v>3834.4881355932207</c:v>
                </c:pt>
                <c:pt idx="10">
                  <c:v>3762.3661016949159</c:v>
                </c:pt>
                <c:pt idx="11">
                  <c:v>3690.2440677966106</c:v>
                </c:pt>
                <c:pt idx="12">
                  <c:v>3618.1220338983053</c:v>
                </c:pt>
                <c:pt idx="13">
                  <c:v>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C-4FC5-8AD1-CB567DC145BC}"/>
            </c:ext>
          </c:extLst>
        </c:ser>
        <c:ser>
          <c:idx val="1"/>
          <c:order val="3"/>
          <c:tx>
            <c:strRef>
              <c:f>'Fig 7.4 OSW Wind COMP'!$Z$12</c:f>
              <c:strCache>
                <c:ptCount val="1"/>
                <c:pt idx="0">
                  <c:v>CPUC 2023 IRP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'Fig 7.4 OSW Wind COMP'!$AB$15:$AB$27</c:f>
                <c:numCache>
                  <c:formatCode>General</c:formatCode>
                  <c:ptCount val="13"/>
                  <c:pt idx="0">
                    <c:v>473.53714285714341</c:v>
                  </c:pt>
                  <c:pt idx="1">
                    <c:v>367.94428571428534</c:v>
                  </c:pt>
                  <c:pt idx="2">
                    <c:v>353.75571428571448</c:v>
                  </c:pt>
                  <c:pt idx="3">
                    <c:v>352.18571428571477</c:v>
                  </c:pt>
                  <c:pt idx="4">
                    <c:v>355.0857142857144</c:v>
                  </c:pt>
                  <c:pt idx="5">
                    <c:v>359.76857142857125</c:v>
                  </c:pt>
                  <c:pt idx="6">
                    <c:v>365.15142857142882</c:v>
                  </c:pt>
                  <c:pt idx="7">
                    <c:v>370.76285714285723</c:v>
                  </c:pt>
                  <c:pt idx="8">
                    <c:v>376.36428571428587</c:v>
                  </c:pt>
                  <c:pt idx="9">
                    <c:v>381.85571428571393</c:v>
                  </c:pt>
                  <c:pt idx="10">
                    <c:v>387.16714285714261</c:v>
                  </c:pt>
                  <c:pt idx="11">
                    <c:v>392.29428571428571</c:v>
                  </c:pt>
                  <c:pt idx="12">
                    <c:v>397.2199999999998</c:v>
                  </c:pt>
                </c:numCache>
              </c:numRef>
            </c:plus>
            <c:minus>
              <c:numRef>
                <c:f>'Fig 7.4 OSW Wind COMP'!$AA$15:$AA$27</c:f>
                <c:numCache>
                  <c:formatCode>General</c:formatCode>
                  <c:ptCount val="13"/>
                  <c:pt idx="0">
                    <c:v>176.35285714285646</c:v>
                  </c:pt>
                  <c:pt idx="1">
                    <c:v>135.57571428571464</c:v>
                  </c:pt>
                  <c:pt idx="2">
                    <c:v>129.79428571428571</c:v>
                  </c:pt>
                  <c:pt idx="3">
                    <c:v>128.90428571428538</c:v>
                  </c:pt>
                  <c:pt idx="4">
                    <c:v>129.77428571428527</c:v>
                  </c:pt>
                  <c:pt idx="5">
                    <c:v>131.36142857142886</c:v>
                  </c:pt>
                  <c:pt idx="6">
                    <c:v>133.23857142857105</c:v>
                  </c:pt>
                  <c:pt idx="7">
                    <c:v>135.22714285714301</c:v>
                  </c:pt>
                  <c:pt idx="8">
                    <c:v>137.22571428571382</c:v>
                  </c:pt>
                  <c:pt idx="9">
                    <c:v>139.19428571428625</c:v>
                  </c:pt>
                  <c:pt idx="10">
                    <c:v>141.11285714285759</c:v>
                  </c:pt>
                  <c:pt idx="11">
                    <c:v>142.95571428571429</c:v>
                  </c:pt>
                  <c:pt idx="12">
                    <c:v>144.74000000000024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val>
            <c:numRef>
              <c:f>'Fig 7.4 OSW Wind COMP'!$Z$14:$Z$27</c:f>
              <c:numCache>
                <c:formatCode>_("$"* #,##0_);_("$"* \(#,##0\);_("$"* "-"??_);_(@_)</c:formatCode>
                <c:ptCount val="14"/>
                <c:pt idx="0" formatCode="General">
                  <c:v>#N/A</c:v>
                </c:pt>
                <c:pt idx="1">
                  <c:v>4252.0328571428563</c:v>
                </c:pt>
                <c:pt idx="2" formatCode="General">
                  <c:v>3961.8857142857146</c:v>
                </c:pt>
                <c:pt idx="3" formatCode="General">
                  <c:v>3779.1742857142858</c:v>
                </c:pt>
                <c:pt idx="4" formatCode="General">
                  <c:v>3641.0442857142853</c:v>
                </c:pt>
                <c:pt idx="5" formatCode="General">
                  <c:v>3529.7842857142855</c:v>
                </c:pt>
                <c:pt idx="6" formatCode="General">
                  <c:v>3436.5614285714287</c:v>
                </c:pt>
                <c:pt idx="7" formatCode="General">
                  <c:v>3356.318571428571</c:v>
                </c:pt>
                <c:pt idx="8" formatCode="General">
                  <c:v>3285.8671428571429</c:v>
                </c:pt>
                <c:pt idx="9" formatCode="General">
                  <c:v>3223.065714285714</c:v>
                </c:pt>
                <c:pt idx="10" formatCode="General">
                  <c:v>3166.4142857142861</c:v>
                </c:pt>
                <c:pt idx="11" formatCode="General">
                  <c:v>3114.8128571428574</c:v>
                </c:pt>
                <c:pt idx="12" formatCode="General">
                  <c:v>3067.4357142857143</c:v>
                </c:pt>
                <c:pt idx="13" formatCode="General">
                  <c:v>3023.6400000000003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CC-4FC5-8AD1-CB567DC1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963039"/>
        <c:axId val="1933875379"/>
      </c:lineChart>
      <c:catAx>
        <c:axId val="1344963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Calendar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3875379"/>
        <c:crosses val="autoZero"/>
        <c:auto val="1"/>
        <c:lblAlgn val="ctr"/>
        <c:lblOffset val="100"/>
        <c:noMultiLvlLbl val="1"/>
      </c:catAx>
      <c:valAx>
        <c:axId val="1933875379"/>
        <c:scaling>
          <c:orientation val="minMax"/>
          <c:min val="9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Wind Base Capital Cost (mid-year $)</a:t>
                </a:r>
              </a:p>
            </c:rich>
          </c:tx>
          <c:layout>
            <c:manualLayout>
              <c:xMode val="edge"/>
              <c:yMode val="edge"/>
              <c:x val="1.4260018011264836E-2"/>
              <c:y val="0.28413528109875358"/>
            </c:manualLayout>
          </c:layout>
          <c:overlay val="0"/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496303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 u="none" strike="noStrike" kern="1200" baseline="0">
                <a:solidFill>
                  <a:srgbClr val="757575"/>
                </a:solidFill>
              </a:rPr>
              <a:t>Land-Based Wind Overnight Capital Cost Forecasts</a:t>
            </a:r>
            <a:endParaRPr lang="en-US" sz="1400" b="0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08020036690352"/>
          <c:y val="0.10772769291216489"/>
          <c:w val="0.80970050999154242"/>
          <c:h val="0.7346209314781772"/>
        </c:manualLayout>
      </c:layout>
      <c:lineChart>
        <c:grouping val="standard"/>
        <c:varyColors val="1"/>
        <c:ser>
          <c:idx val="3"/>
          <c:order val="0"/>
          <c:tx>
            <c:v>2021 IRP WY</c:v>
          </c:tx>
          <c:spPr>
            <a:ln w="19050" cmpd="sng">
              <a:solidFill>
                <a:srgbClr val="FF0000">
                  <a:alpha val="100000"/>
                </a:srgbClr>
              </a:solidFill>
              <a:prstDash val="dash"/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cat>
            <c:numRef>
              <c:f>'Fig 7.4 Wind COMP'!$A$14:$A$27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7.4 Wind COMP'!$J$14:$J$25</c:f>
              <c:numCache>
                <c:formatCode>_("$"* #,##0.00_);_("$"* \(#,##0.00\);_("$"* "-"??_);_(@_)</c:formatCode>
                <c:ptCount val="12"/>
                <c:pt idx="0" formatCode="General">
                  <c:v>#N/A</c:v>
                </c:pt>
                <c:pt idx="1">
                  <c:v>1356.4</c:v>
                </c:pt>
                <c:pt idx="2">
                  <c:v>1340.1398852064808</c:v>
                </c:pt>
                <c:pt idx="3">
                  <c:v>1323.1519026090239</c:v>
                </c:pt>
                <c:pt idx="4">
                  <c:v>1305.4360522076304</c:v>
                </c:pt>
                <c:pt idx="5">
                  <c:v>1286.9923340022992</c:v>
                </c:pt>
                <c:pt idx="6">
                  <c:v>1267.8207479930311</c:v>
                </c:pt>
                <c:pt idx="7">
                  <c:v>1247.9212941798257</c:v>
                </c:pt>
                <c:pt idx="8">
                  <c:v>1227.2939725626825</c:v>
                </c:pt>
                <c:pt idx="9">
                  <c:v>1205.9387831416025</c:v>
                </c:pt>
                <c:pt idx="10">
                  <c:v>1183.8557259165846</c:v>
                </c:pt>
                <c:pt idx="11">
                  <c:v>1161.0448008876301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3-499E-B2D5-A26BC0F50438}"/>
            </c:ext>
          </c:extLst>
        </c:ser>
        <c:ser>
          <c:idx val="4"/>
          <c:order val="1"/>
          <c:tx>
            <c:v>2023 IRP WY</c:v>
          </c:tx>
          <c:spPr>
            <a:ln w="19050" cmpd="sng">
              <a:solidFill>
                <a:srgbClr val="0070C0">
                  <a:alpha val="96862"/>
                </a:srgbClr>
              </a:solidFill>
            </a:ln>
          </c:spPr>
          <c:marker>
            <c:symbol val="circle"/>
            <c:size val="5"/>
            <c:spPr>
              <a:solidFill>
                <a:srgbClr val="0070C0">
                  <a:alpha val="96862"/>
                </a:srgbClr>
              </a:solidFill>
              <a:ln cmpd="sng">
                <a:solidFill>
                  <a:srgbClr val="0070C0">
                    <a:alpha val="96862"/>
                  </a:srgbClr>
                </a:solidFill>
              </a:ln>
            </c:spPr>
          </c:marker>
          <c:cat>
            <c:numRef>
              <c:f>'Fig 7.4 Wind COMP'!$A$14:$A$27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7.4 Wind COMP'!$M$14:$M$27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 formatCode="_(&quot;$&quot;* #,##0.00_);_(&quot;$&quot;* \(#,##0.00\);_(&quot;$&quot;* &quot;-&quot;??_);_(@_)">
                  <c:v>1567.53</c:v>
                </c:pt>
                <c:pt idx="4" formatCode="_(&quot;$&quot;* #,##0.00_);_(&quot;$&quot;* \(#,##0.00\);_(&quot;$&quot;* &quot;-&quot;??_);_(@_)">
                  <c:v>1995.6706624419267</c:v>
                </c:pt>
                <c:pt idx="5" formatCode="_(&quot;$&quot;* #,##0.00_);_(&quot;$&quot;* \(#,##0.00\);_(&quot;$&quot;* &quot;-&quot;??_);_(@_)">
                  <c:v>1995.6706624419267</c:v>
                </c:pt>
                <c:pt idx="6" formatCode="_(&quot;$&quot;* #,##0.00_);_(&quot;$&quot;* \(#,##0.00\);_(&quot;$&quot;* &quot;-&quot;??_);_(@_)">
                  <c:v>1995.6706624419267</c:v>
                </c:pt>
                <c:pt idx="7" formatCode="_(&quot;$&quot;* #,##0.00_);_(&quot;$&quot;* \(#,##0.00\);_(&quot;$&quot;* &quot;-&quot;??_);_(@_)">
                  <c:v>1995.6706624419267</c:v>
                </c:pt>
                <c:pt idx="8" formatCode="_(&quot;$&quot;* #,##0.00_);_(&quot;$&quot;* \(#,##0.00\);_(&quot;$&quot;* &quot;-&quot;??_);_(@_)">
                  <c:v>1995.6706624419267</c:v>
                </c:pt>
                <c:pt idx="9" formatCode="_(&quot;$&quot;* #,##0.00_);_(&quot;$&quot;* \(#,##0.00\);_(&quot;$&quot;* &quot;-&quot;??_);_(@_)">
                  <c:v>1995.6706624419267</c:v>
                </c:pt>
                <c:pt idx="10" formatCode="_(&quot;$&quot;* #,##0.00_);_(&quot;$&quot;* \(#,##0.00\);_(&quot;$&quot;* &quot;-&quot;??_);_(@_)">
                  <c:v>1851.731559998914</c:v>
                </c:pt>
                <c:pt idx="11" formatCode="_(&quot;$&quot;* #,##0.00_);_(&quot;$&quot;* \(#,##0.00\);_(&quot;$&quot;* &quot;-&quot;??_);_(@_)">
                  <c:v>1707.7924575559014</c:v>
                </c:pt>
                <c:pt idx="12" formatCode="_(&quot;$&quot;* #,##0.00_);_(&quot;$&quot;* \(#,##0.00\);_(&quot;$&quot;* &quot;-&quot;??_);_(@_)">
                  <c:v>1563.8533551128887</c:v>
                </c:pt>
                <c:pt idx="13" formatCode="_(&quot;$&quot;* #,##0.00_);_(&quot;$&quot;* \(#,##0.00\);_(&quot;$&quot;* &quot;-&quot;??_);_(@_)">
                  <c:v>1419.9142526698763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3-499E-B2D5-A26BC0F50438}"/>
            </c:ext>
          </c:extLst>
        </c:ser>
        <c:ser>
          <c:idx val="7"/>
          <c:order val="2"/>
          <c:tx>
            <c:strRef>
              <c:f>'Fig 7.4 Wind COMP'!$T$12</c:f>
              <c:strCache>
                <c:ptCount val="1"/>
                <c:pt idx="0">
                  <c:v>2023 ATB</c:v>
                </c:pt>
              </c:strCache>
            </c:strRef>
          </c:tx>
          <c:spPr>
            <a:ln cmpd="sng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7.4 Wind COMP'!$W$14:$W$45</c:f>
                <c:numCache>
                  <c:formatCode>General</c:formatCode>
                  <c:ptCount val="32"/>
                  <c:pt idx="0">
                    <c:v>#N/A</c:v>
                  </c:pt>
                  <c:pt idx="1">
                    <c:v>#N/A</c:v>
                  </c:pt>
                  <c:pt idx="2">
                    <c:v>0</c:v>
                  </c:pt>
                  <c:pt idx="3">
                    <c:v>15</c:v>
                  </c:pt>
                  <c:pt idx="4">
                    <c:v>29</c:v>
                  </c:pt>
                  <c:pt idx="5">
                    <c:v>39</c:v>
                  </c:pt>
                  <c:pt idx="6">
                    <c:v>52</c:v>
                  </c:pt>
                  <c:pt idx="7">
                    <c:v>65</c:v>
                  </c:pt>
                  <c:pt idx="8">
                    <c:v>78</c:v>
                  </c:pt>
                  <c:pt idx="9">
                    <c:v>91</c:v>
                  </c:pt>
                  <c:pt idx="10">
                    <c:v>103</c:v>
                  </c:pt>
                  <c:pt idx="11">
                    <c:v>117</c:v>
                  </c:pt>
                  <c:pt idx="12">
                    <c:v>119</c:v>
                  </c:pt>
                  <c:pt idx="13">
                    <c:v>122</c:v>
                  </c:pt>
                  <c:pt idx="14">
                    <c:v>125</c:v>
                  </c:pt>
                  <c:pt idx="15">
                    <c:v>127</c:v>
                  </c:pt>
                  <c:pt idx="16">
                    <c:v>130</c:v>
                  </c:pt>
                  <c:pt idx="17">
                    <c:v>132</c:v>
                  </c:pt>
                  <c:pt idx="18">
                    <c:v>134</c:v>
                  </c:pt>
                  <c:pt idx="19">
                    <c:v>137</c:v>
                  </c:pt>
                  <c:pt idx="20">
                    <c:v>140</c:v>
                  </c:pt>
                  <c:pt idx="21">
                    <c:v>142</c:v>
                  </c:pt>
                  <c:pt idx="22">
                    <c:v>145</c:v>
                  </c:pt>
                  <c:pt idx="23">
                    <c:v>148</c:v>
                  </c:pt>
                  <c:pt idx="24">
                    <c:v>150</c:v>
                  </c:pt>
                  <c:pt idx="25">
                    <c:v>153</c:v>
                  </c:pt>
                  <c:pt idx="26">
                    <c:v>156</c:v>
                  </c:pt>
                  <c:pt idx="27">
                    <c:v>158</c:v>
                  </c:pt>
                  <c:pt idx="28">
                    <c:v>160</c:v>
                  </c:pt>
                  <c:pt idx="29">
                    <c:v>163</c:v>
                  </c:pt>
                  <c:pt idx="30">
                    <c:v>165</c:v>
                  </c:pt>
                  <c:pt idx="31">
                    <c:v>168</c:v>
                  </c:pt>
                </c:numCache>
              </c:numRef>
            </c:plus>
            <c:minus>
              <c:numRef>
                <c:f>'Fig 7.4 Wind COMP'!$V$14:$V$45</c:f>
                <c:numCache>
                  <c:formatCode>General</c:formatCode>
                  <c:ptCount val="32"/>
                  <c:pt idx="0">
                    <c:v>#N/A</c:v>
                  </c:pt>
                  <c:pt idx="1">
                    <c:v>#N/A</c:v>
                  </c:pt>
                  <c:pt idx="2">
                    <c:v>0</c:v>
                  </c:pt>
                  <c:pt idx="3">
                    <c:v>7</c:v>
                  </c:pt>
                  <c:pt idx="4">
                    <c:v>12</c:v>
                  </c:pt>
                  <c:pt idx="5">
                    <c:v>17</c:v>
                  </c:pt>
                  <c:pt idx="6">
                    <c:v>23</c:v>
                  </c:pt>
                  <c:pt idx="7">
                    <c:v>28</c:v>
                  </c:pt>
                  <c:pt idx="8">
                    <c:v>34</c:v>
                  </c:pt>
                  <c:pt idx="9">
                    <c:v>40</c:v>
                  </c:pt>
                  <c:pt idx="10">
                    <c:v>46</c:v>
                  </c:pt>
                  <c:pt idx="11">
                    <c:v>51</c:v>
                  </c:pt>
                  <c:pt idx="12">
                    <c:v>52</c:v>
                  </c:pt>
                  <c:pt idx="13">
                    <c:v>53</c:v>
                  </c:pt>
                  <c:pt idx="14">
                    <c:v>54</c:v>
                  </c:pt>
                  <c:pt idx="15">
                    <c:v>55</c:v>
                  </c:pt>
                  <c:pt idx="16">
                    <c:v>56</c:v>
                  </c:pt>
                  <c:pt idx="17">
                    <c:v>56</c:v>
                  </c:pt>
                  <c:pt idx="18">
                    <c:v>58</c:v>
                  </c:pt>
                  <c:pt idx="19">
                    <c:v>59</c:v>
                  </c:pt>
                  <c:pt idx="20">
                    <c:v>59</c:v>
                  </c:pt>
                  <c:pt idx="21">
                    <c:v>61</c:v>
                  </c:pt>
                  <c:pt idx="22">
                    <c:v>61</c:v>
                  </c:pt>
                  <c:pt idx="23">
                    <c:v>62</c:v>
                  </c:pt>
                  <c:pt idx="24">
                    <c:v>64</c:v>
                  </c:pt>
                  <c:pt idx="25">
                    <c:v>64</c:v>
                  </c:pt>
                  <c:pt idx="26">
                    <c:v>65</c:v>
                  </c:pt>
                  <c:pt idx="27">
                    <c:v>66</c:v>
                  </c:pt>
                  <c:pt idx="28">
                    <c:v>67</c:v>
                  </c:pt>
                  <c:pt idx="29">
                    <c:v>68</c:v>
                  </c:pt>
                  <c:pt idx="30">
                    <c:v>69</c:v>
                  </c:pt>
                  <c:pt idx="31">
                    <c:v>70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cat>
            <c:numRef>
              <c:f>'Fig 7.4 Wind COMP'!$A$14:$A$27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7.4 Wind COMP'!$T$14:$T$27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 formatCode="&quot;$&quot;#,##0">
                  <c:v>1284</c:v>
                </c:pt>
                <c:pt idx="3" formatCode="&quot;$&quot;#,##0">
                  <c:v>1451</c:v>
                </c:pt>
                <c:pt idx="4" formatCode="&quot;$&quot;#,##0">
                  <c:v>1363</c:v>
                </c:pt>
                <c:pt idx="5" formatCode="&quot;$&quot;#,##0">
                  <c:v>1217</c:v>
                </c:pt>
                <c:pt idx="6" formatCode="&quot;$&quot;#,##0">
                  <c:v>1195</c:v>
                </c:pt>
                <c:pt idx="7" formatCode="&quot;$&quot;#,##0">
                  <c:v>1172</c:v>
                </c:pt>
                <c:pt idx="8" formatCode="&quot;$&quot;#,##0">
                  <c:v>1150</c:v>
                </c:pt>
                <c:pt idx="9" formatCode="&quot;$&quot;#,##0">
                  <c:v>1128</c:v>
                </c:pt>
                <c:pt idx="10" formatCode="&quot;$&quot;#,##0">
                  <c:v>1106</c:v>
                </c:pt>
                <c:pt idx="11" formatCode="&quot;$&quot;#,##0">
                  <c:v>1083</c:v>
                </c:pt>
                <c:pt idx="12" formatCode="&quot;$&quot;#,##0">
                  <c:v>1073</c:v>
                </c:pt>
                <c:pt idx="13" formatCode="&quot;$&quot;#,##0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B3-499E-B2D5-A26BC0F50438}"/>
            </c:ext>
          </c:extLst>
        </c:ser>
        <c:ser>
          <c:idx val="0"/>
          <c:order val="3"/>
          <c:tx>
            <c:strRef>
              <c:f>'Fig 7.4 Wind COMP'!$X$12</c:f>
              <c:strCache>
                <c:ptCount val="1"/>
                <c:pt idx="0">
                  <c:v>PGE 2023 IRP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noFill/>
              </a:ln>
            </c:spPr>
          </c:marker>
          <c:val>
            <c:numRef>
              <c:f>'Fig 7.4 Wind COMP'!$X$14:$X$27</c:f>
              <c:numCache>
                <c:formatCode>General</c:formatCode>
                <c:ptCount val="14"/>
                <c:pt idx="0">
                  <c:v>1264.5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1477</c:v>
                </c:pt>
                <c:pt idx="8">
                  <c:v>1462.23</c:v>
                </c:pt>
                <c:pt idx="9">
                  <c:v>1447.46</c:v>
                </c:pt>
                <c:pt idx="10">
                  <c:v>1432.69</c:v>
                </c:pt>
                <c:pt idx="11">
                  <c:v>1417.9199999999998</c:v>
                </c:pt>
                <c:pt idx="12">
                  <c:v>1403.1499999999999</c:v>
                </c:pt>
                <c:pt idx="13">
                  <c:v>1388.3799999999999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B3-499E-B2D5-A26BC0F50438}"/>
            </c:ext>
          </c:extLst>
        </c:ser>
        <c:ser>
          <c:idx val="1"/>
          <c:order val="4"/>
          <c:tx>
            <c:strRef>
              <c:f>'Fig 7.4 Wind COMP'!$Z$12</c:f>
              <c:strCache>
                <c:ptCount val="1"/>
                <c:pt idx="0">
                  <c:v>CPUC 2023 IRP</c:v>
                </c:pt>
              </c:strCache>
            </c:strRef>
          </c:tx>
          <c:val>
            <c:numRef>
              <c:f>'Fig 7.4 Wind COMP'!$Z$14:$Z$27</c:f>
              <c:numCache>
                <c:formatCode>_("$"* #,##0_);_("$"* \(#,##0\);_("$"* "-"??_);_(@_)</c:formatCode>
                <c:ptCount val="14"/>
                <c:pt idx="0" formatCode="General">
                  <c:v>#N/A</c:v>
                </c:pt>
                <c:pt idx="1">
                  <c:v>1653.18</c:v>
                </c:pt>
                <c:pt idx="2">
                  <c:v>1621.34</c:v>
                </c:pt>
                <c:pt idx="3">
                  <c:v>1589.5</c:v>
                </c:pt>
                <c:pt idx="4">
                  <c:v>1557.65</c:v>
                </c:pt>
                <c:pt idx="5">
                  <c:v>1525.81</c:v>
                </c:pt>
                <c:pt idx="6">
                  <c:v>1493.97</c:v>
                </c:pt>
                <c:pt idx="7">
                  <c:v>1462.13</c:v>
                </c:pt>
                <c:pt idx="8">
                  <c:v>1430.28</c:v>
                </c:pt>
                <c:pt idx="9">
                  <c:v>1398.44</c:v>
                </c:pt>
                <c:pt idx="10">
                  <c:v>1366.6</c:v>
                </c:pt>
                <c:pt idx="11">
                  <c:v>1334.76</c:v>
                </c:pt>
                <c:pt idx="12">
                  <c:v>1324.02</c:v>
                </c:pt>
                <c:pt idx="13">
                  <c:v>1313.27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9B3-499E-B2D5-A26BC0F50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963039"/>
        <c:axId val="1933875379"/>
      </c:lineChart>
      <c:catAx>
        <c:axId val="1344963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Calendar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3875379"/>
        <c:crosses val="autoZero"/>
        <c:auto val="1"/>
        <c:lblAlgn val="ctr"/>
        <c:lblOffset val="100"/>
        <c:noMultiLvlLbl val="1"/>
      </c:catAx>
      <c:valAx>
        <c:axId val="1933875379"/>
        <c:scaling>
          <c:orientation val="minMax"/>
          <c:min val="9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 u="none" strike="noStrike" kern="1200" baseline="0">
                    <a:solidFill>
                      <a:srgbClr val="000000"/>
                    </a:solidFill>
                  </a:rPr>
                  <a:t>Land-Based WInd Base Capital Cost ($/kW)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496303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History of SSR Battery Energy Storage System Costs &amp; Forecast</a:t>
            </a:r>
          </a:p>
        </c:rich>
      </c:tx>
      <c:layout>
        <c:manualLayout>
          <c:xMode val="edge"/>
          <c:yMode val="edge"/>
          <c:x val="0.13426830912667764"/>
          <c:y val="1.55806044783809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81227382673485"/>
          <c:y val="0.11557692402063019"/>
          <c:w val="0.86236040946608694"/>
          <c:h val="0.71723214855308937"/>
        </c:manualLayout>
      </c:layout>
      <c:lineChart>
        <c:grouping val="standard"/>
        <c:varyColors val="1"/>
        <c:ser>
          <c:idx val="4"/>
          <c:order val="0"/>
          <c:tx>
            <c:strRef>
              <c:f>'Fig 7.5 LI Storage COMP'!$K$14</c:f>
              <c:strCache>
                <c:ptCount val="1"/>
                <c:pt idx="0">
                  <c:v>2021 IRP</c:v>
                </c:pt>
              </c:strCache>
            </c:strRef>
          </c:tx>
          <c:spPr>
            <a:ln w="19050" cmpd="sng">
              <a:solidFill>
                <a:srgbClr val="FF0000">
                  <a:alpha val="100000"/>
                </a:srgbClr>
              </a:solidFill>
              <a:prstDash val="lgDash"/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cmpd="sng">
                <a:solidFill>
                  <a:srgbClr val="FF0000">
                    <a:alpha val="100000"/>
                  </a:srgbClr>
                </a:solidFill>
              </a:ln>
            </c:spPr>
          </c:marker>
          <c:cat>
            <c:numRef>
              <c:f>'Fig 7.5 LI Storage COMP'!$A$21:$A$34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7.5 LI Storage COMP'!$K$21:$K$34</c:f>
              <c:numCache>
                <c:formatCode>_("$"* #,##0.00_);_("$"* \(#,##0.00\);_("$"* "-"??_);_(@_)</c:formatCode>
                <c:ptCount val="14"/>
                <c:pt idx="0" formatCode="General">
                  <c:v>#N/A</c:v>
                </c:pt>
                <c:pt idx="1">
                  <c:v>454.94034185402762</c:v>
                </c:pt>
                <c:pt idx="2">
                  <c:v>431.57854051557752</c:v>
                </c:pt>
                <c:pt idx="3">
                  <c:v>406.98717068563008</c:v>
                </c:pt>
                <c:pt idx="4">
                  <c:v>383.62536934718008</c:v>
                </c:pt>
                <c:pt idx="5">
                  <c:v>360.26356800872998</c:v>
                </c:pt>
                <c:pt idx="6">
                  <c:v>335.67219817878254</c:v>
                </c:pt>
                <c:pt idx="7">
                  <c:v>319.68780778931671</c:v>
                </c:pt>
                <c:pt idx="8">
                  <c:v>303.70341739985088</c:v>
                </c:pt>
                <c:pt idx="9">
                  <c:v>287.71902701038505</c:v>
                </c:pt>
                <c:pt idx="10">
                  <c:v>271.73463662091922</c:v>
                </c:pt>
                <c:pt idx="11">
                  <c:v>255.75024623145339</c:v>
                </c:pt>
                <c:pt idx="12" formatCode="General">
                  <c:v>#N/A</c:v>
                </c:pt>
                <c:pt idx="13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C5-46DD-B828-C22DBCD52435}"/>
            </c:ext>
          </c:extLst>
        </c:ser>
        <c:ser>
          <c:idx val="5"/>
          <c:order val="1"/>
          <c:tx>
            <c:strRef>
              <c:f>'Fig 7.5 LI Storage COMP'!$M$14</c:f>
              <c:strCache>
                <c:ptCount val="1"/>
                <c:pt idx="0">
                  <c:v>2023 IRP</c:v>
                </c:pt>
              </c:strCache>
            </c:strRef>
          </c:tx>
          <c:spPr>
            <a:ln w="19050" cmpd="sng">
              <a:solidFill>
                <a:srgbClr val="0070C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70C0">
                  <a:alpha val="100000"/>
                </a:srgbClr>
              </a:solidFill>
              <a:ln cmpd="sng">
                <a:solidFill>
                  <a:srgbClr val="0070C0">
                    <a:alpha val="100000"/>
                  </a:srgbClr>
                </a:solidFill>
              </a:ln>
            </c:spPr>
          </c:marker>
          <c:cat>
            <c:numRef>
              <c:f>'Fig 7.5 LI Storage COMP'!$A$21:$A$34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7.5 LI Storage COMP'!$M$21:$M$34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 formatCode="_(&quot;$&quot;* #,##0.00_);_(&quot;$&quot;* \(#,##0.00\);_(&quot;$&quot;* &quot;-&quot;??_);_(@_)">
                  <c:v>454.25</c:v>
                </c:pt>
                <c:pt idx="4" formatCode="_(&quot;$&quot;* #,##0.00_);_(&quot;$&quot;* \(#,##0.00\);_(&quot;$&quot;* &quot;-&quot;??_);_(@_)">
                  <c:v>477.25098291185327</c:v>
                </c:pt>
                <c:pt idx="5" formatCode="_(&quot;$&quot;* #,##0.00_);_(&quot;$&quot;* \(#,##0.00\);_(&quot;$&quot;* &quot;-&quot;??_);_(@_)">
                  <c:v>477.25098291185327</c:v>
                </c:pt>
                <c:pt idx="6" formatCode="_(&quot;$&quot;* #,##0.00_);_(&quot;$&quot;* \(#,##0.00\);_(&quot;$&quot;* &quot;-&quot;??_);_(@_)">
                  <c:v>477.25098291185327</c:v>
                </c:pt>
                <c:pt idx="7" formatCode="_(&quot;$&quot;* #,##0.00_);_(&quot;$&quot;* \(#,##0.00\);_(&quot;$&quot;* &quot;-&quot;??_);_(@_)">
                  <c:v>477.25098291185327</c:v>
                </c:pt>
                <c:pt idx="8" formatCode="_(&quot;$&quot;* #,##0.00_);_(&quot;$&quot;* \(#,##0.00\);_(&quot;$&quot;* &quot;-&quot;??_);_(@_)">
                  <c:v>477.25098291185327</c:v>
                </c:pt>
                <c:pt idx="9" formatCode="_(&quot;$&quot;* #,##0.00_);_(&quot;$&quot;* \(#,##0.00\);_(&quot;$&quot;* &quot;-&quot;??_);_(@_)">
                  <c:v>477.25098291185327</c:v>
                </c:pt>
                <c:pt idx="10" formatCode="_(&quot;$&quot;* #,##0.00_);_(&quot;$&quot;* \(#,##0.00\);_(&quot;$&quot;* &quot;-&quot;??_);_(@_)">
                  <c:v>461.59899147522941</c:v>
                </c:pt>
                <c:pt idx="11" formatCode="_(&quot;$&quot;* #,##0.00_);_(&quot;$&quot;* \(#,##0.00\);_(&quot;$&quot;* &quot;-&quot;??_);_(@_)">
                  <c:v>445.38843654504433</c:v>
                </c:pt>
                <c:pt idx="12" formatCode="_(&quot;$&quot;* #,##0.00_);_(&quot;$&quot;* \(#,##0.00\);_(&quot;$&quot;* &quot;-&quot;??_);_(@_)">
                  <c:v>428.57797652845164</c:v>
                </c:pt>
                <c:pt idx="13" formatCode="_(&quot;$&quot;* #,##0.00_);_(&quot;$&quot;* \(#,##0.00\);_(&quot;$&quot;* &quot;-&quot;??_);_(@_)">
                  <c:v>411.12150365719071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C5-46DD-B828-C22DBCD52435}"/>
            </c:ext>
          </c:extLst>
        </c:ser>
        <c:ser>
          <c:idx val="0"/>
          <c:order val="2"/>
          <c:tx>
            <c:strRef>
              <c:f>'Fig 7.5 LI Storage COMP'!$X$15</c:f>
              <c:strCache>
                <c:ptCount val="1"/>
                <c:pt idx="0">
                  <c:v>2023 NREL study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diamond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7.5 LI Storage COMP'!$AB$21:$AB$34</c:f>
                <c:numCache>
                  <c:formatCode>General</c:formatCode>
                  <c:ptCount val="14"/>
                  <c:pt idx="0" formatCode="&quot;$&quot;#,##0">
                    <c:v>0</c:v>
                  </c:pt>
                  <c:pt idx="1">
                    <c:v>#N/A</c:v>
                  </c:pt>
                  <c:pt idx="2">
                    <c:v>#N/A</c:v>
                  </c:pt>
                  <c:pt idx="3">
                    <c:v>0</c:v>
                  </c:pt>
                  <c:pt idx="4">
                    <c:v>37</c:v>
                  </c:pt>
                  <c:pt idx="5">
                    <c:v>60</c:v>
                  </c:pt>
                  <c:pt idx="6">
                    <c:v>108</c:v>
                  </c:pt>
                  <c:pt idx="7">
                    <c:v>101</c:v>
                  </c:pt>
                  <c:pt idx="8">
                    <c:v>96</c:v>
                  </c:pt>
                  <c:pt idx="9">
                    <c:v>89</c:v>
                  </c:pt>
                  <c:pt idx="10">
                    <c:v>84</c:v>
                  </c:pt>
                  <c:pt idx="11">
                    <c:v>77</c:v>
                  </c:pt>
                  <c:pt idx="12">
                    <c:v>79</c:v>
                  </c:pt>
                  <c:pt idx="13">
                    <c:v>82</c:v>
                  </c:pt>
                </c:numCache>
              </c:numRef>
            </c:plus>
            <c:minus>
              <c:numRef>
                <c:f>'Fig 7.5 LI Storage COMP'!$AA$21:$AA$34</c:f>
                <c:numCache>
                  <c:formatCode>General</c:formatCode>
                  <c:ptCount val="14"/>
                  <c:pt idx="0" formatCode="&quot;$&quot;#,##0">
                    <c:v>0</c:v>
                  </c:pt>
                  <c:pt idx="1">
                    <c:v>#N/A</c:v>
                  </c:pt>
                  <c:pt idx="2">
                    <c:v>#N/A</c:v>
                  </c:pt>
                  <c:pt idx="3">
                    <c:v>0</c:v>
                  </c:pt>
                  <c:pt idx="4">
                    <c:v>116</c:v>
                  </c:pt>
                  <c:pt idx="5">
                    <c:v>116</c:v>
                  </c:pt>
                  <c:pt idx="6">
                    <c:v>78</c:v>
                  </c:pt>
                  <c:pt idx="7">
                    <c:v>79</c:v>
                  </c:pt>
                  <c:pt idx="8">
                    <c:v>79</c:v>
                  </c:pt>
                  <c:pt idx="9">
                    <c:v>80</c:v>
                  </c:pt>
                  <c:pt idx="10">
                    <c:v>80</c:v>
                  </c:pt>
                  <c:pt idx="11">
                    <c:v>81</c:v>
                  </c:pt>
                  <c:pt idx="12">
                    <c:v>81</c:v>
                  </c:pt>
                  <c:pt idx="13">
                    <c:v>80</c:v>
                  </c:pt>
                </c:numCache>
              </c:numRef>
            </c:minus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errBars>
          <c:val>
            <c:numRef>
              <c:f>'Fig 7.5 LI Storage COMP'!$Y$21:$Y$34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482</c:v>
                </c:pt>
                <c:pt idx="4">
                  <c:v>463</c:v>
                </c:pt>
                <c:pt idx="5">
                  <c:v>443</c:v>
                </c:pt>
                <c:pt idx="6">
                  <c:v>388</c:v>
                </c:pt>
                <c:pt idx="7">
                  <c:v>376</c:v>
                </c:pt>
                <c:pt idx="8">
                  <c:v>363</c:v>
                </c:pt>
                <c:pt idx="9">
                  <c:v>351</c:v>
                </c:pt>
                <c:pt idx="10">
                  <c:v>338</c:v>
                </c:pt>
                <c:pt idx="11">
                  <c:v>326</c:v>
                </c:pt>
                <c:pt idx="12">
                  <c:v>321</c:v>
                </c:pt>
                <c:pt idx="13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C5-46DD-B828-C22DBCD52435}"/>
            </c:ext>
          </c:extLst>
        </c:ser>
        <c:ser>
          <c:idx val="7"/>
          <c:order val="3"/>
          <c:tx>
            <c:strRef>
              <c:f>'Fig 7.5 LI Storage COMP'!$U$15</c:f>
              <c:strCache>
                <c:ptCount val="1"/>
                <c:pt idx="0">
                  <c:v>2023 ATB</c:v>
                </c:pt>
              </c:strCache>
            </c:strRef>
          </c:tx>
          <c:spPr>
            <a:ln cmpd="sng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7.5 LI Storage COMP'!$W$21:$W$34</c:f>
                <c:numCache>
                  <c:formatCode>General</c:formatCode>
                  <c:ptCount val="14"/>
                  <c:pt idx="0">
                    <c:v>#N/A</c:v>
                  </c:pt>
                  <c:pt idx="1">
                    <c:v>#N/A</c:v>
                  </c:pt>
                  <c:pt idx="2">
                    <c:v>#N/A</c:v>
                  </c:pt>
                  <c:pt idx="3">
                    <c:v>#N/A</c:v>
                  </c:pt>
                  <c:pt idx="4">
                    <c:v>28.937636123276832</c:v>
                  </c:pt>
                  <c:pt idx="5">
                    <c:v>48.630774228214079</c:v>
                  </c:pt>
                  <c:pt idx="6">
                    <c:v>85.537674850727512</c:v>
                  </c:pt>
                  <c:pt idx="7">
                    <c:v>81.832746301187058</c:v>
                  </c:pt>
                  <c:pt idx="8">
                    <c:v>78.170546912918496</c:v>
                  </c:pt>
                  <c:pt idx="9">
                    <c:v>74.555936863853589</c:v>
                  </c:pt>
                  <c:pt idx="10">
                    <c:v>70.994546188208574</c:v>
                  </c:pt>
                  <c:pt idx="11">
                    <c:v>67.492934309963005</c:v>
                  </c:pt>
                  <c:pt idx="12">
                    <c:v>69.616110754465893</c:v>
                  </c:pt>
                  <c:pt idx="13">
                    <c:v>71.735422013572929</c:v>
                  </c:pt>
                </c:numCache>
              </c:numRef>
            </c:plus>
            <c:minus>
              <c:numRef>
                <c:f>'Fig 7.5 LI Storage COMP'!$V$21:$V$34</c:f>
                <c:numCache>
                  <c:formatCode>General</c:formatCode>
                  <c:ptCount val="14"/>
                  <c:pt idx="0">
                    <c:v>#N/A</c:v>
                  </c:pt>
                  <c:pt idx="1">
                    <c:v>#N/A</c:v>
                  </c:pt>
                  <c:pt idx="2">
                    <c:v>#N/A</c:v>
                  </c:pt>
                  <c:pt idx="3">
                    <c:v>#N/A</c:v>
                  </c:pt>
                  <c:pt idx="4" formatCode="&quot;$&quot;#,##0">
                    <c:v>86.104140215098994</c:v>
                  </c:pt>
                  <c:pt idx="5" formatCode="&quot;$&quot;#,##0">
                    <c:v>83.488652211258852</c:v>
                  </c:pt>
                  <c:pt idx="6" formatCode="&quot;$&quot;#,##0">
                    <c:v>53.48544747510968</c:v>
                  </c:pt>
                  <c:pt idx="7" formatCode="&quot;$&quot;#,##0">
                    <c:v>51.634581232845903</c:v>
                  </c:pt>
                  <c:pt idx="8" formatCode="&quot;$&quot;#,##0">
                    <c:v>49.747755260373339</c:v>
                  </c:pt>
                  <c:pt idx="9" formatCode="&quot;$&quot;#,##0">
                    <c:v>47.858261992433626</c:v>
                  </c:pt>
                  <c:pt idx="10" formatCode="&quot;$&quot;#,##0">
                    <c:v>45.946673227950271</c:v>
                  </c:pt>
                  <c:pt idx="11" formatCode="&quot;$&quot;#,##0">
                    <c:v>43.690792531035157</c:v>
                  </c:pt>
                  <c:pt idx="12" formatCode="&quot;$&quot;#,##0">
                    <c:v>42.73224719374582</c:v>
                  </c:pt>
                  <c:pt idx="13" formatCode="&quot;$&quot;#,##0">
                    <c:v>41.777573854372804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cat>
            <c:numRef>
              <c:f>'Fig 7.5 LI Storage COMP'!$A$21:$A$34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'Fig 7.5 LI Storage COMP'!$U$21:$U$34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 formatCode="&quot;$&quot;#,##0">
                  <c:v>322.051049922</c:v>
                </c:pt>
                <c:pt idx="3" formatCode="&quot;$&quot;#,##0">
                  <c:v>361.97092399999997</c:v>
                </c:pt>
                <c:pt idx="4" formatCode="&quot;$&quot;#,##0">
                  <c:v>346.56710630758812</c:v>
                </c:pt>
                <c:pt idx="5" formatCode="&quot;$&quot;#,##0">
                  <c:v>329.40171900524172</c:v>
                </c:pt>
                <c:pt idx="6" formatCode="&quot;$&quot;#,##0">
                  <c:v>286.97036539931014</c:v>
                </c:pt>
                <c:pt idx="7" formatCode="&quot;$&quot;#,##0">
                  <c:v>275.12638406031789</c:v>
                </c:pt>
                <c:pt idx="8" formatCode="&quot;$&quot;#,##0">
                  <c:v>263.25962797168745</c:v>
                </c:pt>
                <c:pt idx="9" formatCode="&quot;$&quot;#,##0">
                  <c:v>251.36734402479217</c:v>
                </c:pt>
                <c:pt idx="10" formatCode="&quot;$&quot;#,##0">
                  <c:v>239.44631673642476</c:v>
                </c:pt>
                <c:pt idx="11" formatCode="&quot;$&quot;#,##0">
                  <c:v>227.49276692697981</c:v>
                </c:pt>
                <c:pt idx="12" formatCode="&quot;$&quot;#,##0">
                  <c:v>223.34988752774942</c:v>
                </c:pt>
                <c:pt idx="13" formatCode="&quot;$&quot;#,##0">
                  <c:v>219.21087331391499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C5-46DD-B828-C22DBCD52435}"/>
            </c:ext>
          </c:extLst>
        </c:ser>
        <c:ser>
          <c:idx val="1"/>
          <c:order val="4"/>
          <c:tx>
            <c:strRef>
              <c:f>'Fig 7.5 LI Storage COMP'!$S$15</c:f>
              <c:strCache>
                <c:ptCount val="1"/>
                <c:pt idx="0">
                  <c:v>2023 CPUC IRP</c:v>
                </c:pt>
              </c:strCache>
            </c:strRef>
          </c:tx>
          <c:val>
            <c:numRef>
              <c:f>'Fig 7.5 LI Storage COMP'!$S$21:$S$34</c:f>
              <c:numCache>
                <c:formatCode>_("$"* #,##0_);_("$"* \(#,##0\);_("$"* "-"??_);_(@_)</c:formatCode>
                <c:ptCount val="14"/>
                <c:pt idx="0" formatCode="General">
                  <c:v>#N/A</c:v>
                </c:pt>
                <c:pt idx="1">
                  <c:v>318.95999999999998</c:v>
                </c:pt>
                <c:pt idx="2">
                  <c:v>318.95999999999998</c:v>
                </c:pt>
                <c:pt idx="3">
                  <c:v>318.95999999999998</c:v>
                </c:pt>
                <c:pt idx="4">
                  <c:v>318.95999999999998</c:v>
                </c:pt>
                <c:pt idx="5">
                  <c:v>318.95999999999998</c:v>
                </c:pt>
                <c:pt idx="6">
                  <c:v>318.95999999999998</c:v>
                </c:pt>
                <c:pt idx="7">
                  <c:v>318.95999999999998</c:v>
                </c:pt>
                <c:pt idx="8">
                  <c:v>288.16000000000003</c:v>
                </c:pt>
                <c:pt idx="9">
                  <c:v>259.56</c:v>
                </c:pt>
                <c:pt idx="10">
                  <c:v>244.17</c:v>
                </c:pt>
                <c:pt idx="11">
                  <c:v>228.77</c:v>
                </c:pt>
                <c:pt idx="12">
                  <c:v>215.57</c:v>
                </c:pt>
                <c:pt idx="13">
                  <c:v>202.37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C5-46DD-B828-C22DBCD52435}"/>
            </c:ext>
          </c:extLst>
        </c:ser>
        <c:ser>
          <c:idx val="2"/>
          <c:order val="5"/>
          <c:tx>
            <c:strRef>
              <c:f>'Fig 7.5 LI Storage COMP'!$AD$15</c:f>
              <c:strCache>
                <c:ptCount val="1"/>
                <c:pt idx="0">
                  <c:v>2023 PGE IRP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noFill/>
              </a:ln>
            </c:spPr>
          </c:marker>
          <c:val>
            <c:numRef>
              <c:f>'Fig 7.5 LI Storage COMP'!$AD$21:$AD$34</c:f>
              <c:numCache>
                <c:formatCode>General</c:formatCode>
                <c:ptCount val="14"/>
                <c:pt idx="0" formatCode="&quot;$&quot;#,##0">
                  <c:v>332.75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297</c:v>
                </c:pt>
                <c:pt idx="8">
                  <c:v>287.34750000000003</c:v>
                </c:pt>
                <c:pt idx="9">
                  <c:v>277.69499999999999</c:v>
                </c:pt>
                <c:pt idx="10">
                  <c:v>268.04250000000002</c:v>
                </c:pt>
                <c:pt idx="11">
                  <c:v>258.39</c:v>
                </c:pt>
                <c:pt idx="12">
                  <c:v>255.42</c:v>
                </c:pt>
                <c:pt idx="13">
                  <c:v>252.45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C5-46DD-B828-C22DBCD52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26331"/>
        <c:axId val="325223357"/>
      </c:lineChart>
      <c:catAx>
        <c:axId val="12248263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Calendar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5223357"/>
        <c:crosses val="autoZero"/>
        <c:auto val="1"/>
        <c:lblAlgn val="ctr"/>
        <c:lblOffset val="100"/>
        <c:noMultiLvlLbl val="1"/>
      </c:catAx>
      <c:valAx>
        <c:axId val="325223357"/>
        <c:scaling>
          <c:orientation val="minMax"/>
          <c:max val="550"/>
          <c:min val="15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Battery ESS Base Capital Cost (mid-year $/kWh)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24826331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484516901483501E-2"/>
          <c:y val="0.92443333218830204"/>
          <c:w val="0.97851548309851655"/>
          <c:h val="7.1281633534368102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chart" Target="../charts/chart3.xml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chart" Target="../charts/chart4.xml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426770</xdr:colOff>
      <xdr:row>44</xdr:row>
      <xdr:rowOff>115413</xdr:rowOff>
    </xdr:from>
    <xdr:ext cx="6353175" cy="4248150"/>
    <xdr:graphicFrame macro="">
      <xdr:nvGraphicFramePr>
        <xdr:cNvPr id="446840967" name="Chart 4" title="Chart">
          <a:extLst>
            <a:ext uri="{FF2B5EF4-FFF2-40B4-BE49-F238E27FC236}">
              <a16:creationId xmlns:a16="http://schemas.microsoft.com/office/drawing/2014/main" id="{00000000-0008-0000-0300-00008740A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24</xdr:col>
      <xdr:colOff>344980</xdr:colOff>
      <xdr:row>29</xdr:row>
      <xdr:rowOff>13606</xdr:rowOff>
    </xdr:from>
    <xdr:to>
      <xdr:col>38</xdr:col>
      <xdr:colOff>28977</xdr:colOff>
      <xdr:row>46</xdr:row>
      <xdr:rowOff>135802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DCFE73-2117-9F24-5A97-6248CF199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49159" y="5714999"/>
          <a:ext cx="7875497" cy="3592017"/>
        </a:xfrm>
        <a:prstGeom prst="rect">
          <a:avLst/>
        </a:prstGeom>
      </xdr:spPr>
    </xdr:pic>
    <xdr:clientData/>
  </xdr:twoCellAnchor>
  <xdr:twoCellAnchor editAs="oneCell">
    <xdr:from>
      <xdr:col>24</xdr:col>
      <xdr:colOff>390607</xdr:colOff>
      <xdr:row>4</xdr:row>
      <xdr:rowOff>108856</xdr:rowOff>
    </xdr:from>
    <xdr:to>
      <xdr:col>37</xdr:col>
      <xdr:colOff>371472</xdr:colOff>
      <xdr:row>28</xdr:row>
      <xdr:rowOff>189077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D96217-3DAF-1D51-9102-2F0AD62BB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94786" y="870856"/>
          <a:ext cx="7587258" cy="4815507"/>
        </a:xfrm>
        <a:prstGeom prst="rect">
          <a:avLst/>
        </a:prstGeom>
      </xdr:spPr>
    </xdr:pic>
    <xdr:clientData/>
  </xdr:twoCellAnchor>
  <xdr:twoCellAnchor editAs="oneCell">
    <xdr:from>
      <xdr:col>24</xdr:col>
      <xdr:colOff>264939</xdr:colOff>
      <xdr:row>47</xdr:row>
      <xdr:rowOff>12005</xdr:rowOff>
    </xdr:from>
    <xdr:to>
      <xdr:col>38</xdr:col>
      <xdr:colOff>304188</xdr:colOff>
      <xdr:row>66</xdr:row>
      <xdr:rowOff>137429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C69B3B-B90A-A840-210A-D825DFFD8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69118" y="9387326"/>
          <a:ext cx="8230749" cy="400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124015</xdr:colOff>
      <xdr:row>47</xdr:row>
      <xdr:rowOff>36019</xdr:rowOff>
    </xdr:from>
    <xdr:ext cx="7121099" cy="4989581"/>
    <xdr:graphicFrame macro="">
      <xdr:nvGraphicFramePr>
        <xdr:cNvPr id="2" name="Chart 5" title="Chart">
          <a:extLst>
            <a:ext uri="{FF2B5EF4-FFF2-40B4-BE49-F238E27FC236}">
              <a16:creationId xmlns:a16="http://schemas.microsoft.com/office/drawing/2014/main" id="{7F2D2E05-4AF2-4D5E-A0FC-E265B4A98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37</xdr:col>
      <xdr:colOff>18411</xdr:colOff>
      <xdr:row>4</xdr:row>
      <xdr:rowOff>153681</xdr:rowOff>
    </xdr:from>
    <xdr:to>
      <xdr:col>43</xdr:col>
      <xdr:colOff>156671</xdr:colOff>
      <xdr:row>15</xdr:row>
      <xdr:rowOff>173746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03392E-57FA-7395-DA82-30337B683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82125" y="1133395"/>
          <a:ext cx="5934903" cy="2129173"/>
        </a:xfrm>
        <a:prstGeom prst="rect">
          <a:avLst/>
        </a:prstGeom>
      </xdr:spPr>
    </xdr:pic>
    <xdr:clientData/>
  </xdr:twoCellAnchor>
  <xdr:twoCellAnchor editAs="oneCell">
    <xdr:from>
      <xdr:col>37</xdr:col>
      <xdr:colOff>108858</xdr:colOff>
      <xdr:row>29</xdr:row>
      <xdr:rowOff>27216</xdr:rowOff>
    </xdr:from>
    <xdr:to>
      <xdr:col>44</xdr:col>
      <xdr:colOff>680357</xdr:colOff>
      <xdr:row>47</xdr:row>
      <xdr:rowOff>163048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55A70B-6A1D-4F27-8181-C6B546E2A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72572" y="5959930"/>
          <a:ext cx="7334249" cy="3809761"/>
        </a:xfrm>
        <a:prstGeom prst="rect">
          <a:avLst/>
        </a:prstGeom>
      </xdr:spPr>
    </xdr:pic>
    <xdr:clientData/>
  </xdr:twoCellAnchor>
  <xdr:twoCellAnchor editAs="oneCell">
    <xdr:from>
      <xdr:col>37</xdr:col>
      <xdr:colOff>136072</xdr:colOff>
      <xdr:row>16</xdr:row>
      <xdr:rowOff>45986</xdr:rowOff>
    </xdr:from>
    <xdr:to>
      <xdr:col>42</xdr:col>
      <xdr:colOff>680357</xdr:colOff>
      <xdr:row>28</xdr:row>
      <xdr:rowOff>105187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8FB785D-B033-97D0-88B5-2523C86BE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99786" y="3325307"/>
          <a:ext cx="5374821" cy="2494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346824</xdr:colOff>
      <xdr:row>44</xdr:row>
      <xdr:rowOff>109819</xdr:rowOff>
    </xdr:from>
    <xdr:ext cx="5950883" cy="4372534"/>
    <xdr:graphicFrame macro="">
      <xdr:nvGraphicFramePr>
        <xdr:cNvPr id="472027112" name="Chart 5" title="Chart">
          <a:extLst>
            <a:ext uri="{FF2B5EF4-FFF2-40B4-BE49-F238E27FC236}">
              <a16:creationId xmlns:a16="http://schemas.microsoft.com/office/drawing/2014/main" id="{00000000-0008-0000-0400-0000E88F22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27</xdr:col>
      <xdr:colOff>183496</xdr:colOff>
      <xdr:row>25</xdr:row>
      <xdr:rowOff>137273</xdr:rowOff>
    </xdr:from>
    <xdr:to>
      <xdr:col>35</xdr:col>
      <xdr:colOff>676019</xdr:colOff>
      <xdr:row>42</xdr:row>
      <xdr:rowOff>166331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A03999-C21E-446F-BF55-2DBB4178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8684" y="4899773"/>
          <a:ext cx="8112523" cy="3267558"/>
        </a:xfrm>
        <a:prstGeom prst="rect">
          <a:avLst/>
        </a:prstGeom>
      </xdr:spPr>
    </xdr:pic>
    <xdr:clientData/>
  </xdr:twoCellAnchor>
  <xdr:twoCellAnchor editAs="oneCell">
    <xdr:from>
      <xdr:col>27</xdr:col>
      <xdr:colOff>147077</xdr:colOff>
      <xdr:row>4</xdr:row>
      <xdr:rowOff>71436</xdr:rowOff>
    </xdr:from>
    <xdr:to>
      <xdr:col>35</xdr:col>
      <xdr:colOff>497443</xdr:colOff>
      <xdr:row>25</xdr:row>
      <xdr:rowOff>62610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AD058F-FD71-FCF7-EB38-549B19F1C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92265" y="833436"/>
          <a:ext cx="7970366" cy="4005281"/>
        </a:xfrm>
        <a:prstGeom prst="rect">
          <a:avLst/>
        </a:prstGeom>
      </xdr:spPr>
    </xdr:pic>
    <xdr:clientData/>
  </xdr:twoCellAnchor>
  <xdr:twoCellAnchor editAs="oneCell">
    <xdr:from>
      <xdr:col>27</xdr:col>
      <xdr:colOff>57429</xdr:colOff>
      <xdr:row>44</xdr:row>
      <xdr:rowOff>2801</xdr:rowOff>
    </xdr:from>
    <xdr:to>
      <xdr:col>35</xdr:col>
      <xdr:colOff>807163</xdr:colOff>
      <xdr:row>62</xdr:row>
      <xdr:rowOff>142842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0CBD1A-D720-0A68-40DE-3B5E2D520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02617" y="8384801"/>
          <a:ext cx="8369734" cy="35690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171286</xdr:colOff>
      <xdr:row>38</xdr:row>
      <xdr:rowOff>37998</xdr:rowOff>
    </xdr:from>
    <xdr:ext cx="6400237" cy="4075580"/>
    <xdr:graphicFrame macro="">
      <xdr:nvGraphicFramePr>
        <xdr:cNvPr id="707743707" name="Chart 6" title="Chart">
          <a:extLst>
            <a:ext uri="{FF2B5EF4-FFF2-40B4-BE49-F238E27FC236}">
              <a16:creationId xmlns:a16="http://schemas.microsoft.com/office/drawing/2014/main" id="{00000000-0008-0000-0500-0000DB4F2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38</xdr:col>
      <xdr:colOff>1</xdr:colOff>
      <xdr:row>20</xdr:row>
      <xdr:rowOff>181841</xdr:rowOff>
    </xdr:from>
    <xdr:to>
      <xdr:col>51</xdr:col>
      <xdr:colOff>338568</xdr:colOff>
      <xdr:row>35</xdr:row>
      <xdr:rowOff>130554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008B2-0FA4-3E44-0DAF-D3423D862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0865" y="4649932"/>
          <a:ext cx="7993202" cy="3065986"/>
        </a:xfrm>
        <a:prstGeom prst="rect">
          <a:avLst/>
        </a:prstGeom>
      </xdr:spPr>
    </xdr:pic>
    <xdr:clientData/>
  </xdr:twoCellAnchor>
  <xdr:twoCellAnchor editAs="oneCell">
    <xdr:from>
      <xdr:col>37</xdr:col>
      <xdr:colOff>472539</xdr:colOff>
      <xdr:row>4</xdr:row>
      <xdr:rowOff>145967</xdr:rowOff>
    </xdr:from>
    <xdr:to>
      <xdr:col>51</xdr:col>
      <xdr:colOff>616577</xdr:colOff>
      <xdr:row>18</xdr:row>
      <xdr:rowOff>141021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A4255C-1A0D-5DF8-0AEE-C684D3117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04584" y="1496785"/>
          <a:ext cx="8387493" cy="2706587"/>
        </a:xfrm>
        <a:prstGeom prst="rect">
          <a:avLst/>
        </a:prstGeom>
      </xdr:spPr>
    </xdr:pic>
    <xdr:clientData/>
  </xdr:twoCellAnchor>
  <xdr:twoCellAnchor editAs="oneCell">
    <xdr:from>
      <xdr:col>38</xdr:col>
      <xdr:colOff>19792</xdr:colOff>
      <xdr:row>37</xdr:row>
      <xdr:rowOff>134835</xdr:rowOff>
    </xdr:from>
    <xdr:to>
      <xdr:col>51</xdr:col>
      <xdr:colOff>828861</xdr:colOff>
      <xdr:row>57</xdr:row>
      <xdr:rowOff>40512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9CD304-BABD-6F04-6FE6-869BDFA92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40656" y="8135835"/>
          <a:ext cx="8463704" cy="40620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 Martindill" id="{C15C5AEB-C678-40EA-8E28-5F5C9BAAD428}" userId="S::jon@npenergyca.com::ab18de45-ec5b-4e78-afbe-0cac4241bb3d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10" dT="2024-01-12T22:13:54.78" personId="{C15C5AEB-C678-40EA-8E28-5F5C9BAAD428}" id="{EA5318E0-A6B7-47C5-AF69-569FD6A25E4C}">
    <text>Values from Tables 150 &amp; 29, Trend interpolated from Figure 163</text>
  </threadedComment>
  <threadedComment ref="V10" dT="2024-01-12T22:06:59.08" personId="{C15C5AEB-C678-40EA-8E28-5F5C9BAAD428}" id="{FBFC49E9-9320-4B9E-A83E-E462CF028C77}">
    <text xml:space="preserve">CPUC 2023 IRP Inputs &amp; Assumptions, Workbook “CPUC IRP Resource Cost &amp; Build - Draft 2023 I&amp;A - v2.xlsx”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Z12" dT="2024-01-12T22:07:35.92" personId="{C15C5AEB-C678-40EA-8E28-5F5C9BAAD428}" id="{BE25A939-C21C-4883-8B08-3D0D087E6E2D}">
    <text xml:space="preserve">CPUC 2023 IRP Inputs &amp; Assumptions, Workbook “CPUC IRP Resource Cost &amp; Build - Draft 2023 I&amp;A - v2.xlsx” </text>
  </threadedComment>
  <threadedComment ref="Y13" dT="2024-01-12T22:11:33.30" personId="{C15C5AEB-C678-40EA-8E28-5F5C9BAAD428}" id="{80DA777C-B5CA-4079-94DF-6700A6F623A2}">
    <text>Estimated from Figure 162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Z12" dT="2024-01-12T22:07:49.64" personId="{C15C5AEB-C678-40EA-8E28-5F5C9BAAD428}" id="{3AB93559-0239-4857-A659-F61B8121A6F6}">
    <text xml:space="preserve">CPUC 2023 IRP Inputs &amp; Assumptions, Workbook “CPUC IRP Resource Cost &amp; Build - Draft 2023 I&amp;A - v2.xlsx” 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S15" dT="2024-01-12T22:26:15.27" personId="{C15C5AEB-C678-40EA-8E28-5F5C9BAAD428}" id="{204C2EF7-F29E-4AAB-9DE3-5E73CE8B7D1E}">
    <text>CPUC 2023 IRP Inputs &amp; Assumptions, Workbook “CPUC IRP Resource Cost &amp; Build - Draft 2023 I&amp;A - v2.xlsx”</text>
  </threadedComment>
  <threadedComment ref="AD15" dT="2024-01-12T22:16:27.56" personId="{C15C5AEB-C678-40EA-8E28-5F5C9BAAD428}" id="{3B91C452-E1A1-44D4-8FBE-7BB481161359}">
    <text>Values from Tables 33 &amp; 154, interpolations estimated from Figure 165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data.openei.org/files/5865/2023_v2_Workbook_07_20_23.xlsx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data.openei.org/files/5865/2023_v2_Workbook_07_20_23.xlsx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openei.org/files/5865/2023_v2_Workbook_07_20_23.xlsx" TargetMode="External"/><Relationship Id="rId6" Type="http://schemas.microsoft.com/office/2017/10/relationships/threadedComment" Target="../threadedComments/threadedComment3.xm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nrel.gov/docs/fy23osti/85332.pdf" TargetMode="External"/><Relationship Id="rId1" Type="http://schemas.openxmlformats.org/officeDocument/2006/relationships/hyperlink" Target="https://data.openei.org/files/5865/2023_v2_Workbook_07_20_23.xlsx" TargetMode="External"/><Relationship Id="rId6" Type="http://schemas.microsoft.com/office/2017/10/relationships/threadedComment" Target="../threadedComments/threadedComment4.xm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C568-4F17-4952-B3DA-CAF0C15EA4DE}">
  <dimension ref="B2:C6"/>
  <sheetViews>
    <sheetView workbookViewId="0">
      <selection activeCell="C23" sqref="C23"/>
    </sheetView>
  </sheetViews>
  <sheetFormatPr defaultRowHeight="15"/>
  <cols>
    <col min="2" max="2" width="22.5703125" bestFit="1" customWidth="1"/>
    <col min="3" max="3" width="184.5703125" bestFit="1" customWidth="1"/>
  </cols>
  <sheetData>
    <row r="2" spans="2:3">
      <c r="B2" s="18" t="s">
        <v>0</v>
      </c>
      <c r="C2" s="18" t="s">
        <v>1</v>
      </c>
    </row>
    <row r="3" spans="2:3">
      <c r="B3" t="s">
        <v>2</v>
      </c>
      <c r="C3" s="36" t="s">
        <v>3</v>
      </c>
    </row>
    <row r="4" spans="2:3">
      <c r="B4" t="s">
        <v>4</v>
      </c>
      <c r="C4" s="36" t="s">
        <v>5</v>
      </c>
    </row>
    <row r="5" spans="2:3">
      <c r="B5" t="s">
        <v>6</v>
      </c>
      <c r="C5" s="36" t="s">
        <v>7</v>
      </c>
    </row>
    <row r="6" spans="2:3">
      <c r="B6" t="s">
        <v>8</v>
      </c>
      <c r="C6" s="3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997"/>
  <sheetViews>
    <sheetView zoomScale="70" zoomScaleNormal="70" workbookViewId="0">
      <selection activeCell="J56" sqref="J56"/>
    </sheetView>
  </sheetViews>
  <sheetFormatPr defaultColWidth="14.42578125" defaultRowHeight="15" customHeight="1"/>
  <cols>
    <col min="1" max="1" width="8.7109375" customWidth="1"/>
    <col min="2" max="2" width="5.5703125" customWidth="1"/>
    <col min="3" max="3" width="13.28515625" customWidth="1"/>
    <col min="4" max="13" width="10.5703125" customWidth="1"/>
    <col min="14" max="14" width="12.42578125" bestFit="1" customWidth="1"/>
    <col min="15" max="15" width="11.28515625" customWidth="1"/>
    <col min="16" max="16" width="14.140625" bestFit="1" customWidth="1"/>
    <col min="17" max="17" width="10" bestFit="1" customWidth="1"/>
    <col min="18" max="18" width="14.28515625" bestFit="1" customWidth="1"/>
    <col min="19" max="20" width="8.7109375" customWidth="1"/>
    <col min="21" max="21" width="12.42578125" bestFit="1" customWidth="1"/>
    <col min="22" max="22" width="13.5703125" bestFit="1" customWidth="1"/>
    <col min="23" max="47" width="8.7109375" customWidth="1"/>
  </cols>
  <sheetData>
    <row r="1" spans="1:39" ht="15" customHeight="1" thickBot="1">
      <c r="A1" s="19"/>
      <c r="B1" s="20"/>
      <c r="C1" s="21" t="s">
        <v>10</v>
      </c>
      <c r="D1" s="20"/>
      <c r="F1" s="32"/>
      <c r="G1" s="32"/>
      <c r="H1" s="32"/>
      <c r="I1" s="20"/>
      <c r="J1" s="20"/>
      <c r="K1" s="20"/>
      <c r="L1" s="20"/>
      <c r="M1" s="20"/>
      <c r="N1" s="22"/>
      <c r="Z1" s="18"/>
    </row>
    <row r="2" spans="1:39" ht="15" customHeight="1" thickBot="1">
      <c r="A2" s="51" t="s">
        <v>11</v>
      </c>
      <c r="B2" s="36" t="s">
        <v>12</v>
      </c>
      <c r="C2" s="1" t="s">
        <v>13</v>
      </c>
      <c r="E2" s="33"/>
      <c r="F2" s="33"/>
      <c r="G2" s="33"/>
      <c r="H2" s="33"/>
      <c r="N2" s="23"/>
      <c r="O2" s="19"/>
      <c r="P2" s="20"/>
      <c r="Q2" s="20"/>
      <c r="R2" s="20"/>
      <c r="S2" s="20"/>
      <c r="T2" s="20"/>
      <c r="U2" s="20"/>
      <c r="V2" s="20"/>
      <c r="W2" s="20"/>
      <c r="X2" s="22"/>
      <c r="Y2" s="19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2"/>
    </row>
    <row r="3" spans="1:39" ht="15" customHeight="1">
      <c r="A3" s="51">
        <v>2017</v>
      </c>
      <c r="B3" s="36" t="s">
        <v>14</v>
      </c>
      <c r="C3" s="1">
        <v>1774.2374999999997</v>
      </c>
      <c r="E3" s="33"/>
      <c r="F3" s="61" t="s">
        <v>15</v>
      </c>
      <c r="G3" s="62"/>
      <c r="H3" s="63"/>
      <c r="N3" s="23"/>
      <c r="O3" s="24"/>
      <c r="Q3" s="61" t="s">
        <v>16</v>
      </c>
      <c r="R3" s="62"/>
      <c r="S3" s="62"/>
      <c r="T3" s="62"/>
      <c r="U3" s="63"/>
      <c r="X3" s="23"/>
      <c r="Y3" s="24"/>
      <c r="Z3" s="70" t="s">
        <v>17</v>
      </c>
      <c r="AA3" s="71"/>
      <c r="AB3" s="71"/>
      <c r="AC3" s="71"/>
      <c r="AD3" s="72"/>
      <c r="AM3" s="23"/>
    </row>
    <row r="4" spans="1:39" ht="15" customHeight="1" thickBot="1">
      <c r="A4" s="51">
        <v>2017</v>
      </c>
      <c r="B4" s="36" t="s">
        <v>18</v>
      </c>
      <c r="C4" s="1">
        <v>1807.8497999999995</v>
      </c>
      <c r="E4" s="33"/>
      <c r="F4" s="64"/>
      <c r="G4" s="65"/>
      <c r="H4" s="66"/>
      <c r="N4" s="23"/>
      <c r="O4" s="24"/>
      <c r="Q4" s="67"/>
      <c r="R4" s="68"/>
      <c r="S4" s="68"/>
      <c r="T4" s="68"/>
      <c r="U4" s="69"/>
      <c r="X4" s="23"/>
      <c r="Y4" s="24"/>
      <c r="Z4" s="73"/>
      <c r="AA4" s="74"/>
      <c r="AB4" s="74"/>
      <c r="AC4" s="74"/>
      <c r="AD4" s="75"/>
      <c r="AM4" s="23"/>
    </row>
    <row r="5" spans="1:39" ht="15.75" thickBot="1">
      <c r="A5" s="51">
        <v>2018</v>
      </c>
      <c r="B5" s="36" t="s">
        <v>14</v>
      </c>
      <c r="C5" s="1">
        <v>1353.2926265211997</v>
      </c>
      <c r="F5" s="67"/>
      <c r="G5" s="68"/>
      <c r="H5" s="69"/>
      <c r="N5" s="23"/>
      <c r="O5" s="24"/>
      <c r="X5" s="23"/>
      <c r="Y5" s="24"/>
      <c r="AM5" s="23"/>
    </row>
    <row r="6" spans="1:39">
      <c r="A6" s="51">
        <v>2018</v>
      </c>
      <c r="B6" s="36" t="s">
        <v>18</v>
      </c>
      <c r="C6" s="1">
        <v>1387.0451587323998</v>
      </c>
      <c r="N6" s="23"/>
      <c r="O6" s="24"/>
      <c r="X6" s="23"/>
      <c r="Y6" s="24"/>
      <c r="AM6" s="23"/>
    </row>
    <row r="7" spans="1:39">
      <c r="A7" s="51">
        <v>2019</v>
      </c>
      <c r="B7" s="36" t="s">
        <v>14</v>
      </c>
      <c r="C7" s="1">
        <v>1363.016639671039</v>
      </c>
      <c r="N7" s="23"/>
      <c r="O7" s="24"/>
      <c r="X7" s="23"/>
      <c r="Y7" s="24"/>
      <c r="AM7" s="23"/>
    </row>
    <row r="8" spans="1:39">
      <c r="A8" s="51">
        <v>2019</v>
      </c>
      <c r="B8" s="36" t="s">
        <v>18</v>
      </c>
      <c r="C8" s="1">
        <v>1424.0140231441387</v>
      </c>
      <c r="N8" s="23"/>
      <c r="O8" s="24"/>
      <c r="P8" s="36" t="s">
        <v>19</v>
      </c>
      <c r="Q8" s="36"/>
      <c r="R8" s="36"/>
      <c r="X8" s="23"/>
      <c r="Y8" s="24"/>
      <c r="AM8" s="23"/>
    </row>
    <row r="9" spans="1:39">
      <c r="A9" s="24"/>
      <c r="C9" s="1"/>
      <c r="N9" s="23"/>
      <c r="O9" s="24"/>
      <c r="P9" s="79" t="s">
        <v>20</v>
      </c>
      <c r="Q9" s="79"/>
      <c r="R9" s="79"/>
      <c r="X9" s="23"/>
      <c r="Y9" s="24"/>
      <c r="AM9" s="23"/>
    </row>
    <row r="10" spans="1:39">
      <c r="A10" s="51" t="s">
        <v>21</v>
      </c>
      <c r="C10" s="1" t="s">
        <v>22</v>
      </c>
      <c r="D10" s="1" t="s">
        <v>22</v>
      </c>
      <c r="E10" s="36" t="s">
        <v>23</v>
      </c>
      <c r="F10" s="36" t="s">
        <v>23</v>
      </c>
      <c r="G10" s="36" t="s">
        <v>24</v>
      </c>
      <c r="H10" s="36" t="s">
        <v>24</v>
      </c>
      <c r="I10" s="36" t="s">
        <v>25</v>
      </c>
      <c r="J10" s="36" t="s">
        <v>25</v>
      </c>
      <c r="K10" s="36" t="s">
        <v>25</v>
      </c>
      <c r="L10" s="36" t="s">
        <v>25</v>
      </c>
      <c r="M10" s="36" t="s">
        <v>26</v>
      </c>
      <c r="N10" s="52" t="s">
        <v>26</v>
      </c>
      <c r="O10" s="51"/>
      <c r="P10" s="36" t="s">
        <v>27</v>
      </c>
      <c r="Q10" s="36" t="s">
        <v>28</v>
      </c>
      <c r="R10" s="36" t="s">
        <v>29</v>
      </c>
      <c r="U10" t="s">
        <v>17</v>
      </c>
      <c r="V10" t="s">
        <v>30</v>
      </c>
      <c r="X10" s="23"/>
      <c r="Y10" s="24"/>
      <c r="AM10" s="23"/>
    </row>
    <row r="11" spans="1:39">
      <c r="A11" s="51" t="s">
        <v>31</v>
      </c>
      <c r="C11" s="1" t="s">
        <v>14</v>
      </c>
      <c r="D11" s="36" t="s">
        <v>18</v>
      </c>
      <c r="E11" s="36" t="s">
        <v>14</v>
      </c>
      <c r="F11" s="36" t="s">
        <v>18</v>
      </c>
      <c r="G11" s="36" t="s">
        <v>14</v>
      </c>
      <c r="H11" s="36" t="s">
        <v>18</v>
      </c>
      <c r="I11" s="36" t="s">
        <v>14</v>
      </c>
      <c r="J11" s="36" t="s">
        <v>18</v>
      </c>
      <c r="K11" s="36" t="s">
        <v>32</v>
      </c>
      <c r="L11" s="36" t="s">
        <v>33</v>
      </c>
      <c r="M11" s="36" t="s">
        <v>32</v>
      </c>
      <c r="N11" s="52" t="s">
        <v>34</v>
      </c>
      <c r="O11" s="51"/>
      <c r="P11" s="36" t="s">
        <v>35</v>
      </c>
      <c r="Q11" s="36" t="s">
        <v>36</v>
      </c>
      <c r="R11" s="36" t="s">
        <v>37</v>
      </c>
      <c r="S11" s="38" t="s">
        <v>38</v>
      </c>
      <c r="T11" s="38" t="s">
        <v>39</v>
      </c>
      <c r="U11" s="36"/>
      <c r="V11" s="36"/>
      <c r="X11" s="23"/>
      <c r="Y11" s="24"/>
      <c r="AM11" s="23"/>
    </row>
    <row r="12" spans="1:39">
      <c r="A12" s="51">
        <v>2019</v>
      </c>
      <c r="C12" s="1"/>
      <c r="D12" s="1"/>
      <c r="E12" s="1"/>
      <c r="F12" s="1"/>
      <c r="G12" s="1">
        <v>1311.5820494947736</v>
      </c>
      <c r="H12" s="1">
        <v>1370.2776449122846</v>
      </c>
      <c r="I12" s="2" t="e">
        <f>NA()</f>
        <v>#N/A</v>
      </c>
      <c r="J12" s="2" t="e">
        <f>NA()</f>
        <v>#N/A</v>
      </c>
      <c r="K12" s="2" t="e">
        <f>NA()</f>
        <v>#N/A</v>
      </c>
      <c r="L12" s="2" t="e">
        <f>NA()</f>
        <v>#N/A</v>
      </c>
      <c r="M12" s="2" t="e">
        <f>NA()</f>
        <v>#N/A</v>
      </c>
      <c r="N12" s="25" t="e">
        <f>NA()</f>
        <v>#N/A</v>
      </c>
      <c r="O12" s="39"/>
      <c r="P12" s="2" t="e">
        <f>NA()</f>
        <v>#N/A</v>
      </c>
      <c r="Q12" s="2" t="e">
        <f>NA()</f>
        <v>#N/A</v>
      </c>
      <c r="R12" s="2" t="e">
        <f>NA()</f>
        <v>#N/A</v>
      </c>
      <c r="S12" s="40" t="e">
        <f>Q12-P12</f>
        <v>#N/A</v>
      </c>
      <c r="T12" s="40" t="e">
        <f>R12-Q12</f>
        <v>#N/A</v>
      </c>
      <c r="U12" s="41">
        <v>1347</v>
      </c>
      <c r="V12" s="13" t="e">
        <f>T12-S12</f>
        <v>#N/A</v>
      </c>
      <c r="X12" s="23"/>
      <c r="Y12" s="24"/>
      <c r="AM12" s="23"/>
    </row>
    <row r="13" spans="1:39">
      <c r="A13" s="51">
        <f t="shared" ref="A13:A25" si="0">A12+1</f>
        <v>2020</v>
      </c>
      <c r="C13" s="1"/>
      <c r="D13" s="1"/>
      <c r="E13" s="1"/>
      <c r="F13" s="1"/>
      <c r="G13" s="1">
        <v>1234.4301642303747</v>
      </c>
      <c r="H13" s="1">
        <v>1289.6730775645026</v>
      </c>
      <c r="I13" s="1">
        <v>1422.32</v>
      </c>
      <c r="J13" s="1">
        <v>1444.45</v>
      </c>
      <c r="K13" s="1">
        <v>1297.2</v>
      </c>
      <c r="L13" s="1">
        <v>1330.4</v>
      </c>
      <c r="M13" s="2" t="e">
        <f>NA()</f>
        <v>#N/A</v>
      </c>
      <c r="N13" s="25" t="e">
        <f>NA()</f>
        <v>#N/A</v>
      </c>
      <c r="O13" s="39"/>
      <c r="P13" s="2" t="e">
        <f>NA()</f>
        <v>#N/A</v>
      </c>
      <c r="Q13" s="2" t="e">
        <f>NA()</f>
        <v>#N/A</v>
      </c>
      <c r="R13" s="2" t="e">
        <f>NA()</f>
        <v>#N/A</v>
      </c>
      <c r="S13" s="40" t="e">
        <f t="shared" ref="S13:S43" si="1">Q13-P13</f>
        <v>#N/A</v>
      </c>
      <c r="T13" s="40" t="e">
        <f t="shared" ref="T13:T43" si="2">R13-Q13</f>
        <v>#N/A</v>
      </c>
      <c r="U13" s="2" t="e">
        <f>NA()</f>
        <v>#N/A</v>
      </c>
      <c r="V13" s="14">
        <v>1318.38</v>
      </c>
      <c r="X13" s="23"/>
      <c r="Y13" s="24"/>
      <c r="AM13" s="23"/>
    </row>
    <row r="14" spans="1:39">
      <c r="A14" s="51">
        <f t="shared" si="0"/>
        <v>2021</v>
      </c>
      <c r="C14" s="1"/>
      <c r="D14" s="1"/>
      <c r="E14" s="1"/>
      <c r="F14" s="1"/>
      <c r="G14" s="1">
        <v>1170.1369265100427</v>
      </c>
      <c r="H14" s="1">
        <v>1222.5026047746851</v>
      </c>
      <c r="I14" s="1">
        <f t="shared" ref="I14:J23" si="3">I$13*I34</f>
        <v>1367.9763207056401</v>
      </c>
      <c r="J14" s="1">
        <f t="shared" si="3"/>
        <v>1389.2607826953583</v>
      </c>
      <c r="K14" s="1">
        <f t="shared" ref="K14:K23" si="4">K$13*I34</f>
        <v>1247.6368772283006</v>
      </c>
      <c r="L14" s="1">
        <f t="shared" ref="L14:L23" si="5">L$13*J34</f>
        <v>1279.5683791740141</v>
      </c>
      <c r="M14" s="2" t="e">
        <f>NA()</f>
        <v>#N/A</v>
      </c>
      <c r="N14" s="25" t="e">
        <f>NA()</f>
        <v>#N/A</v>
      </c>
      <c r="O14" s="39"/>
      <c r="P14" s="54">
        <v>1246</v>
      </c>
      <c r="Q14" s="54">
        <v>1246</v>
      </c>
      <c r="R14" s="54">
        <v>1246</v>
      </c>
      <c r="S14" s="40">
        <f t="shared" si="1"/>
        <v>0</v>
      </c>
      <c r="T14" s="40">
        <f t="shared" si="2"/>
        <v>0</v>
      </c>
      <c r="U14" s="2" t="e">
        <f>NA()</f>
        <v>#N/A</v>
      </c>
      <c r="V14" s="14">
        <v>1318.38</v>
      </c>
      <c r="X14" s="23"/>
      <c r="Y14" s="24"/>
      <c r="AM14" s="23"/>
    </row>
    <row r="15" spans="1:39">
      <c r="A15" s="51">
        <f t="shared" si="0"/>
        <v>2022</v>
      </c>
      <c r="C15" s="1"/>
      <c r="D15" s="1"/>
      <c r="E15" s="1"/>
      <c r="F15" s="1"/>
      <c r="G15" s="1">
        <v>1156.9259058410714</v>
      </c>
      <c r="H15" s="1">
        <v>1208.7003677769014</v>
      </c>
      <c r="I15" s="1">
        <f t="shared" si="3"/>
        <v>1313.6326414112802</v>
      </c>
      <c r="J15" s="1">
        <f t="shared" si="3"/>
        <v>1334.0715653907164</v>
      </c>
      <c r="K15" s="1">
        <f t="shared" si="4"/>
        <v>1198.0737544566009</v>
      </c>
      <c r="L15" s="1">
        <f t="shared" si="5"/>
        <v>1228.7367583480282</v>
      </c>
      <c r="M15" s="2">
        <v>1140.3900000000001</v>
      </c>
      <c r="N15" s="25">
        <v>1234.22</v>
      </c>
      <c r="O15" s="39"/>
      <c r="P15" s="54">
        <v>1325</v>
      </c>
      <c r="Q15" s="54">
        <v>1325</v>
      </c>
      <c r="R15" s="54">
        <v>1325</v>
      </c>
      <c r="S15" s="40">
        <f t="shared" si="1"/>
        <v>0</v>
      </c>
      <c r="T15" s="40">
        <f t="shared" si="2"/>
        <v>0</v>
      </c>
      <c r="U15" s="2" t="e">
        <f>NA()</f>
        <v>#N/A</v>
      </c>
      <c r="V15" s="14">
        <v>1318.38</v>
      </c>
      <c r="X15" s="23"/>
      <c r="Y15" s="24"/>
      <c r="AM15" s="23"/>
    </row>
    <row r="16" spans="1:39">
      <c r="A16" s="51">
        <f t="shared" si="0"/>
        <v>2023</v>
      </c>
      <c r="C16" s="1"/>
      <c r="D16" s="1"/>
      <c r="E16" s="1"/>
      <c r="F16" s="1"/>
      <c r="G16" s="1">
        <v>1143.7148851721001</v>
      </c>
      <c r="H16" s="1">
        <v>1194.8981307791178</v>
      </c>
      <c r="I16" s="1">
        <f t="shared" si="3"/>
        <v>1259.2889621169204</v>
      </c>
      <c r="J16" s="1">
        <f t="shared" si="3"/>
        <v>1278.8823480860747</v>
      </c>
      <c r="K16" s="1">
        <f t="shared" si="4"/>
        <v>1148.5106316849015</v>
      </c>
      <c r="L16" s="1">
        <f t="shared" si="5"/>
        <v>1177.9051375220422</v>
      </c>
      <c r="M16" s="2">
        <f t="shared" ref="M16:M25" si="6">(1+$K36)*M15</f>
        <v>1533.4318518992925</v>
      </c>
      <c r="N16" s="25">
        <f t="shared" ref="N16:N25" si="7">(1+$K36)*N15</f>
        <v>1659.6008911435076</v>
      </c>
      <c r="O16" s="39"/>
      <c r="P16" s="54">
        <v>1270</v>
      </c>
      <c r="Q16" s="54">
        <v>1285</v>
      </c>
      <c r="R16" s="54">
        <v>1305</v>
      </c>
      <c r="S16" s="42">
        <f>Q16-P16</f>
        <v>15</v>
      </c>
      <c r="T16" s="42">
        <f>R16-Q16</f>
        <v>20</v>
      </c>
      <c r="U16" s="2" t="e">
        <f>NA()</f>
        <v>#N/A</v>
      </c>
      <c r="V16" s="14">
        <v>1318.38</v>
      </c>
      <c r="X16" s="23"/>
      <c r="Y16" s="24"/>
      <c r="AM16" s="23"/>
    </row>
    <row r="17" spans="1:47">
      <c r="A17" s="51">
        <f t="shared" si="0"/>
        <v>2024</v>
      </c>
      <c r="C17" s="1"/>
      <c r="D17" s="1"/>
      <c r="E17" s="1"/>
      <c r="F17" s="1"/>
      <c r="G17" s="1">
        <v>1130.5038645031286</v>
      </c>
      <c r="H17" s="1">
        <v>1181.0958937813341</v>
      </c>
      <c r="I17" s="1">
        <f t="shared" si="3"/>
        <v>1204.9452828225601</v>
      </c>
      <c r="J17" s="1">
        <f t="shared" si="3"/>
        <v>1223.6931307814325</v>
      </c>
      <c r="K17" s="1">
        <f t="shared" si="4"/>
        <v>1098.9475089132018</v>
      </c>
      <c r="L17" s="1">
        <f t="shared" si="5"/>
        <v>1127.073516696056</v>
      </c>
      <c r="M17" s="2">
        <f t="shared" si="6"/>
        <v>1533.4318518992925</v>
      </c>
      <c r="N17" s="25">
        <f t="shared" si="7"/>
        <v>1659.6008911435076</v>
      </c>
      <c r="O17" s="39"/>
      <c r="P17" s="54">
        <v>1215</v>
      </c>
      <c r="Q17" s="54">
        <v>1245</v>
      </c>
      <c r="R17" s="54">
        <v>1285</v>
      </c>
      <c r="S17" s="42">
        <f t="shared" si="1"/>
        <v>30</v>
      </c>
      <c r="T17" s="42">
        <f t="shared" si="2"/>
        <v>40</v>
      </c>
      <c r="U17" s="2" t="e">
        <f>NA()</f>
        <v>#N/A</v>
      </c>
      <c r="V17" s="14">
        <v>1318.38</v>
      </c>
      <c r="X17" s="23"/>
      <c r="Y17" s="24"/>
      <c r="AM17" s="23"/>
    </row>
    <row r="18" spans="1:47" ht="15.75" customHeight="1">
      <c r="A18" s="51">
        <f t="shared" si="0"/>
        <v>2025</v>
      </c>
      <c r="C18" s="1"/>
      <c r="D18" s="1"/>
      <c r="E18" s="1"/>
      <c r="F18" s="1"/>
      <c r="G18" s="1">
        <v>1117.2928438341571</v>
      </c>
      <c r="H18" s="1">
        <v>1167.2936567835504</v>
      </c>
      <c r="I18" s="1">
        <f t="shared" si="3"/>
        <v>1150.6016035282003</v>
      </c>
      <c r="J18" s="1">
        <f t="shared" si="3"/>
        <v>1168.5039134767908</v>
      </c>
      <c r="K18" s="1">
        <f t="shared" si="4"/>
        <v>1049.3843861415023</v>
      </c>
      <c r="L18" s="1">
        <f t="shared" si="5"/>
        <v>1076.24189587007</v>
      </c>
      <c r="M18" s="2">
        <f t="shared" si="6"/>
        <v>1533.4318518992925</v>
      </c>
      <c r="N18" s="25">
        <f t="shared" si="7"/>
        <v>1659.6008911435076</v>
      </c>
      <c r="O18" s="39"/>
      <c r="P18" s="54">
        <v>1160</v>
      </c>
      <c r="Q18" s="54">
        <v>1204</v>
      </c>
      <c r="R18" s="54">
        <v>1265</v>
      </c>
      <c r="S18" s="42">
        <f t="shared" si="1"/>
        <v>44</v>
      </c>
      <c r="T18" s="42">
        <f t="shared" si="2"/>
        <v>61</v>
      </c>
      <c r="U18" s="2" t="e">
        <f>NA()</f>
        <v>#N/A</v>
      </c>
      <c r="V18" s="14">
        <v>1318.38</v>
      </c>
      <c r="X18" s="23"/>
      <c r="Y18" s="24"/>
      <c r="AM18" s="23"/>
    </row>
    <row r="19" spans="1:47" ht="15.75" customHeight="1">
      <c r="A19" s="51">
        <f t="shared" si="0"/>
        <v>2026</v>
      </c>
      <c r="C19" s="1"/>
      <c r="E19" s="1"/>
      <c r="F19" s="1"/>
      <c r="G19" s="1">
        <v>1104.0818231651858</v>
      </c>
      <c r="H19" s="1">
        <v>1153.4914197857668</v>
      </c>
      <c r="I19" s="1">
        <f t="shared" si="3"/>
        <v>1096.2579242338404</v>
      </c>
      <c r="J19" s="1">
        <f t="shared" si="3"/>
        <v>1113.3146961721488</v>
      </c>
      <c r="K19" s="1">
        <f t="shared" si="4"/>
        <v>999.82126336980275</v>
      </c>
      <c r="L19" s="1">
        <f t="shared" si="5"/>
        <v>1025.4102750440838</v>
      </c>
      <c r="M19" s="2">
        <f t="shared" si="6"/>
        <v>1533.4318518992925</v>
      </c>
      <c r="N19" s="25">
        <f t="shared" si="7"/>
        <v>1659.6008911435076</v>
      </c>
      <c r="O19" s="39"/>
      <c r="P19" s="54">
        <v>1105</v>
      </c>
      <c r="Q19" s="54">
        <v>1164</v>
      </c>
      <c r="R19" s="54">
        <v>1245</v>
      </c>
      <c r="S19" s="42">
        <f t="shared" si="1"/>
        <v>59</v>
      </c>
      <c r="T19" s="42">
        <f t="shared" si="2"/>
        <v>81</v>
      </c>
      <c r="U19" s="41">
        <v>1297</v>
      </c>
      <c r="V19" s="14">
        <v>1318.38</v>
      </c>
      <c r="X19" s="23"/>
      <c r="Y19" s="24"/>
      <c r="AM19" s="23"/>
    </row>
    <row r="20" spans="1:47" ht="15.75" customHeight="1">
      <c r="A20" s="51">
        <f t="shared" si="0"/>
        <v>2027</v>
      </c>
      <c r="C20" s="1"/>
      <c r="E20" s="1"/>
      <c r="F20" s="1"/>
      <c r="G20" s="1">
        <v>1090.8708024962143</v>
      </c>
      <c r="H20" s="1">
        <v>1139.6891827879831</v>
      </c>
      <c r="I20" s="1">
        <f t="shared" si="3"/>
        <v>1041.9142449394803</v>
      </c>
      <c r="J20" s="1">
        <f t="shared" si="3"/>
        <v>1058.1254788675069</v>
      </c>
      <c r="K20" s="1">
        <f t="shared" si="4"/>
        <v>950.25814059810318</v>
      </c>
      <c r="L20" s="1">
        <f t="shared" si="5"/>
        <v>974.57865421809777</v>
      </c>
      <c r="M20" s="2">
        <f t="shared" si="6"/>
        <v>1533.4318518992925</v>
      </c>
      <c r="N20" s="25">
        <f t="shared" si="7"/>
        <v>1659.6008911435076</v>
      </c>
      <c r="O20" s="39"/>
      <c r="P20" s="54">
        <v>1050</v>
      </c>
      <c r="Q20" s="54">
        <v>1123</v>
      </c>
      <c r="R20" s="54">
        <v>1224</v>
      </c>
      <c r="S20" s="42">
        <f t="shared" si="1"/>
        <v>73</v>
      </c>
      <c r="T20" s="42">
        <f t="shared" si="2"/>
        <v>101</v>
      </c>
      <c r="U20" s="41">
        <f>$U$19*(1-0.05*COUNT($T$20:T20))</f>
        <v>1232.1499999999999</v>
      </c>
      <c r="V20" s="14">
        <v>1318.38</v>
      </c>
      <c r="X20" s="23"/>
      <c r="Y20" s="24"/>
      <c r="AM20" s="23"/>
    </row>
    <row r="21" spans="1:47" ht="15.75" customHeight="1">
      <c r="A21" s="51">
        <f t="shared" si="0"/>
        <v>2028</v>
      </c>
      <c r="C21" s="1"/>
      <c r="E21" s="1"/>
      <c r="F21" s="1"/>
      <c r="G21" s="1">
        <v>1077.659781827243</v>
      </c>
      <c r="H21" s="1">
        <v>1125.8869457901997</v>
      </c>
      <c r="I21" s="1">
        <f t="shared" si="3"/>
        <v>987.57056564512038</v>
      </c>
      <c r="J21" s="1">
        <f t="shared" si="3"/>
        <v>1002.9362615628651</v>
      </c>
      <c r="K21" s="1">
        <f t="shared" si="4"/>
        <v>900.6950178264035</v>
      </c>
      <c r="L21" s="1">
        <f t="shared" si="5"/>
        <v>923.74703339211169</v>
      </c>
      <c r="M21" s="2">
        <f t="shared" si="6"/>
        <v>1533.4318518992925</v>
      </c>
      <c r="N21" s="25">
        <f t="shared" si="7"/>
        <v>1659.6008911435076</v>
      </c>
      <c r="O21" s="39"/>
      <c r="P21" s="54">
        <v>995</v>
      </c>
      <c r="Q21" s="54">
        <v>1083</v>
      </c>
      <c r="R21" s="54">
        <v>1204</v>
      </c>
      <c r="S21" s="42">
        <f t="shared" si="1"/>
        <v>88</v>
      </c>
      <c r="T21" s="42">
        <f t="shared" si="2"/>
        <v>121</v>
      </c>
      <c r="U21" s="41">
        <f>$U$19*(1-0.05*COUNT($T$20:T21))</f>
        <v>1167.3</v>
      </c>
      <c r="V21" s="14">
        <v>1304.78</v>
      </c>
      <c r="X21" s="23"/>
      <c r="Y21" s="24"/>
      <c r="AM21" s="23"/>
    </row>
    <row r="22" spans="1:47" ht="15.75" customHeight="1">
      <c r="A22" s="51">
        <f t="shared" si="0"/>
        <v>2029</v>
      </c>
      <c r="C22" s="1"/>
      <c r="E22" s="1"/>
      <c r="F22" s="1"/>
      <c r="I22" s="1">
        <f t="shared" si="3"/>
        <v>933.22688635076054</v>
      </c>
      <c r="J22" s="1">
        <f t="shared" si="3"/>
        <v>947.74704425822335</v>
      </c>
      <c r="K22" s="1">
        <f t="shared" si="4"/>
        <v>851.13189505470405</v>
      </c>
      <c r="L22" s="1">
        <f t="shared" si="5"/>
        <v>872.91541256612584</v>
      </c>
      <c r="M22" s="2">
        <f t="shared" si="6"/>
        <v>1455.0462948102868</v>
      </c>
      <c r="N22" s="25">
        <f t="shared" si="7"/>
        <v>1574.765859031342</v>
      </c>
      <c r="O22" s="39"/>
      <c r="P22" s="54">
        <v>940</v>
      </c>
      <c r="Q22" s="54">
        <v>1043</v>
      </c>
      <c r="R22" s="54">
        <v>1184</v>
      </c>
      <c r="S22" s="42">
        <f t="shared" si="1"/>
        <v>103</v>
      </c>
      <c r="T22" s="42">
        <f t="shared" si="2"/>
        <v>141</v>
      </c>
      <c r="U22" s="41">
        <f>$U$19*(1-0.05*COUNT($T$20:T22))</f>
        <v>1102.45</v>
      </c>
      <c r="V22" s="14">
        <v>1291.18</v>
      </c>
      <c r="X22" s="23"/>
      <c r="Y22" s="24"/>
      <c r="AM22" s="23"/>
    </row>
    <row r="23" spans="1:47" ht="15.75" customHeight="1">
      <c r="A23" s="51">
        <f t="shared" si="0"/>
        <v>2030</v>
      </c>
      <c r="C23" s="1"/>
      <c r="E23" s="1"/>
      <c r="F23" s="1"/>
      <c r="I23" s="1">
        <f t="shared" si="3"/>
        <v>878.88320705640092</v>
      </c>
      <c r="J23" s="1">
        <f t="shared" si="3"/>
        <v>892.55782695358175</v>
      </c>
      <c r="K23" s="1">
        <f t="shared" si="4"/>
        <v>801.56877228300482</v>
      </c>
      <c r="L23" s="1">
        <f t="shared" si="5"/>
        <v>822.08379174013999</v>
      </c>
      <c r="M23" s="2">
        <f t="shared" si="6"/>
        <v>1376.6607377212811</v>
      </c>
      <c r="N23" s="25">
        <f t="shared" si="7"/>
        <v>1489.9308269191763</v>
      </c>
      <c r="O23" s="39"/>
      <c r="P23" s="54">
        <v>885</v>
      </c>
      <c r="Q23" s="54">
        <v>1002</v>
      </c>
      <c r="R23" s="54">
        <v>1164</v>
      </c>
      <c r="S23" s="42">
        <f t="shared" si="1"/>
        <v>117</v>
      </c>
      <c r="T23" s="42">
        <f t="shared" si="2"/>
        <v>162</v>
      </c>
      <c r="U23" s="41">
        <f>$U$19*(1-0.05*COUNT($T$20:T23))</f>
        <v>1037.6000000000001</v>
      </c>
      <c r="V23" s="14">
        <v>1277.5899999999999</v>
      </c>
      <c r="X23" s="23"/>
      <c r="Y23" s="24"/>
      <c r="AM23" s="23"/>
    </row>
    <row r="24" spans="1:47" ht="15.75" customHeight="1">
      <c r="A24" s="51">
        <f t="shared" si="0"/>
        <v>2031</v>
      </c>
      <c r="C24" s="1"/>
      <c r="E24" s="1"/>
      <c r="F24" s="1"/>
      <c r="I24" s="1"/>
      <c r="J24" s="1"/>
      <c r="K24" s="1"/>
      <c r="L24" s="1"/>
      <c r="M24" s="2">
        <f t="shared" si="6"/>
        <v>1298.2751806322754</v>
      </c>
      <c r="N24" s="25">
        <f t="shared" si="7"/>
        <v>1405.0957948070106</v>
      </c>
      <c r="O24" s="39"/>
      <c r="P24" s="54">
        <v>830</v>
      </c>
      <c r="Q24" s="54">
        <v>962</v>
      </c>
      <c r="R24" s="54">
        <v>1144</v>
      </c>
      <c r="S24" s="42">
        <f t="shared" si="1"/>
        <v>132</v>
      </c>
      <c r="T24" s="42">
        <f t="shared" si="2"/>
        <v>182</v>
      </c>
      <c r="U24" s="41">
        <f>$U$23*(1-0.01*COUNT($T$24:T24))</f>
        <v>1027.2240000000002</v>
      </c>
      <c r="V24" s="14">
        <v>1263.99</v>
      </c>
      <c r="X24" s="23"/>
      <c r="Y24" s="24"/>
      <c r="AM24" s="23"/>
    </row>
    <row r="25" spans="1:47" ht="15.75" customHeight="1">
      <c r="A25" s="51">
        <f t="shared" si="0"/>
        <v>2032</v>
      </c>
      <c r="C25" s="1"/>
      <c r="E25" s="1"/>
      <c r="F25" s="1"/>
      <c r="I25" s="1"/>
      <c r="J25" s="1"/>
      <c r="K25" s="1"/>
      <c r="L25" s="1"/>
      <c r="M25" s="2">
        <f t="shared" si="6"/>
        <v>1219.8896235432694</v>
      </c>
      <c r="N25" s="25">
        <f t="shared" si="7"/>
        <v>1320.2607626948447</v>
      </c>
      <c r="O25" s="39"/>
      <c r="P25" s="54">
        <v>775</v>
      </c>
      <c r="Q25" s="54">
        <v>921</v>
      </c>
      <c r="R25" s="54">
        <v>1124</v>
      </c>
      <c r="S25" s="42">
        <f t="shared" si="1"/>
        <v>146</v>
      </c>
      <c r="T25" s="42">
        <f t="shared" si="2"/>
        <v>203</v>
      </c>
      <c r="U25" s="41">
        <f>$U$23*(1-0.01*COUNT($T$24:T25))</f>
        <v>1016.8480000000001</v>
      </c>
      <c r="V25" s="14">
        <v>1250.3900000000001</v>
      </c>
      <c r="X25" s="23"/>
      <c r="Y25" s="24"/>
      <c r="AM25" s="23"/>
    </row>
    <row r="26" spans="1:47" ht="15.75" customHeight="1">
      <c r="A26" s="24"/>
      <c r="C26" s="1"/>
      <c r="E26" s="1"/>
      <c r="F26" s="1"/>
      <c r="I26" s="26"/>
      <c r="J26" s="26"/>
      <c r="K26" s="26"/>
      <c r="L26" s="26"/>
      <c r="M26" s="26"/>
      <c r="N26" s="27"/>
      <c r="O26" s="43"/>
      <c r="P26" s="54">
        <v>720</v>
      </c>
      <c r="Q26" s="54">
        <v>881</v>
      </c>
      <c r="R26" s="54">
        <v>1103</v>
      </c>
      <c r="S26" s="42">
        <f t="shared" si="1"/>
        <v>161</v>
      </c>
      <c r="T26" s="42">
        <f t="shared" si="2"/>
        <v>222</v>
      </c>
      <c r="V26" s="14">
        <v>1236.8</v>
      </c>
      <c r="X26" s="23"/>
      <c r="Y26" s="24"/>
      <c r="AM26" s="23"/>
    </row>
    <row r="27" spans="1:47" ht="15.75" customHeight="1">
      <c r="A27" s="51" t="s">
        <v>21</v>
      </c>
      <c r="C27" s="1" t="s">
        <v>22</v>
      </c>
      <c r="D27" s="36" t="s">
        <v>22</v>
      </c>
      <c r="E27" s="36" t="s">
        <v>23</v>
      </c>
      <c r="F27" s="36" t="s">
        <v>23</v>
      </c>
      <c r="G27" s="36" t="s">
        <v>24</v>
      </c>
      <c r="H27" s="36" t="s">
        <v>24</v>
      </c>
      <c r="I27" s="36" t="s">
        <v>25</v>
      </c>
      <c r="J27" s="36" t="s">
        <v>25</v>
      </c>
      <c r="K27" s="36" t="s">
        <v>26</v>
      </c>
      <c r="M27" s="2">
        <f>M16/M15</f>
        <v>1.3446556457872241</v>
      </c>
      <c r="N27" s="23"/>
      <c r="O27" s="24"/>
      <c r="P27" s="54">
        <v>665</v>
      </c>
      <c r="Q27" s="54">
        <v>841</v>
      </c>
      <c r="R27" s="54">
        <v>1083</v>
      </c>
      <c r="S27" s="42">
        <f t="shared" si="1"/>
        <v>176</v>
      </c>
      <c r="T27" s="42">
        <f t="shared" si="2"/>
        <v>242</v>
      </c>
      <c r="V27" s="14">
        <v>1223.2</v>
      </c>
      <c r="X27" s="23"/>
      <c r="Y27" s="24"/>
      <c r="AM27" s="23"/>
    </row>
    <row r="28" spans="1:47" ht="15.75" customHeight="1">
      <c r="A28" s="51" t="s">
        <v>31</v>
      </c>
      <c r="C28" s="1" t="s">
        <v>14</v>
      </c>
      <c r="D28" s="36" t="s">
        <v>18</v>
      </c>
      <c r="E28" s="36" t="s">
        <v>14</v>
      </c>
      <c r="F28" s="36" t="s">
        <v>18</v>
      </c>
      <c r="G28" s="36" t="s">
        <v>14</v>
      </c>
      <c r="H28" s="36" t="s">
        <v>18</v>
      </c>
      <c r="I28" s="36" t="s">
        <v>14</v>
      </c>
      <c r="J28" s="36" t="s">
        <v>18</v>
      </c>
      <c r="N28" s="23"/>
      <c r="O28" s="24"/>
      <c r="P28" s="54">
        <v>610</v>
      </c>
      <c r="Q28" s="54">
        <v>800</v>
      </c>
      <c r="R28" s="54">
        <v>1063</v>
      </c>
      <c r="S28" s="42">
        <f t="shared" si="1"/>
        <v>190</v>
      </c>
      <c r="T28" s="42">
        <f t="shared" si="2"/>
        <v>263</v>
      </c>
      <c r="V28" s="14">
        <v>1209.5999999999999</v>
      </c>
      <c r="X28" s="23"/>
      <c r="Y28" s="24"/>
      <c r="AM28" s="23"/>
    </row>
    <row r="29" spans="1:47" ht="15.75" customHeight="1">
      <c r="A29" s="51">
        <v>2016</v>
      </c>
      <c r="C29" s="1">
        <v>1774.2374999999997</v>
      </c>
      <c r="D29" s="36">
        <v>1807.8497999999995</v>
      </c>
      <c r="N29" s="23"/>
      <c r="O29" s="24"/>
      <c r="P29" s="54">
        <v>603</v>
      </c>
      <c r="Q29" s="54">
        <v>788</v>
      </c>
      <c r="R29" s="54">
        <v>1046</v>
      </c>
      <c r="S29" s="42">
        <f t="shared" si="1"/>
        <v>185</v>
      </c>
      <c r="T29" s="42">
        <f t="shared" si="2"/>
        <v>258</v>
      </c>
      <c r="U29" s="54"/>
      <c r="V29" s="14">
        <v>1196</v>
      </c>
      <c r="W29" s="54"/>
      <c r="X29" s="53"/>
      <c r="Y29" s="80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3"/>
      <c r="AN29" s="54"/>
      <c r="AO29" s="54"/>
      <c r="AP29" s="54"/>
      <c r="AQ29" s="54"/>
      <c r="AR29" s="54"/>
      <c r="AS29" s="54"/>
      <c r="AT29" s="54"/>
      <c r="AU29" s="54"/>
    </row>
    <row r="30" spans="1:47" ht="15.75" customHeight="1">
      <c r="A30" s="51">
        <v>2017</v>
      </c>
      <c r="C30" s="1">
        <v>1669.5574874999998</v>
      </c>
      <c r="D30" s="36">
        <v>1701.1866617999995</v>
      </c>
      <c r="E30" s="36">
        <v>1353.2926265211997</v>
      </c>
      <c r="F30" s="36">
        <v>1387.0451587323998</v>
      </c>
      <c r="N30" s="23"/>
      <c r="O30" s="24"/>
      <c r="P30" s="54">
        <v>596</v>
      </c>
      <c r="Q30" s="54">
        <v>775</v>
      </c>
      <c r="R30" s="54">
        <v>1028</v>
      </c>
      <c r="S30" s="42">
        <f t="shared" si="1"/>
        <v>179</v>
      </c>
      <c r="T30" s="42">
        <f t="shared" si="2"/>
        <v>253</v>
      </c>
      <c r="U30" s="54"/>
      <c r="V30" s="14">
        <v>1182.4100000000001</v>
      </c>
      <c r="W30" s="54"/>
      <c r="X30" s="53"/>
      <c r="Y30" s="80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3"/>
      <c r="AN30" s="54"/>
      <c r="AO30" s="54"/>
      <c r="AP30" s="54"/>
      <c r="AQ30" s="54"/>
      <c r="AR30" s="54"/>
      <c r="AS30" s="54"/>
      <c r="AT30" s="54"/>
      <c r="AU30" s="54"/>
    </row>
    <row r="31" spans="1:47" ht="15.75" customHeight="1">
      <c r="A31" s="51">
        <v>2018</v>
      </c>
      <c r="C31" s="1">
        <v>1593.2652749999997</v>
      </c>
      <c r="D31" s="36">
        <v>1623.4491203999996</v>
      </c>
      <c r="E31" s="36">
        <v>1273.4483615564488</v>
      </c>
      <c r="F31" s="36">
        <v>1305.2094943671882</v>
      </c>
      <c r="G31" s="36">
        <v>1363.016639671039</v>
      </c>
      <c r="H31" s="36">
        <v>1424.0140231441387</v>
      </c>
      <c r="N31" s="23"/>
      <c r="O31" s="24"/>
      <c r="P31" s="54">
        <v>589</v>
      </c>
      <c r="Q31" s="54">
        <v>762</v>
      </c>
      <c r="R31" s="54">
        <v>1010</v>
      </c>
      <c r="S31" s="42">
        <f t="shared" si="1"/>
        <v>173</v>
      </c>
      <c r="T31" s="42">
        <f t="shared" si="2"/>
        <v>248</v>
      </c>
      <c r="U31" s="54"/>
      <c r="V31" s="14">
        <v>1168.81</v>
      </c>
      <c r="W31" s="54"/>
      <c r="X31" s="53"/>
      <c r="Y31" s="80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3"/>
      <c r="AN31" s="54"/>
      <c r="AO31" s="54"/>
      <c r="AP31" s="54"/>
      <c r="AQ31" s="54"/>
      <c r="AR31" s="54"/>
      <c r="AS31" s="54"/>
      <c r="AT31" s="54"/>
      <c r="AU31" s="54"/>
    </row>
    <row r="32" spans="1:47" ht="15.75" customHeight="1">
      <c r="A32" s="51">
        <v>2019</v>
      </c>
      <c r="C32" s="1">
        <v>1534.7154374999998</v>
      </c>
      <c r="D32" s="36">
        <v>1563.7900769999997</v>
      </c>
      <c r="E32" s="36">
        <v>1215.2567786160373</v>
      </c>
      <c r="F32" s="36">
        <v>1245.566552541695</v>
      </c>
      <c r="G32" s="36">
        <v>1311.5820494947736</v>
      </c>
      <c r="H32" s="36">
        <v>1370.2776449122846</v>
      </c>
      <c r="N32" s="23"/>
      <c r="O32" s="24"/>
      <c r="P32" s="54">
        <v>582</v>
      </c>
      <c r="Q32" s="54">
        <v>750</v>
      </c>
      <c r="R32" s="54">
        <v>993</v>
      </c>
      <c r="S32" s="42">
        <f t="shared" si="1"/>
        <v>168</v>
      </c>
      <c r="T32" s="42">
        <f t="shared" si="2"/>
        <v>243</v>
      </c>
      <c r="V32" s="14">
        <v>1155.21</v>
      </c>
      <c r="X32" s="23"/>
      <c r="Y32" s="24"/>
      <c r="AM32" s="23"/>
    </row>
    <row r="33" spans="1:39" ht="15.75" customHeight="1">
      <c r="A33" s="51">
        <v>2020</v>
      </c>
      <c r="C33" s="1">
        <v>1485.0367874999997</v>
      </c>
      <c r="D33" s="36">
        <v>1513.1702825999996</v>
      </c>
      <c r="E33" s="36">
        <v>1170.5981219408377</v>
      </c>
      <c r="F33" s="36">
        <v>1199.7940623035258</v>
      </c>
      <c r="G33" s="36">
        <v>1234.4301642303747</v>
      </c>
      <c r="H33" s="36">
        <v>1289.6730775645026</v>
      </c>
      <c r="I33" s="3">
        <v>1</v>
      </c>
      <c r="J33" s="3">
        <v>1</v>
      </c>
      <c r="N33" s="23"/>
      <c r="O33" s="24"/>
      <c r="P33" s="54">
        <v>575</v>
      </c>
      <c r="Q33" s="54">
        <v>737</v>
      </c>
      <c r="R33" s="54">
        <v>975</v>
      </c>
      <c r="S33" s="42">
        <f t="shared" si="1"/>
        <v>162</v>
      </c>
      <c r="T33" s="42">
        <f t="shared" si="2"/>
        <v>238</v>
      </c>
      <c r="V33" s="14">
        <v>1141.6199999999999</v>
      </c>
      <c r="X33" s="23"/>
      <c r="Y33" s="24"/>
      <c r="AM33" s="23"/>
    </row>
    <row r="34" spans="1:39" ht="15.75" customHeight="1">
      <c r="A34" s="51">
        <v>2021</v>
      </c>
      <c r="C34" s="1">
        <v>1444.2293249999998</v>
      </c>
      <c r="D34" s="36">
        <v>1471.5897371999995</v>
      </c>
      <c r="E34" s="36">
        <v>1132.7059283982442</v>
      </c>
      <c r="F34" s="36">
        <v>1160.9567978590187</v>
      </c>
      <c r="G34" s="36">
        <v>1170.1369265100427</v>
      </c>
      <c r="H34" s="36">
        <v>1222.5026047746851</v>
      </c>
      <c r="I34" s="3">
        <v>0.96179222728052771</v>
      </c>
      <c r="J34" s="3">
        <v>0.96179222728052771</v>
      </c>
      <c r="N34" s="23"/>
      <c r="O34" s="24"/>
      <c r="P34" s="54">
        <v>567</v>
      </c>
      <c r="Q34" s="54">
        <v>724</v>
      </c>
      <c r="R34" s="54">
        <v>958</v>
      </c>
      <c r="S34" s="42">
        <f t="shared" si="1"/>
        <v>157</v>
      </c>
      <c r="T34" s="42">
        <f t="shared" si="2"/>
        <v>234</v>
      </c>
      <c r="V34" s="14">
        <v>1128.02</v>
      </c>
      <c r="X34" s="23"/>
      <c r="Y34" s="24"/>
      <c r="AM34" s="23"/>
    </row>
    <row r="35" spans="1:39" ht="15.75" customHeight="1">
      <c r="A35" s="51">
        <v>2022</v>
      </c>
      <c r="C35" s="1">
        <v>1408.7445749999999</v>
      </c>
      <c r="D35" s="36">
        <v>1435.4327411999998</v>
      </c>
      <c r="E35" s="36">
        <v>1101.5801979882565</v>
      </c>
      <c r="F35" s="36">
        <v>1129.0547592081734</v>
      </c>
      <c r="G35" s="36">
        <v>1156.9259058410714</v>
      </c>
      <c r="H35" s="36">
        <v>1208.7003677769014</v>
      </c>
      <c r="I35" s="3">
        <v>0.92358445456105531</v>
      </c>
      <c r="J35" s="3">
        <v>0.92358445456105531</v>
      </c>
      <c r="K35" s="36">
        <v>1</v>
      </c>
      <c r="N35" s="23"/>
      <c r="O35" s="24"/>
      <c r="P35" s="54">
        <v>560</v>
      </c>
      <c r="Q35" s="54">
        <v>712</v>
      </c>
      <c r="R35" s="54">
        <v>940</v>
      </c>
      <c r="S35" s="42">
        <f t="shared" si="1"/>
        <v>152</v>
      </c>
      <c r="T35" s="42">
        <f t="shared" si="2"/>
        <v>228</v>
      </c>
      <c r="V35" s="14">
        <v>1114.42</v>
      </c>
      <c r="X35" s="23"/>
      <c r="Y35" s="24"/>
      <c r="AM35" s="23"/>
    </row>
    <row r="36" spans="1:39" ht="15.75" customHeight="1">
      <c r="A36" s="51">
        <v>2023</v>
      </c>
      <c r="C36" s="1">
        <v>1378.5825374999999</v>
      </c>
      <c r="D36" s="36">
        <v>1404.6992945999996</v>
      </c>
      <c r="E36" s="36">
        <v>1074.5143454578326</v>
      </c>
      <c r="F36" s="36">
        <v>1101.3138560335256</v>
      </c>
      <c r="G36" s="36">
        <v>1143.7148851721001</v>
      </c>
      <c r="H36" s="36">
        <v>1194.8981307791178</v>
      </c>
      <c r="I36" s="3">
        <v>0.88537668184158302</v>
      </c>
      <c r="J36" s="3">
        <v>0.88537668184158302</v>
      </c>
      <c r="K36" s="36">
        <v>0.34465564578722407</v>
      </c>
      <c r="N36" s="23"/>
      <c r="O36" s="24"/>
      <c r="P36" s="54">
        <v>553</v>
      </c>
      <c r="Q36" s="54">
        <v>699</v>
      </c>
      <c r="R36" s="54">
        <v>923</v>
      </c>
      <c r="S36" s="42">
        <f t="shared" si="1"/>
        <v>146</v>
      </c>
      <c r="T36" s="42">
        <f t="shared" si="2"/>
        <v>224</v>
      </c>
      <c r="V36" s="14">
        <v>1100.82</v>
      </c>
      <c r="X36" s="23"/>
      <c r="Y36" s="24"/>
      <c r="AM36" s="23"/>
    </row>
    <row r="37" spans="1:39" ht="15.75" customHeight="1">
      <c r="A37" s="51">
        <v>2024</v>
      </c>
      <c r="C37" s="1">
        <v>1350.1947374999997</v>
      </c>
      <c r="D37" s="36">
        <v>1375.7736977999996</v>
      </c>
      <c r="E37" s="36">
        <v>1051.5083708069722</v>
      </c>
      <c r="F37" s="36">
        <v>1077.7340883350746</v>
      </c>
      <c r="G37" s="36">
        <v>1130.5038645031286</v>
      </c>
      <c r="H37" s="36">
        <v>1181.0958937813341</v>
      </c>
      <c r="I37" s="3">
        <v>0.84716890912211051</v>
      </c>
      <c r="J37" s="3">
        <v>0.84716890912211051</v>
      </c>
      <c r="K37" s="36">
        <v>0</v>
      </c>
      <c r="N37" s="23"/>
      <c r="O37" s="24"/>
      <c r="P37" s="54">
        <v>546</v>
      </c>
      <c r="Q37" s="54">
        <v>686</v>
      </c>
      <c r="R37" s="54">
        <v>905</v>
      </c>
      <c r="S37" s="42">
        <f t="shared" si="1"/>
        <v>140</v>
      </c>
      <c r="T37" s="42">
        <f t="shared" si="2"/>
        <v>219</v>
      </c>
      <c r="V37" s="14">
        <v>1087.23</v>
      </c>
      <c r="X37" s="23"/>
      <c r="Y37" s="24"/>
      <c r="AM37" s="23"/>
    </row>
    <row r="38" spans="1:39" ht="15.75" customHeight="1">
      <c r="A38" s="51">
        <v>2025</v>
      </c>
      <c r="C38" s="1">
        <v>1327.1296499999999</v>
      </c>
      <c r="D38" s="36">
        <v>1352.2716503999995</v>
      </c>
      <c r="E38" s="36">
        <v>1029.855688782633</v>
      </c>
      <c r="F38" s="36">
        <v>1055.5413657953563</v>
      </c>
      <c r="G38" s="36">
        <v>1117.2928438341571</v>
      </c>
      <c r="H38" s="36">
        <v>1167.2936567835504</v>
      </c>
      <c r="I38" s="3">
        <v>0.80896113640263823</v>
      </c>
      <c r="J38" s="3">
        <v>0.80896113640263823</v>
      </c>
      <c r="K38" s="36">
        <v>0</v>
      </c>
      <c r="N38" s="23"/>
      <c r="O38" s="24"/>
      <c r="P38" s="54">
        <v>539</v>
      </c>
      <c r="Q38" s="54">
        <v>674</v>
      </c>
      <c r="R38" s="54">
        <v>888</v>
      </c>
      <c r="S38" s="42">
        <f t="shared" si="1"/>
        <v>135</v>
      </c>
      <c r="T38" s="42">
        <f t="shared" si="2"/>
        <v>214</v>
      </c>
      <c r="V38" s="14">
        <v>1073.6300000000001</v>
      </c>
      <c r="X38" s="23"/>
      <c r="Y38" s="24"/>
      <c r="AM38" s="23"/>
    </row>
    <row r="39" spans="1:39" ht="15.75" customHeight="1">
      <c r="A39" s="51">
        <v>2026</v>
      </c>
      <c r="C39" s="1"/>
      <c r="E39" s="36">
        <v>1012.2628846378574</v>
      </c>
      <c r="F39" s="36">
        <v>1037.509778731835</v>
      </c>
      <c r="G39" s="36">
        <v>1104.0818231651858</v>
      </c>
      <c r="H39" s="36">
        <v>1153.4914197857668</v>
      </c>
      <c r="I39" s="3">
        <v>0.77075336368316583</v>
      </c>
      <c r="J39" s="3">
        <v>0.77075336368316583</v>
      </c>
      <c r="K39" s="36">
        <v>0</v>
      </c>
      <c r="N39" s="23"/>
      <c r="O39" s="24"/>
      <c r="P39" s="54">
        <v>532</v>
      </c>
      <c r="Q39" s="54">
        <v>661</v>
      </c>
      <c r="R39" s="54">
        <v>870</v>
      </c>
      <c r="S39" s="42">
        <f t="shared" si="1"/>
        <v>129</v>
      </c>
      <c r="T39" s="42">
        <f t="shared" si="2"/>
        <v>209</v>
      </c>
      <c r="V39" s="14">
        <v>1060.03</v>
      </c>
      <c r="X39" s="23"/>
      <c r="Y39" s="24"/>
      <c r="AM39" s="23"/>
    </row>
    <row r="40" spans="1:39" ht="15.75" customHeight="1">
      <c r="A40" s="51">
        <v>2027</v>
      </c>
      <c r="C40" s="1"/>
      <c r="E40" s="36">
        <v>996.02337311960298</v>
      </c>
      <c r="F40" s="36">
        <v>1020.8652368270463</v>
      </c>
      <c r="G40" s="36">
        <v>1090.8708024962143</v>
      </c>
      <c r="H40" s="36">
        <v>1139.6891827879831</v>
      </c>
      <c r="I40" s="3">
        <v>0.73254559096369343</v>
      </c>
      <c r="J40" s="3">
        <v>0.73254559096369343</v>
      </c>
      <c r="K40" s="36">
        <v>0</v>
      </c>
      <c r="N40" s="23"/>
      <c r="O40" s="24"/>
      <c r="P40" s="54">
        <v>524</v>
      </c>
      <c r="Q40" s="54">
        <v>648</v>
      </c>
      <c r="R40" s="54">
        <v>853</v>
      </c>
      <c r="S40" s="42">
        <f t="shared" si="1"/>
        <v>124</v>
      </c>
      <c r="T40" s="42">
        <f t="shared" si="2"/>
        <v>205</v>
      </c>
      <c r="V40" s="14">
        <v>1046.44</v>
      </c>
      <c r="X40" s="23"/>
      <c r="Y40" s="24"/>
      <c r="AM40" s="23"/>
    </row>
    <row r="41" spans="1:39" ht="15.75" customHeight="1">
      <c r="A41" s="51">
        <v>2028</v>
      </c>
      <c r="C41" s="1"/>
      <c r="E41" s="36">
        <v>981.13715422786981</v>
      </c>
      <c r="F41" s="36">
        <v>1005.6077400809899</v>
      </c>
      <c r="G41" s="36">
        <v>1077.659781827243</v>
      </c>
      <c r="H41" s="36">
        <v>1125.8869457901997</v>
      </c>
      <c r="I41" s="3">
        <v>0.69433781824422103</v>
      </c>
      <c r="J41" s="3">
        <v>0.69433781824422103</v>
      </c>
      <c r="K41" s="36">
        <v>0</v>
      </c>
      <c r="N41" s="23"/>
      <c r="O41" s="24"/>
      <c r="P41" s="54">
        <v>517</v>
      </c>
      <c r="Q41" s="54">
        <v>636</v>
      </c>
      <c r="R41" s="54">
        <v>835</v>
      </c>
      <c r="S41" s="42">
        <f t="shared" si="1"/>
        <v>119</v>
      </c>
      <c r="T41" s="42">
        <f t="shared" si="2"/>
        <v>199</v>
      </c>
      <c r="V41" s="14">
        <v>1032.8399999999999</v>
      </c>
      <c r="X41" s="23"/>
      <c r="Y41" s="24"/>
      <c r="AM41" s="23"/>
    </row>
    <row r="42" spans="1:39" ht="15.75" customHeight="1">
      <c r="A42" s="24"/>
      <c r="C42" s="1"/>
      <c r="I42" s="3">
        <v>0.65613004552474874</v>
      </c>
      <c r="J42" s="3">
        <v>0.65613004552474874</v>
      </c>
      <c r="K42" s="36">
        <v>-5.1117731115287723E-2</v>
      </c>
      <c r="N42" s="23"/>
      <c r="O42" s="24"/>
      <c r="P42" s="54">
        <v>510</v>
      </c>
      <c r="Q42" s="54">
        <v>623</v>
      </c>
      <c r="R42" s="54">
        <v>818</v>
      </c>
      <c r="S42" s="42">
        <f t="shared" si="1"/>
        <v>113</v>
      </c>
      <c r="T42" s="42">
        <f t="shared" si="2"/>
        <v>195</v>
      </c>
      <c r="V42" s="14">
        <v>1019.24</v>
      </c>
      <c r="X42" s="23"/>
      <c r="Y42" s="24"/>
      <c r="AM42" s="23"/>
    </row>
    <row r="43" spans="1:39" ht="15.75" customHeight="1">
      <c r="A43" s="24"/>
      <c r="C43" s="1"/>
      <c r="I43" s="4">
        <v>0.61792227280527656</v>
      </c>
      <c r="J43" s="4">
        <v>0.61792227280527656</v>
      </c>
      <c r="K43" s="36">
        <v>-5.3871521042721082E-2</v>
      </c>
      <c r="N43" s="23"/>
      <c r="O43" s="24"/>
      <c r="P43" s="54">
        <v>503</v>
      </c>
      <c r="Q43" s="54">
        <v>610</v>
      </c>
      <c r="R43" s="54">
        <v>800</v>
      </c>
      <c r="S43" s="42">
        <f t="shared" si="1"/>
        <v>107</v>
      </c>
      <c r="T43" s="42">
        <f t="shared" si="2"/>
        <v>190</v>
      </c>
      <c r="V43" s="14">
        <v>1005.64</v>
      </c>
      <c r="X43" s="23"/>
      <c r="Y43" s="24"/>
      <c r="AM43" s="23"/>
    </row>
    <row r="44" spans="1:39" ht="15.75" customHeight="1" thickBot="1">
      <c r="A44" s="24"/>
      <c r="C44" s="1"/>
      <c r="K44" s="36">
        <v>-5.6938906544798717E-2</v>
      </c>
      <c r="N44" s="23"/>
      <c r="O44" s="28"/>
      <c r="P44" s="29"/>
      <c r="Q44" s="29"/>
      <c r="R44" s="29"/>
      <c r="S44" s="44"/>
      <c r="T44" s="44"/>
      <c r="U44" s="29"/>
      <c r="V44" s="29"/>
      <c r="W44" s="29"/>
      <c r="X44" s="31"/>
      <c r="Y44" s="24"/>
      <c r="AM44" s="23"/>
    </row>
    <row r="45" spans="1:39" ht="15.75" customHeight="1">
      <c r="A45" s="24"/>
      <c r="C45" s="1"/>
      <c r="K45" s="36">
        <v>-6.0376689209163836E-2</v>
      </c>
      <c r="N45" s="23"/>
      <c r="S45" s="13"/>
      <c r="T45" s="13"/>
      <c r="Y45" s="24"/>
      <c r="AM45" s="23"/>
    </row>
    <row r="46" spans="1:39" ht="15.75" customHeight="1">
      <c r="A46" s="24"/>
      <c r="C46" s="1"/>
      <c r="K46" s="36">
        <v>4.6738988723598052E-3</v>
      </c>
      <c r="N46" s="23"/>
      <c r="S46" s="13"/>
      <c r="T46" s="13"/>
      <c r="Y46" s="24"/>
      <c r="AM46" s="23"/>
    </row>
    <row r="47" spans="1:39" ht="15.75" customHeight="1">
      <c r="A47" s="24"/>
      <c r="C47" s="1"/>
      <c r="K47" s="36">
        <v>2.1878155336871874E-3</v>
      </c>
      <c r="N47" s="23"/>
      <c r="S47" s="13"/>
      <c r="T47" s="13"/>
      <c r="Y47" s="24"/>
      <c r="AM47" s="23"/>
    </row>
    <row r="48" spans="1:39" ht="15.75" customHeight="1">
      <c r="A48" s="24"/>
      <c r="C48" s="1"/>
      <c r="K48" s="36">
        <v>1.7582545887653289E-3</v>
      </c>
      <c r="N48" s="23"/>
      <c r="S48" s="13"/>
      <c r="T48" s="13"/>
      <c r="Y48" s="24"/>
      <c r="AM48" s="23"/>
    </row>
    <row r="49" spans="1:39" ht="15.75" customHeight="1">
      <c r="A49" s="24"/>
      <c r="C49" s="1"/>
      <c r="K49" s="36">
        <v>1.3103172992185996E-3</v>
      </c>
      <c r="N49" s="23"/>
      <c r="S49" s="13"/>
      <c r="T49" s="13"/>
      <c r="Y49" s="24"/>
      <c r="AM49" s="23"/>
    </row>
    <row r="50" spans="1:39" ht="15.75" customHeight="1">
      <c r="A50" s="24"/>
      <c r="C50" s="1"/>
      <c r="K50" s="36">
        <v>8.4279869865566681E-4</v>
      </c>
      <c r="N50" s="23"/>
      <c r="S50" s="13"/>
      <c r="T50" s="13"/>
      <c r="Y50" s="24"/>
      <c r="AM50" s="23"/>
    </row>
    <row r="51" spans="1:39" ht="15.75" customHeight="1">
      <c r="A51" s="24"/>
      <c r="C51" s="1"/>
      <c r="K51" s="36">
        <v>3.5438611783100704E-4</v>
      </c>
      <c r="N51" s="23"/>
      <c r="S51" s="13"/>
      <c r="T51" s="13"/>
      <c r="Y51" s="24"/>
      <c r="AM51" s="23"/>
    </row>
    <row r="52" spans="1:39" ht="15.75" customHeight="1">
      <c r="A52" s="24"/>
      <c r="C52" s="1"/>
      <c r="K52" s="36">
        <v>-1.5635312382855648E-4</v>
      </c>
      <c r="N52" s="23"/>
      <c r="S52" s="13"/>
      <c r="T52" s="13"/>
      <c r="Y52" s="24"/>
      <c r="AM52" s="23"/>
    </row>
    <row r="53" spans="1:39" ht="15.75" customHeight="1">
      <c r="A53" s="24"/>
      <c r="C53" s="1"/>
      <c r="K53" s="36">
        <v>-6.9098575413950591E-4</v>
      </c>
      <c r="N53" s="23"/>
      <c r="S53" s="13"/>
      <c r="T53" s="13"/>
      <c r="Y53" s="24"/>
      <c r="AM53" s="23"/>
    </row>
    <row r="54" spans="1:39" ht="15.75" customHeight="1">
      <c r="A54" s="24"/>
      <c r="C54" s="1"/>
      <c r="K54" s="36">
        <v>-1.2512286011432394E-3</v>
      </c>
      <c r="N54" s="23"/>
      <c r="S54" s="13"/>
      <c r="T54" s="13"/>
      <c r="Y54" s="24"/>
      <c r="AM54" s="23"/>
    </row>
    <row r="55" spans="1:39" ht="15.75" customHeight="1" thickBot="1">
      <c r="A55" s="28"/>
      <c r="B55" s="29"/>
      <c r="C55" s="30"/>
      <c r="D55" s="29"/>
      <c r="E55" s="29"/>
      <c r="F55" s="29"/>
      <c r="G55" s="29"/>
      <c r="H55" s="29"/>
      <c r="I55" s="29"/>
      <c r="J55" s="29"/>
      <c r="K55" s="58">
        <v>-1.838967009626824E-3</v>
      </c>
      <c r="L55" s="29"/>
      <c r="M55" s="29"/>
      <c r="N55" s="31"/>
      <c r="S55" s="13"/>
      <c r="T55" s="13"/>
      <c r="Y55" s="24"/>
      <c r="AM55" s="23"/>
    </row>
    <row r="56" spans="1:39" ht="15.75" customHeight="1">
      <c r="C56" s="1"/>
      <c r="Y56" s="24"/>
      <c r="AM56" s="23"/>
    </row>
    <row r="57" spans="1:39" ht="15.75" customHeight="1">
      <c r="C57" s="1"/>
      <c r="Y57" s="24"/>
      <c r="AM57" s="23"/>
    </row>
    <row r="58" spans="1:39" ht="15.75" customHeight="1">
      <c r="C58" s="1"/>
      <c r="Y58" s="24"/>
      <c r="AM58" s="23"/>
    </row>
    <row r="59" spans="1:39" ht="15.75" customHeight="1">
      <c r="C59" s="1"/>
      <c r="Y59" s="24"/>
      <c r="AM59" s="23"/>
    </row>
    <row r="60" spans="1:39" ht="15.75" customHeight="1">
      <c r="C60" s="1"/>
      <c r="Y60" s="24"/>
      <c r="AM60" s="23"/>
    </row>
    <row r="61" spans="1:39" ht="15.75" customHeight="1">
      <c r="C61" s="1"/>
      <c r="K61" s="17"/>
      <c r="Y61" s="24"/>
      <c r="AM61" s="23"/>
    </row>
    <row r="62" spans="1:39" ht="15.75" customHeight="1">
      <c r="C62" s="1"/>
      <c r="K62" s="17"/>
      <c r="Y62" s="24"/>
      <c r="AM62" s="23"/>
    </row>
    <row r="63" spans="1:39" ht="15.75" customHeight="1">
      <c r="C63" s="1"/>
      <c r="K63" s="17"/>
      <c r="L63" s="16"/>
      <c r="Y63" s="24"/>
      <c r="AM63" s="23"/>
    </row>
    <row r="64" spans="1:39" ht="15.75" customHeight="1">
      <c r="C64" s="1"/>
      <c r="K64" s="17"/>
      <c r="L64" s="16"/>
      <c r="Y64" s="24"/>
      <c r="AM64" s="23"/>
    </row>
    <row r="65" spans="3:39" ht="15.75" customHeight="1">
      <c r="C65" s="1"/>
      <c r="Y65" s="24"/>
      <c r="AM65" s="23"/>
    </row>
    <row r="66" spans="3:39" ht="15.75" customHeight="1">
      <c r="C66" s="1"/>
      <c r="Y66" s="24"/>
      <c r="AM66" s="23"/>
    </row>
    <row r="67" spans="3:39" ht="15.75" customHeight="1">
      <c r="C67" s="1"/>
      <c r="Y67" s="24"/>
      <c r="AM67" s="23"/>
    </row>
    <row r="68" spans="3:39" ht="15.75" customHeight="1" thickBot="1">
      <c r="C68" s="1"/>
      <c r="Y68" s="28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31"/>
    </row>
    <row r="69" spans="3:39" ht="15.75" customHeight="1">
      <c r="C69" s="1"/>
    </row>
    <row r="70" spans="3:39" ht="15.75" customHeight="1">
      <c r="C70" s="1"/>
    </row>
    <row r="71" spans="3:39" ht="15.75" customHeight="1">
      <c r="C71" s="1"/>
    </row>
    <row r="72" spans="3:39" ht="15.75" customHeight="1">
      <c r="C72" s="1"/>
    </row>
    <row r="73" spans="3:39" ht="15.75" customHeight="1">
      <c r="C73" s="1"/>
    </row>
    <row r="74" spans="3:39" ht="15.75" customHeight="1">
      <c r="C74" s="1"/>
    </row>
    <row r="75" spans="3:39" ht="15.75" customHeight="1">
      <c r="C75" s="1"/>
    </row>
    <row r="76" spans="3:39" ht="15.75" customHeight="1">
      <c r="C76" s="1"/>
    </row>
    <row r="77" spans="3:39" ht="15.75" customHeight="1">
      <c r="C77" s="1"/>
    </row>
    <row r="78" spans="3:39" ht="15.75" customHeight="1">
      <c r="C78" s="1"/>
    </row>
    <row r="79" spans="3:39" ht="15.75" customHeight="1">
      <c r="C79" s="1"/>
    </row>
    <row r="80" spans="3:39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</sheetData>
  <mergeCells count="4">
    <mergeCell ref="F3:H5"/>
    <mergeCell ref="P9:R9"/>
    <mergeCell ref="Z3:AD4"/>
    <mergeCell ref="Q3:U4"/>
  </mergeCells>
  <hyperlinks>
    <hyperlink ref="P9" r:id="rId1" xr:uid="{FA0B6D1D-CD5C-44E5-AF74-0FDE2A088B74}"/>
  </hyperlinks>
  <pageMargins left="0.7" right="0.7" top="0.75" bottom="0.75" header="0" footer="0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8CDC-D79D-4720-B157-6D1E8158027B}">
  <dimension ref="A1:AS997"/>
  <sheetViews>
    <sheetView tabSelected="1" zoomScale="70" zoomScaleNormal="70" workbookViewId="0">
      <selection activeCell="L23" sqref="L23"/>
    </sheetView>
  </sheetViews>
  <sheetFormatPr defaultColWidth="14.42578125" defaultRowHeight="15" customHeight="1"/>
  <cols>
    <col min="1" max="1" width="8.7109375" customWidth="1"/>
    <col min="2" max="2" width="5.5703125" customWidth="1"/>
    <col min="3" max="3" width="13.28515625" customWidth="1"/>
    <col min="4" max="8" width="10.5703125" customWidth="1"/>
    <col min="9" max="9" width="8.7109375" customWidth="1"/>
    <col min="10" max="11" width="10.5703125" customWidth="1"/>
    <col min="12" max="12" width="8.7109375" customWidth="1"/>
    <col min="13" max="16" width="10.5703125" customWidth="1"/>
    <col min="17" max="21" width="8.7109375" customWidth="1"/>
    <col min="22" max="23" width="7.140625" customWidth="1"/>
    <col min="24" max="31" width="8.7109375" customWidth="1"/>
  </cols>
  <sheetData>
    <row r="1" spans="1:45" ht="15.75" thickBot="1">
      <c r="A1" s="19"/>
      <c r="B1" s="20"/>
      <c r="C1" s="21" t="s">
        <v>40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2"/>
    </row>
    <row r="2" spans="1:45" ht="15.75" thickBot="1">
      <c r="A2" s="51" t="s">
        <v>11</v>
      </c>
      <c r="B2" s="36" t="s">
        <v>12</v>
      </c>
      <c r="C2" s="1" t="s">
        <v>13</v>
      </c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2"/>
      <c r="AL2" s="20"/>
      <c r="AM2" s="20"/>
      <c r="AN2" s="20"/>
      <c r="AO2" s="20"/>
      <c r="AP2" s="20"/>
      <c r="AQ2" s="20"/>
      <c r="AR2" s="20"/>
      <c r="AS2" s="22"/>
    </row>
    <row r="3" spans="1:45">
      <c r="A3" s="51">
        <v>2017</v>
      </c>
      <c r="B3" s="36" t="s">
        <v>41</v>
      </c>
      <c r="C3" s="1">
        <v>1612.5417297961289</v>
      </c>
      <c r="R3" s="24"/>
      <c r="W3" s="61" t="s">
        <v>16</v>
      </c>
      <c r="X3" s="62"/>
      <c r="Y3" s="62"/>
      <c r="Z3" s="62"/>
      <c r="AA3" s="63"/>
      <c r="AK3" s="23"/>
      <c r="AM3" s="70" t="s">
        <v>17</v>
      </c>
      <c r="AN3" s="71"/>
      <c r="AO3" s="71"/>
      <c r="AP3" s="71"/>
      <c r="AQ3" s="72"/>
      <c r="AS3" s="23"/>
    </row>
    <row r="4" spans="1:45" ht="15.75" thickBot="1">
      <c r="A4" s="51">
        <v>2017</v>
      </c>
      <c r="B4" s="36" t="s">
        <v>18</v>
      </c>
      <c r="C4" s="1">
        <v>1646.6692865622003</v>
      </c>
      <c r="R4" s="24"/>
      <c r="W4" s="67"/>
      <c r="X4" s="68"/>
      <c r="Y4" s="68"/>
      <c r="Z4" s="68"/>
      <c r="AA4" s="69"/>
      <c r="AK4" s="23"/>
      <c r="AM4" s="73"/>
      <c r="AN4" s="74"/>
      <c r="AO4" s="74"/>
      <c r="AP4" s="74"/>
      <c r="AQ4" s="75"/>
      <c r="AS4" s="23"/>
    </row>
    <row r="5" spans="1:45">
      <c r="A5" s="51">
        <v>2018</v>
      </c>
      <c r="B5" s="36" t="s">
        <v>41</v>
      </c>
      <c r="C5" s="1">
        <v>1414.5610496711463</v>
      </c>
      <c r="H5" s="61" t="s">
        <v>15</v>
      </c>
      <c r="I5" s="62"/>
      <c r="J5" s="63"/>
      <c r="R5" s="24"/>
      <c r="AK5" s="23"/>
      <c r="AS5" s="23"/>
    </row>
    <row r="6" spans="1:45">
      <c r="A6" s="51">
        <v>2018</v>
      </c>
      <c r="B6" s="36" t="s">
        <v>18</v>
      </c>
      <c r="C6" s="1">
        <v>1444.3861643932748</v>
      </c>
      <c r="H6" s="64"/>
      <c r="I6" s="65"/>
      <c r="J6" s="66"/>
      <c r="R6" s="24"/>
      <c r="AK6" s="23"/>
      <c r="AS6" s="23"/>
    </row>
    <row r="7" spans="1:45" ht="15.75" thickBot="1">
      <c r="A7" s="51">
        <v>2019</v>
      </c>
      <c r="B7" s="36" t="s">
        <v>41</v>
      </c>
      <c r="C7" s="1">
        <v>1301.4978814276944</v>
      </c>
      <c r="H7" s="67"/>
      <c r="I7" s="68"/>
      <c r="J7" s="69"/>
      <c r="R7" s="24"/>
      <c r="AK7" s="23"/>
      <c r="AS7" s="23"/>
    </row>
    <row r="8" spans="1:45">
      <c r="A8" s="51">
        <v>2019</v>
      </c>
      <c r="B8" s="36" t="s">
        <v>18</v>
      </c>
      <c r="C8" s="1">
        <v>1333.7264711452601</v>
      </c>
      <c r="R8" s="24"/>
      <c r="AK8" s="23"/>
      <c r="AS8" s="23"/>
    </row>
    <row r="9" spans="1:45">
      <c r="A9" s="24"/>
      <c r="C9" s="1"/>
      <c r="R9" s="24"/>
      <c r="AK9" s="23"/>
      <c r="AS9" s="23"/>
    </row>
    <row r="10" spans="1:45">
      <c r="A10" s="24"/>
      <c r="C10" s="1"/>
      <c r="R10" s="24"/>
      <c r="S10" s="36" t="s">
        <v>19</v>
      </c>
      <c r="T10" s="36"/>
      <c r="U10" s="36"/>
      <c r="AK10" s="23"/>
      <c r="AS10" s="23"/>
    </row>
    <row r="11" spans="1:45">
      <c r="A11" s="24"/>
      <c r="C11" s="1"/>
      <c r="R11" s="24"/>
      <c r="S11" s="79" t="s">
        <v>20</v>
      </c>
      <c r="T11" s="79"/>
      <c r="U11" s="79"/>
      <c r="AK11" s="23"/>
      <c r="AS11" s="23"/>
    </row>
    <row r="12" spans="1:45">
      <c r="A12" s="51" t="s">
        <v>21</v>
      </c>
      <c r="C12" s="1" t="s">
        <v>22</v>
      </c>
      <c r="D12" s="1" t="s">
        <v>22</v>
      </c>
      <c r="E12" s="36" t="s">
        <v>23</v>
      </c>
      <c r="F12" s="36" t="s">
        <v>23</v>
      </c>
      <c r="G12" s="36" t="s">
        <v>24</v>
      </c>
      <c r="H12" s="36" t="s">
        <v>24</v>
      </c>
      <c r="J12" s="36" t="s">
        <v>25</v>
      </c>
      <c r="K12" s="36" t="s">
        <v>25</v>
      </c>
      <c r="M12" s="36" t="s">
        <v>26</v>
      </c>
      <c r="N12" s="36" t="s">
        <v>26</v>
      </c>
      <c r="O12" s="36" t="s">
        <v>26</v>
      </c>
      <c r="P12" s="36" t="s">
        <v>26</v>
      </c>
      <c r="R12" s="24"/>
      <c r="S12" s="36" t="s">
        <v>27</v>
      </c>
      <c r="T12" s="36" t="s">
        <v>28</v>
      </c>
      <c r="U12" s="36" t="s">
        <v>29</v>
      </c>
      <c r="X12" t="s">
        <v>17</v>
      </c>
      <c r="Y12" t="s">
        <v>42</v>
      </c>
      <c r="Z12" t="s">
        <v>30</v>
      </c>
      <c r="AK12" s="23"/>
      <c r="AS12" s="23"/>
    </row>
    <row r="13" spans="1:45">
      <c r="A13" s="51" t="s">
        <v>31</v>
      </c>
      <c r="C13" s="1" t="s">
        <v>41</v>
      </c>
      <c r="D13" s="36" t="s">
        <v>18</v>
      </c>
      <c r="E13" s="36" t="s">
        <v>41</v>
      </c>
      <c r="F13" s="36" t="s">
        <v>18</v>
      </c>
      <c r="G13" s="36" t="s">
        <v>41</v>
      </c>
      <c r="H13" s="36" t="s">
        <v>18</v>
      </c>
      <c r="J13" s="36" t="s">
        <v>41</v>
      </c>
      <c r="K13" s="36" t="s">
        <v>18</v>
      </c>
      <c r="M13" s="36" t="s">
        <v>41</v>
      </c>
      <c r="N13" s="36" t="s">
        <v>18</v>
      </c>
      <c r="O13" s="36" t="s">
        <v>43</v>
      </c>
      <c r="P13" s="36" t="s">
        <v>44</v>
      </c>
      <c r="R13" s="24"/>
      <c r="S13" s="36" t="s">
        <v>35</v>
      </c>
      <c r="T13" s="36" t="s">
        <v>36</v>
      </c>
      <c r="U13" s="36" t="s">
        <v>37</v>
      </c>
      <c r="V13" s="38" t="s">
        <v>45</v>
      </c>
      <c r="W13" s="38" t="s">
        <v>46</v>
      </c>
      <c r="X13" s="36" t="s">
        <v>47</v>
      </c>
      <c r="Y13" s="36" t="s">
        <v>48</v>
      </c>
      <c r="AA13" t="s">
        <v>45</v>
      </c>
      <c r="AB13" t="s">
        <v>46</v>
      </c>
      <c r="AD13" s="76" t="s">
        <v>49</v>
      </c>
      <c r="AE13" s="76"/>
      <c r="AF13" s="76"/>
      <c r="AG13" s="76"/>
      <c r="AH13" s="76"/>
      <c r="AI13" s="76"/>
      <c r="AJ13" s="76"/>
      <c r="AK13" s="23"/>
      <c r="AS13" s="23"/>
    </row>
    <row r="14" spans="1:45">
      <c r="A14" s="51">
        <v>2019</v>
      </c>
      <c r="C14" s="1"/>
      <c r="D14" s="1"/>
      <c r="E14" s="1"/>
      <c r="F14" s="1"/>
      <c r="G14" s="1"/>
      <c r="H14" s="1"/>
      <c r="I14" s="5">
        <v>0.99585857851954374</v>
      </c>
      <c r="J14" t="e">
        <f>NA()</f>
        <v>#N/A</v>
      </c>
      <c r="K14" t="e">
        <f>NA()</f>
        <v>#N/A</v>
      </c>
      <c r="L14" t="e">
        <f>NA()</f>
        <v>#N/A</v>
      </c>
      <c r="M14" t="e">
        <f>NA()</f>
        <v>#N/A</v>
      </c>
      <c r="N14" t="e">
        <f>NA()</f>
        <v>#N/A</v>
      </c>
      <c r="O14" t="e">
        <f>NA()</f>
        <v>#N/A</v>
      </c>
      <c r="P14" t="e">
        <f>NA()</f>
        <v>#N/A</v>
      </c>
      <c r="Q14" t="e">
        <f>NA()</f>
        <v>#N/A</v>
      </c>
      <c r="R14" s="24"/>
      <c r="S14" t="e">
        <f>NA()</f>
        <v>#N/A</v>
      </c>
      <c r="T14" t="e">
        <f>NA()</f>
        <v>#N/A</v>
      </c>
      <c r="U14" t="e">
        <f>NA()</f>
        <v>#N/A</v>
      </c>
      <c r="V14" s="38" t="e">
        <f t="shared" ref="V14:W45" si="0">T14-S14</f>
        <v>#N/A</v>
      </c>
      <c r="W14" s="38" t="e">
        <f t="shared" si="0"/>
        <v>#N/A</v>
      </c>
      <c r="X14">
        <v>3346</v>
      </c>
      <c r="Z14" t="e">
        <f>W14-V14</f>
        <v>#N/A</v>
      </c>
      <c r="AD14" s="15" t="s">
        <v>50</v>
      </c>
      <c r="AE14" s="15" t="s">
        <v>51</v>
      </c>
      <c r="AF14" s="15" t="s">
        <v>52</v>
      </c>
      <c r="AG14" s="15" t="s">
        <v>53</v>
      </c>
      <c r="AH14" s="15" t="s">
        <v>54</v>
      </c>
      <c r="AI14" s="15" t="s">
        <v>55</v>
      </c>
      <c r="AJ14" s="15" t="s">
        <v>56</v>
      </c>
      <c r="AK14" s="23"/>
      <c r="AS14" s="23"/>
    </row>
    <row r="15" spans="1:45">
      <c r="A15" s="51">
        <f t="shared" ref="A15:A27" si="1">A14+1</f>
        <v>2020</v>
      </c>
      <c r="C15" s="1"/>
      <c r="D15" s="1"/>
      <c r="E15" s="1"/>
      <c r="F15" s="1"/>
      <c r="G15" s="1"/>
      <c r="H15" s="1"/>
      <c r="I15" s="5">
        <v>0.99192094970928524</v>
      </c>
      <c r="J15" s="1">
        <v>1356.4</v>
      </c>
      <c r="K15" s="1">
        <v>1315.22</v>
      </c>
      <c r="L15" s="3">
        <v>1</v>
      </c>
      <c r="M15" t="e">
        <f>NA()</f>
        <v>#N/A</v>
      </c>
      <c r="N15" t="e">
        <f>NA()</f>
        <v>#N/A</v>
      </c>
      <c r="O15" t="e">
        <f>NA()</f>
        <v>#N/A</v>
      </c>
      <c r="P15" t="e">
        <f>NA()</f>
        <v>#N/A</v>
      </c>
      <c r="Q15" t="e">
        <f>NA()</f>
        <v>#N/A</v>
      </c>
      <c r="R15" s="24"/>
      <c r="S15" t="e">
        <f>NA()</f>
        <v>#N/A</v>
      </c>
      <c r="T15" t="e">
        <f>NA()</f>
        <v>#N/A</v>
      </c>
      <c r="U15" t="e">
        <f>NA()</f>
        <v>#N/A</v>
      </c>
      <c r="V15" s="38" t="e">
        <f t="shared" si="0"/>
        <v>#N/A</v>
      </c>
      <c r="W15" s="38" t="e">
        <f t="shared" si="0"/>
        <v>#N/A</v>
      </c>
      <c r="X15" t="e">
        <f>NA()</f>
        <v>#N/A</v>
      </c>
      <c r="Y15">
        <f>X14+(X$21-X14)/COUNT(W15:W$21)</f>
        <v>3456.129943502825</v>
      </c>
      <c r="Z15" s="45">
        <f>AVERAGE(AD15:AJ15)</f>
        <v>4252.0328571428563</v>
      </c>
      <c r="AA15">
        <f>Z15-MIN(AD15:AJ15)</f>
        <v>176.35285714285646</v>
      </c>
      <c r="AB15">
        <f>MAX(AD15:AJ15)-Z15</f>
        <v>473.53714285714341</v>
      </c>
      <c r="AD15" s="14">
        <v>4725.57</v>
      </c>
      <c r="AE15" s="14">
        <v>4403.9399999999996</v>
      </c>
      <c r="AF15" s="14">
        <v>4218.4399999999996</v>
      </c>
      <c r="AG15" s="14">
        <v>4138.96</v>
      </c>
      <c r="AH15" s="14">
        <v>4089.69</v>
      </c>
      <c r="AI15" s="14">
        <v>4075.68</v>
      </c>
      <c r="AJ15" s="14">
        <v>4111.95</v>
      </c>
      <c r="AK15" s="23"/>
      <c r="AS15" s="23"/>
    </row>
    <row r="16" spans="1:45">
      <c r="A16" s="51">
        <f t="shared" si="1"/>
        <v>2021</v>
      </c>
      <c r="C16" s="1"/>
      <c r="D16" s="1"/>
      <c r="E16" s="1"/>
      <c r="F16" s="1"/>
      <c r="G16" s="1"/>
      <c r="H16" s="1"/>
      <c r="I16" s="5">
        <v>0.98818711356922495</v>
      </c>
      <c r="J16" s="1">
        <f t="shared" ref="J16:K25" si="2">J$15*$L16</f>
        <v>1340.1398852064808</v>
      </c>
      <c r="K16" s="1">
        <f t="shared" si="2"/>
        <v>1299.4535386473515</v>
      </c>
      <c r="L16" s="3">
        <v>0.98801230109590144</v>
      </c>
      <c r="M16" t="e">
        <f>NA()</f>
        <v>#N/A</v>
      </c>
      <c r="N16" t="e">
        <f>NA()</f>
        <v>#N/A</v>
      </c>
      <c r="O16" t="e">
        <f>NA()</f>
        <v>#N/A</v>
      </c>
      <c r="P16" t="e">
        <f>NA()</f>
        <v>#N/A</v>
      </c>
      <c r="Q16" t="e">
        <f>NA()</f>
        <v>#N/A</v>
      </c>
      <c r="R16" s="24"/>
      <c r="S16" s="54">
        <v>3269.3734005350002</v>
      </c>
      <c r="T16" s="54">
        <v>3516.4060842910062</v>
      </c>
      <c r="U16" s="54">
        <v>3971.3568268822792</v>
      </c>
      <c r="V16" s="46">
        <f t="shared" si="0"/>
        <v>247.03268375600601</v>
      </c>
      <c r="W16" s="46">
        <f t="shared" si="0"/>
        <v>454.95074259127296</v>
      </c>
      <c r="X16" t="e">
        <f>NA()</f>
        <v>#N/A</v>
      </c>
      <c r="Y16">
        <f>Y15+(X$21-Y15)/COUNT(W16:W$21)</f>
        <v>3547.9048964218459</v>
      </c>
      <c r="Z16">
        <f t="shared" ref="Z16:Z45" si="3">AVERAGE(AD16:AJ16)</f>
        <v>3961.8857142857146</v>
      </c>
      <c r="AA16">
        <f t="shared" ref="AA16:AA45" si="4">Z16-MIN(AD16:AJ16)</f>
        <v>135.57571428571464</v>
      </c>
      <c r="AB16">
        <f t="shared" ref="AB16:AB45" si="5">MAX(AD16:AJ16)-Z16</f>
        <v>367.94428571428534</v>
      </c>
      <c r="AD16" s="14">
        <v>4329.83</v>
      </c>
      <c r="AE16" s="14">
        <v>4035.13</v>
      </c>
      <c r="AF16" s="14">
        <v>3956.9</v>
      </c>
      <c r="AG16" s="14">
        <v>3885.3</v>
      </c>
      <c r="AH16" s="14">
        <v>3839.73</v>
      </c>
      <c r="AI16" s="14">
        <v>3826.31</v>
      </c>
      <c r="AJ16" s="14">
        <v>3860</v>
      </c>
      <c r="AK16" s="23"/>
      <c r="AS16" s="23"/>
    </row>
    <row r="17" spans="1:45">
      <c r="A17" s="51">
        <f t="shared" si="1"/>
        <v>2022</v>
      </c>
      <c r="C17" s="1"/>
      <c r="D17" s="1"/>
      <c r="E17" s="1"/>
      <c r="F17" s="1"/>
      <c r="G17" s="1"/>
      <c r="H17" s="1"/>
      <c r="I17" s="5">
        <v>0.98465707009936232</v>
      </c>
      <c r="J17" s="1">
        <f t="shared" si="2"/>
        <v>1323.1519026090239</v>
      </c>
      <c r="K17" s="1">
        <f t="shared" si="2"/>
        <v>1282.9813073941611</v>
      </c>
      <c r="L17" s="3">
        <v>0.97548798481939236</v>
      </c>
      <c r="M17" s="2">
        <v>1567.53</v>
      </c>
      <c r="N17" s="2">
        <v>1566.92</v>
      </c>
      <c r="O17" s="2">
        <v>4635.7361989855781</v>
      </c>
      <c r="P17" s="2">
        <v>4633.3938147826047</v>
      </c>
      <c r="Q17" s="3">
        <v>1</v>
      </c>
      <c r="R17" s="47"/>
      <c r="S17" s="54">
        <v>3554.2040171167423</v>
      </c>
      <c r="T17" s="54">
        <v>3849.3915009375587</v>
      </c>
      <c r="U17" s="54">
        <v>4411.8754434134444</v>
      </c>
      <c r="V17" s="46">
        <f t="shared" si="0"/>
        <v>295.1874838208164</v>
      </c>
      <c r="W17" s="46">
        <f t="shared" si="0"/>
        <v>562.48394247588567</v>
      </c>
      <c r="X17" t="e">
        <f>NA()</f>
        <v>#N/A</v>
      </c>
      <c r="Y17">
        <f>Y16+(X$21-Y16)/COUNT(W17:W$21)</f>
        <v>3639.6798493408669</v>
      </c>
      <c r="Z17">
        <f t="shared" si="3"/>
        <v>3779.1742857142858</v>
      </c>
      <c r="AA17">
        <f t="shared" si="4"/>
        <v>129.79428571428571</v>
      </c>
      <c r="AB17">
        <f t="shared" si="5"/>
        <v>353.75571428571448</v>
      </c>
      <c r="AD17" s="14">
        <v>4132.93</v>
      </c>
      <c r="AE17" s="14">
        <v>3851.63</v>
      </c>
      <c r="AF17" s="14">
        <v>3771.34</v>
      </c>
      <c r="AG17" s="14">
        <v>3705.32</v>
      </c>
      <c r="AH17" s="14">
        <v>3662.38</v>
      </c>
      <c r="AI17" s="14">
        <v>3649.38</v>
      </c>
      <c r="AJ17" s="14">
        <v>3681.24</v>
      </c>
      <c r="AK17" s="23"/>
      <c r="AS17" s="23"/>
    </row>
    <row r="18" spans="1:45" ht="15.75" customHeight="1">
      <c r="A18" s="51">
        <f t="shared" si="1"/>
        <v>2023</v>
      </c>
      <c r="C18" s="1"/>
      <c r="D18" s="1"/>
      <c r="E18" s="1"/>
      <c r="F18" s="1"/>
      <c r="G18" s="1"/>
      <c r="H18" s="1"/>
      <c r="I18" s="5">
        <v>0.98133081929969734</v>
      </c>
      <c r="J18" s="1">
        <f t="shared" si="2"/>
        <v>1305.4360522076304</v>
      </c>
      <c r="K18" s="1">
        <f t="shared" si="2"/>
        <v>1265.8033062404302</v>
      </c>
      <c r="L18" s="3">
        <v>0.96242705117047345</v>
      </c>
      <c r="M18" s="2">
        <f t="shared" ref="M18:P27" si="6">M17*(1+$Q18)</f>
        <v>1995.6706624419267</v>
      </c>
      <c r="N18" s="2">
        <f t="shared" si="6"/>
        <v>1994.8940526774632</v>
      </c>
      <c r="O18" s="2">
        <f t="shared" si="6"/>
        <v>5901.8983567367568</v>
      </c>
      <c r="P18" s="2">
        <f t="shared" si="6"/>
        <v>5898.9161953528974</v>
      </c>
      <c r="Q18" s="3">
        <v>0.27313076141568371</v>
      </c>
      <c r="R18" s="47"/>
      <c r="S18" s="54">
        <v>3276.1318388442533</v>
      </c>
      <c r="T18" s="54">
        <v>3567.344932806935</v>
      </c>
      <c r="U18" s="54">
        <v>4134.5662776857343</v>
      </c>
      <c r="V18" s="46">
        <f t="shared" si="0"/>
        <v>291.2130939626818</v>
      </c>
      <c r="W18" s="46">
        <f t="shared" si="0"/>
        <v>567.2213448787993</v>
      </c>
      <c r="X18" t="e">
        <f>NA()</f>
        <v>#N/A</v>
      </c>
      <c r="Y18">
        <f>Y17+(X$21-Y17)/COUNT(W18:W$21)</f>
        <v>3731.4548022598874</v>
      </c>
      <c r="Z18">
        <f t="shared" si="3"/>
        <v>3641.0442857142853</v>
      </c>
      <c r="AA18">
        <f t="shared" si="4"/>
        <v>128.90428571428538</v>
      </c>
      <c r="AB18">
        <f t="shared" si="5"/>
        <v>352.18571428571477</v>
      </c>
      <c r="AD18" s="14">
        <v>3993.23</v>
      </c>
      <c r="AE18" s="14">
        <v>3721.44</v>
      </c>
      <c r="AF18" s="14">
        <v>3627.4</v>
      </c>
      <c r="AG18" s="14">
        <v>3565.71</v>
      </c>
      <c r="AH18" s="14">
        <v>3524.81</v>
      </c>
      <c r="AI18" s="14">
        <v>3512.14</v>
      </c>
      <c r="AJ18" s="14">
        <v>3542.58</v>
      </c>
      <c r="AK18" s="23"/>
      <c r="AS18" s="23"/>
    </row>
    <row r="19" spans="1:45" ht="15.75" customHeight="1">
      <c r="A19" s="51">
        <f t="shared" si="1"/>
        <v>2024</v>
      </c>
      <c r="C19" s="1"/>
      <c r="D19" s="1"/>
      <c r="E19" s="1"/>
      <c r="F19" s="1"/>
      <c r="G19" s="1"/>
      <c r="H19" s="1"/>
      <c r="I19" s="5">
        <v>0.97820836117023069</v>
      </c>
      <c r="J19" s="1">
        <f t="shared" si="2"/>
        <v>1286.9923340022992</v>
      </c>
      <c r="K19" s="1">
        <f t="shared" si="2"/>
        <v>1247.9195351861574</v>
      </c>
      <c r="L19" s="3">
        <v>0.94882950014914424</v>
      </c>
      <c r="M19" s="2">
        <f t="shared" si="6"/>
        <v>1995.6706624419267</v>
      </c>
      <c r="N19" s="2">
        <f t="shared" si="6"/>
        <v>1994.8940526774632</v>
      </c>
      <c r="O19" s="2">
        <f t="shared" si="6"/>
        <v>5901.8983567367568</v>
      </c>
      <c r="P19" s="2">
        <f t="shared" si="6"/>
        <v>5898.9161953528974</v>
      </c>
      <c r="Q19" s="3">
        <v>0</v>
      </c>
      <c r="R19" s="47"/>
      <c r="S19" s="54">
        <v>2884.5975045296364</v>
      </c>
      <c r="T19" s="54">
        <v>3155.0368982807368</v>
      </c>
      <c r="U19" s="54">
        <v>3690.2353195553537</v>
      </c>
      <c r="V19" s="46">
        <f t="shared" si="0"/>
        <v>270.4393937511004</v>
      </c>
      <c r="W19" s="46">
        <f t="shared" si="0"/>
        <v>535.19842127461698</v>
      </c>
      <c r="X19" t="e">
        <f>NA()</f>
        <v>#N/A</v>
      </c>
      <c r="Y19">
        <f>Y18+(X$21-Y18)/COUNT(W19:W$21)</f>
        <v>3823.2297551789084</v>
      </c>
      <c r="Z19">
        <f t="shared" si="3"/>
        <v>3529.7842857142855</v>
      </c>
      <c r="AA19">
        <f t="shared" si="4"/>
        <v>129.77428571428527</v>
      </c>
      <c r="AB19">
        <f t="shared" si="5"/>
        <v>355.0857142857144</v>
      </c>
      <c r="AD19" s="14">
        <v>3884.87</v>
      </c>
      <c r="AE19" s="14">
        <v>3620.45</v>
      </c>
      <c r="AF19" s="14">
        <v>3509.8</v>
      </c>
      <c r="AG19" s="14">
        <v>3451.65</v>
      </c>
      <c r="AH19" s="14">
        <v>3412.42</v>
      </c>
      <c r="AI19" s="14">
        <v>3400.01</v>
      </c>
      <c r="AJ19" s="14">
        <v>3429.29</v>
      </c>
      <c r="AK19" s="23"/>
      <c r="AS19" s="23"/>
    </row>
    <row r="20" spans="1:45" ht="15.75" customHeight="1">
      <c r="A20" s="51">
        <f t="shared" si="1"/>
        <v>2025</v>
      </c>
      <c r="C20" s="1"/>
      <c r="D20" s="1"/>
      <c r="E20" s="1"/>
      <c r="F20" s="1"/>
      <c r="G20" s="1"/>
      <c r="H20" s="1"/>
      <c r="I20" s="5">
        <v>0.9752896957109618</v>
      </c>
      <c r="J20" s="1">
        <f t="shared" si="2"/>
        <v>1267.8207479930311</v>
      </c>
      <c r="K20" s="1">
        <f t="shared" si="2"/>
        <v>1229.3299942313436</v>
      </c>
      <c r="L20" s="3">
        <v>0.93469533175540476</v>
      </c>
      <c r="M20" s="2">
        <f t="shared" si="6"/>
        <v>1995.6706624419267</v>
      </c>
      <c r="N20" s="2">
        <f t="shared" si="6"/>
        <v>1994.8940526774632</v>
      </c>
      <c r="O20" s="2">
        <f t="shared" si="6"/>
        <v>5901.8983567367568</v>
      </c>
      <c r="P20" s="2">
        <f t="shared" si="6"/>
        <v>5898.9161953528974</v>
      </c>
      <c r="Q20" s="3">
        <v>0</v>
      </c>
      <c r="R20" s="47"/>
      <c r="S20" s="54">
        <v>2808.03562527435</v>
      </c>
      <c r="T20" s="54">
        <v>3083.1324357789758</v>
      </c>
      <c r="U20" s="54">
        <v>3634.2983673619442</v>
      </c>
      <c r="V20" s="46">
        <f t="shared" si="0"/>
        <v>275.09681050462586</v>
      </c>
      <c r="W20" s="46">
        <f t="shared" si="0"/>
        <v>551.16593158296837</v>
      </c>
      <c r="X20" t="e">
        <f>NA()</f>
        <v>#N/A</v>
      </c>
      <c r="Y20">
        <f>Y19+(X$21-Y19)/COUNT(W20:W$21)</f>
        <v>3915.0047080979293</v>
      </c>
      <c r="Z20">
        <f t="shared" si="3"/>
        <v>3436.5614285714287</v>
      </c>
      <c r="AA20">
        <f t="shared" si="4"/>
        <v>131.36142857142886</v>
      </c>
      <c r="AB20">
        <f t="shared" si="5"/>
        <v>359.76857142857125</v>
      </c>
      <c r="AD20" s="14">
        <v>3796.33</v>
      </c>
      <c r="AE20" s="14">
        <v>3537.94</v>
      </c>
      <c r="AF20" s="14">
        <v>3410.36</v>
      </c>
      <c r="AG20" s="14">
        <v>3355.21</v>
      </c>
      <c r="AH20" s="14">
        <v>3317.39</v>
      </c>
      <c r="AI20" s="14">
        <v>3305.2</v>
      </c>
      <c r="AJ20" s="14">
        <v>3333.5</v>
      </c>
      <c r="AK20" s="23"/>
      <c r="AS20" s="23"/>
    </row>
    <row r="21" spans="1:45" ht="15.75" customHeight="1">
      <c r="A21" s="51">
        <f t="shared" si="1"/>
        <v>2026</v>
      </c>
      <c r="C21" s="1"/>
      <c r="E21" s="1"/>
      <c r="F21" s="1"/>
      <c r="G21" s="1"/>
      <c r="H21" s="1"/>
      <c r="I21" s="5">
        <v>0.97257482292189079</v>
      </c>
      <c r="J21" s="1">
        <f t="shared" si="2"/>
        <v>1247.9212941798257</v>
      </c>
      <c r="K21" s="1">
        <f t="shared" si="2"/>
        <v>1210.0346833759882</v>
      </c>
      <c r="L21" s="3">
        <v>0.92002454598925509</v>
      </c>
      <c r="M21" s="2">
        <f t="shared" si="6"/>
        <v>1995.6706624419267</v>
      </c>
      <c r="N21" s="2">
        <f t="shared" si="6"/>
        <v>1994.8940526774632</v>
      </c>
      <c r="O21" s="2">
        <f t="shared" si="6"/>
        <v>5901.8983567367568</v>
      </c>
      <c r="P21" s="2">
        <f t="shared" si="6"/>
        <v>5898.9161953528974</v>
      </c>
      <c r="Q21" s="3">
        <v>0</v>
      </c>
      <c r="R21" s="47"/>
      <c r="S21" s="54">
        <v>2743.3034787109436</v>
      </c>
      <c r="T21" s="54">
        <v>3022.338078972411</v>
      </c>
      <c r="U21" s="54">
        <v>3587.0043481592479</v>
      </c>
      <c r="V21" s="46">
        <f t="shared" si="0"/>
        <v>279.0346002614674</v>
      </c>
      <c r="W21" s="46">
        <f t="shared" si="0"/>
        <v>564.66626918683687</v>
      </c>
      <c r="X21">
        <f t="shared" ref="X21:X26" si="7">(Y21)*(X22/Y22)</f>
        <v>4006.7796610169498</v>
      </c>
      <c r="Y21">
        <v>1</v>
      </c>
      <c r="Z21">
        <f t="shared" si="3"/>
        <v>3356.318571428571</v>
      </c>
      <c r="AA21">
        <f t="shared" si="4"/>
        <v>133.23857142857105</v>
      </c>
      <c r="AB21">
        <f t="shared" si="5"/>
        <v>365.15142857142882</v>
      </c>
      <c r="AD21" s="14">
        <v>3721.47</v>
      </c>
      <c r="AE21" s="14">
        <v>3468.18</v>
      </c>
      <c r="AF21" s="14">
        <v>3324.23</v>
      </c>
      <c r="AG21" s="14">
        <v>3271.67</v>
      </c>
      <c r="AH21" s="14">
        <v>3235.07</v>
      </c>
      <c r="AI21" s="14">
        <v>3223.08</v>
      </c>
      <c r="AJ21" s="14">
        <v>3250.53</v>
      </c>
      <c r="AK21" s="23"/>
      <c r="AS21" s="23"/>
    </row>
    <row r="22" spans="1:45" ht="15.75" customHeight="1">
      <c r="A22" s="51">
        <f t="shared" si="1"/>
        <v>2027</v>
      </c>
      <c r="C22" s="1"/>
      <c r="E22" s="1"/>
      <c r="F22" s="1"/>
      <c r="G22" s="1"/>
      <c r="H22" s="1"/>
      <c r="I22" s="5">
        <v>0.97006374280301766</v>
      </c>
      <c r="J22" s="1">
        <f t="shared" si="2"/>
        <v>1227.2939725626825</v>
      </c>
      <c r="K22" s="1">
        <f t="shared" si="2"/>
        <v>1190.0336026200907</v>
      </c>
      <c r="L22" s="3">
        <v>0.9048171428506947</v>
      </c>
      <c r="M22" s="2">
        <f t="shared" si="6"/>
        <v>1995.6706624419267</v>
      </c>
      <c r="N22" s="2">
        <f t="shared" si="6"/>
        <v>1994.8940526774632</v>
      </c>
      <c r="O22" s="2">
        <f t="shared" si="6"/>
        <v>5901.8983567367568</v>
      </c>
      <c r="P22" s="2">
        <f t="shared" si="6"/>
        <v>5898.9161953528974</v>
      </c>
      <c r="Q22" s="3">
        <v>0</v>
      </c>
      <c r="R22" s="47"/>
      <c r="S22" s="54">
        <v>2687.2299428181877</v>
      </c>
      <c r="T22" s="54">
        <v>2969.6756117216028</v>
      </c>
      <c r="U22" s="54">
        <v>3546.0364052735995</v>
      </c>
      <c r="V22" s="46">
        <f t="shared" si="0"/>
        <v>282.44566890341503</v>
      </c>
      <c r="W22" s="46">
        <f t="shared" si="0"/>
        <v>576.36079355199672</v>
      </c>
      <c r="X22">
        <f t="shared" si="7"/>
        <v>3906.610169491526</v>
      </c>
      <c r="Y22">
        <f>Y21-0.025</f>
        <v>0.97499999999999998</v>
      </c>
      <c r="Z22">
        <f t="shared" si="3"/>
        <v>3285.8671428571429</v>
      </c>
      <c r="AA22">
        <f t="shared" si="4"/>
        <v>135.22714285714301</v>
      </c>
      <c r="AB22">
        <f t="shared" si="5"/>
        <v>370.76285714285723</v>
      </c>
      <c r="AD22" s="14">
        <v>3656.63</v>
      </c>
      <c r="AE22" s="14">
        <v>3407.75</v>
      </c>
      <c r="AF22" s="14">
        <v>3248.26</v>
      </c>
      <c r="AG22" s="14">
        <v>3197.99</v>
      </c>
      <c r="AH22" s="14">
        <v>3162.46</v>
      </c>
      <c r="AI22" s="14">
        <v>3150.64</v>
      </c>
      <c r="AJ22" s="14">
        <v>3177.34</v>
      </c>
      <c r="AK22" s="23"/>
      <c r="AS22" s="23"/>
    </row>
    <row r="23" spans="1:45" ht="15.75" customHeight="1">
      <c r="A23" s="51">
        <f t="shared" si="1"/>
        <v>2028</v>
      </c>
      <c r="C23" s="1"/>
      <c r="E23" s="1"/>
      <c r="F23" s="1"/>
      <c r="G23" s="1"/>
      <c r="H23" s="1"/>
      <c r="I23" s="5">
        <v>0.96775645535434229</v>
      </c>
      <c r="J23" s="1">
        <f t="shared" si="2"/>
        <v>1205.9387831416025</v>
      </c>
      <c r="K23" s="1">
        <f t="shared" si="2"/>
        <v>1169.3267519636527</v>
      </c>
      <c r="L23" s="3">
        <v>0.88907312233972458</v>
      </c>
      <c r="M23" s="2">
        <f t="shared" si="6"/>
        <v>1995.6706624419267</v>
      </c>
      <c r="N23" s="2">
        <f t="shared" si="6"/>
        <v>1994.8940526774632</v>
      </c>
      <c r="O23" s="2">
        <f t="shared" si="6"/>
        <v>5901.8983567367568</v>
      </c>
      <c r="P23" s="2">
        <f t="shared" si="6"/>
        <v>5898.9161953528974</v>
      </c>
      <c r="Q23" s="3">
        <v>0</v>
      </c>
      <c r="R23" s="47"/>
      <c r="S23" s="54">
        <v>2637.7695788721062</v>
      </c>
      <c r="T23" s="54">
        <v>2923.224023551647</v>
      </c>
      <c r="U23" s="54">
        <v>3509.9001186459495</v>
      </c>
      <c r="V23" s="46">
        <f t="shared" si="0"/>
        <v>285.45444467954076</v>
      </c>
      <c r="W23" s="46">
        <f t="shared" si="0"/>
        <v>586.67609509430258</v>
      </c>
      <c r="X23">
        <f t="shared" si="7"/>
        <v>3834.4881355932207</v>
      </c>
      <c r="Y23">
        <f>Y22-0.018</f>
        <v>0.95699999999999996</v>
      </c>
      <c r="Z23">
        <f t="shared" si="3"/>
        <v>3223.065714285714</v>
      </c>
      <c r="AA23">
        <f t="shared" si="4"/>
        <v>137.22571428571382</v>
      </c>
      <c r="AB23">
        <f t="shared" si="5"/>
        <v>376.36428571428587</v>
      </c>
      <c r="AD23" s="14">
        <v>3599.43</v>
      </c>
      <c r="AE23" s="14">
        <v>3354.45</v>
      </c>
      <c r="AF23" s="14">
        <v>3180.3</v>
      </c>
      <c r="AG23" s="14">
        <v>3132.07</v>
      </c>
      <c r="AH23" s="14">
        <v>3097.5</v>
      </c>
      <c r="AI23" s="14">
        <v>3085.84</v>
      </c>
      <c r="AJ23" s="14">
        <v>3111.87</v>
      </c>
      <c r="AK23" s="23"/>
      <c r="AS23" s="23"/>
    </row>
    <row r="24" spans="1:45" ht="15.75" customHeight="1">
      <c r="A24" s="51">
        <f t="shared" si="1"/>
        <v>2029</v>
      </c>
      <c r="C24" s="1"/>
      <c r="E24" s="1"/>
      <c r="F24" s="1"/>
      <c r="J24" s="1">
        <f t="shared" si="2"/>
        <v>1183.8557259165846</v>
      </c>
      <c r="K24" s="1">
        <f t="shared" si="2"/>
        <v>1147.9141314066724</v>
      </c>
      <c r="L24" s="3">
        <v>0.87279248445634361</v>
      </c>
      <c r="M24" s="2">
        <f t="shared" si="6"/>
        <v>1851.731559998914</v>
      </c>
      <c r="N24" s="2">
        <f t="shared" si="6"/>
        <v>1851.0109637413627</v>
      </c>
      <c r="O24" s="2">
        <f t="shared" si="6"/>
        <v>5476.2199278425296</v>
      </c>
      <c r="P24" s="2">
        <f t="shared" si="6"/>
        <v>5473.4528568746455</v>
      </c>
      <c r="Q24" s="3">
        <v>-7.21256794279308E-2</v>
      </c>
      <c r="R24" s="47"/>
      <c r="S24" s="54">
        <v>2593.5257756712299</v>
      </c>
      <c r="T24" s="54">
        <v>2881.6716619960357</v>
      </c>
      <c r="U24" s="54">
        <v>3477.5751087510134</v>
      </c>
      <c r="V24" s="46">
        <f t="shared" si="0"/>
        <v>288.14588632480582</v>
      </c>
      <c r="W24" s="46">
        <f t="shared" si="0"/>
        <v>595.90344675497772</v>
      </c>
      <c r="X24">
        <f t="shared" si="7"/>
        <v>3762.3661016949159</v>
      </c>
      <c r="Y24">
        <f>Y23-0.018</f>
        <v>0.93899999999999995</v>
      </c>
      <c r="Z24">
        <f t="shared" si="3"/>
        <v>3166.4142857142861</v>
      </c>
      <c r="AA24">
        <f t="shared" si="4"/>
        <v>139.19428571428625</v>
      </c>
      <c r="AB24">
        <f t="shared" si="5"/>
        <v>381.85571428571393</v>
      </c>
      <c r="AD24" s="14">
        <v>3548.27</v>
      </c>
      <c r="AE24" s="14">
        <v>3306.76</v>
      </c>
      <c r="AF24" s="14">
        <v>3118.82</v>
      </c>
      <c r="AG24" s="14">
        <v>3072.44</v>
      </c>
      <c r="AH24" s="14">
        <v>3038.75</v>
      </c>
      <c r="AI24" s="14">
        <v>3027.22</v>
      </c>
      <c r="AJ24" s="14">
        <v>3052.64</v>
      </c>
      <c r="AK24" s="23"/>
      <c r="AS24" s="23"/>
    </row>
    <row r="25" spans="1:45" ht="15.75" customHeight="1">
      <c r="A25" s="51">
        <f t="shared" si="1"/>
        <v>2030</v>
      </c>
      <c r="C25" s="1"/>
      <c r="E25" s="1"/>
      <c r="F25" s="1"/>
      <c r="J25" s="1">
        <f t="shared" si="2"/>
        <v>1161.0448008876301</v>
      </c>
      <c r="K25" s="1">
        <f t="shared" si="2"/>
        <v>1125.7957409491514</v>
      </c>
      <c r="L25" s="4">
        <v>0.85597522920055302</v>
      </c>
      <c r="M25" s="2">
        <f t="shared" si="6"/>
        <v>1707.7924575559014</v>
      </c>
      <c r="N25" s="2">
        <f t="shared" si="6"/>
        <v>1707.1278748052623</v>
      </c>
      <c r="O25" s="2">
        <f t="shared" si="6"/>
        <v>5050.5414989483024</v>
      </c>
      <c r="P25" s="2">
        <f t="shared" si="6"/>
        <v>5047.9895183963936</v>
      </c>
      <c r="Q25" s="3">
        <v>-7.7732164614128574E-2</v>
      </c>
      <c r="R25" s="47"/>
      <c r="S25" s="54">
        <v>2553.5023872892134</v>
      </c>
      <c r="T25" s="54">
        <v>2844.0829787361554</v>
      </c>
      <c r="U25" s="54">
        <v>3448.3335804040125</v>
      </c>
      <c r="V25" s="46">
        <f t="shared" si="0"/>
        <v>290.58059144694198</v>
      </c>
      <c r="W25" s="46">
        <f t="shared" si="0"/>
        <v>604.25060166785715</v>
      </c>
      <c r="X25">
        <f t="shared" si="7"/>
        <v>3690.2440677966106</v>
      </c>
      <c r="Y25">
        <f>Y24-0.018</f>
        <v>0.92099999999999993</v>
      </c>
      <c r="Z25">
        <f t="shared" si="3"/>
        <v>3114.8128571428574</v>
      </c>
      <c r="AA25">
        <f t="shared" si="4"/>
        <v>141.11285714285759</v>
      </c>
      <c r="AB25">
        <f t="shared" si="5"/>
        <v>387.16714285714261</v>
      </c>
      <c r="AD25" s="14">
        <v>3501.98</v>
      </c>
      <c r="AE25" s="14">
        <v>3263.63</v>
      </c>
      <c r="AF25" s="14">
        <v>3062.69</v>
      </c>
      <c r="AG25" s="14">
        <v>3018.01</v>
      </c>
      <c r="AH25" s="14">
        <v>2985.1</v>
      </c>
      <c r="AI25" s="14">
        <v>2973.7</v>
      </c>
      <c r="AJ25" s="14">
        <v>2998.58</v>
      </c>
      <c r="AK25" s="23"/>
      <c r="AS25" s="23"/>
    </row>
    <row r="26" spans="1:45" ht="15.75" customHeight="1">
      <c r="A26" s="51">
        <f t="shared" si="1"/>
        <v>2031</v>
      </c>
      <c r="C26" s="1"/>
      <c r="E26" s="1"/>
      <c r="F26" s="1"/>
      <c r="M26" s="2">
        <f t="shared" si="6"/>
        <v>1563.8533551128887</v>
      </c>
      <c r="N26" s="2">
        <f t="shared" si="6"/>
        <v>1563.2447858691619</v>
      </c>
      <c r="O26" s="2">
        <f t="shared" si="6"/>
        <v>4624.8630700540753</v>
      </c>
      <c r="P26" s="2">
        <f t="shared" si="6"/>
        <v>4622.5261799181408</v>
      </c>
      <c r="Q26" s="3">
        <v>-8.4283720662995831E-2</v>
      </c>
      <c r="R26" s="47"/>
      <c r="S26" s="54">
        <v>2516.963896415944</v>
      </c>
      <c r="T26" s="54">
        <v>2809.7671994942743</v>
      </c>
      <c r="U26" s="54">
        <v>3421.6381565576044</v>
      </c>
      <c r="V26" s="46">
        <f t="shared" si="0"/>
        <v>292.80330307833037</v>
      </c>
      <c r="W26" s="46">
        <f t="shared" si="0"/>
        <v>611.87095706333002</v>
      </c>
      <c r="X26">
        <f t="shared" si="7"/>
        <v>3618.1220338983053</v>
      </c>
      <c r="Y26">
        <f>Y25-0.018</f>
        <v>0.90299999999999991</v>
      </c>
      <c r="Z26">
        <f t="shared" si="3"/>
        <v>3067.4357142857143</v>
      </c>
      <c r="AA26">
        <f t="shared" si="4"/>
        <v>142.95571428571429</v>
      </c>
      <c r="AB26">
        <f t="shared" si="5"/>
        <v>392.29428571428571</v>
      </c>
      <c r="AD26" s="14">
        <v>3459.73</v>
      </c>
      <c r="AE26" s="14">
        <v>3224.25</v>
      </c>
      <c r="AF26" s="14">
        <v>3011.06</v>
      </c>
      <c r="AG26" s="14">
        <v>2967.93</v>
      </c>
      <c r="AH26" s="14">
        <v>2935.76</v>
      </c>
      <c r="AI26" s="14">
        <v>2924.48</v>
      </c>
      <c r="AJ26" s="14">
        <v>2948.84</v>
      </c>
      <c r="AK26" s="23"/>
      <c r="AS26" s="23"/>
    </row>
    <row r="27" spans="1:45" ht="15.75" customHeight="1">
      <c r="A27" s="51">
        <f t="shared" si="1"/>
        <v>2032</v>
      </c>
      <c r="C27" s="1"/>
      <c r="M27" s="2">
        <f t="shared" si="6"/>
        <v>1419.9142526698763</v>
      </c>
      <c r="N27" s="2">
        <f t="shared" si="6"/>
        <v>1419.3616969330617</v>
      </c>
      <c r="O27" s="2">
        <f t="shared" si="6"/>
        <v>4199.184641159849</v>
      </c>
      <c r="P27" s="2">
        <f t="shared" si="6"/>
        <v>4197.0628414398889</v>
      </c>
      <c r="Q27" s="3">
        <v>-9.2041304238927202E-2</v>
      </c>
      <c r="R27" s="47"/>
      <c r="S27" s="54">
        <v>2483.3517430977649</v>
      </c>
      <c r="T27" s="54">
        <v>2778.199742668774</v>
      </c>
      <c r="U27" s="54">
        <v>3397.0807471579819</v>
      </c>
      <c r="V27" s="46">
        <f t="shared" si="0"/>
        <v>294.84799957100904</v>
      </c>
      <c r="W27" s="46">
        <f t="shared" si="0"/>
        <v>618.88100448920795</v>
      </c>
      <c r="X27">
        <v>3546</v>
      </c>
      <c r="Y27">
        <f>Y26-0.018</f>
        <v>0.8849999999999999</v>
      </c>
      <c r="Z27">
        <f t="shared" si="3"/>
        <v>3023.6400000000003</v>
      </c>
      <c r="AA27">
        <f t="shared" si="4"/>
        <v>144.74000000000024</v>
      </c>
      <c r="AB27">
        <f t="shared" si="5"/>
        <v>397.2199999999998</v>
      </c>
      <c r="AD27" s="14">
        <v>3420.86</v>
      </c>
      <c r="AE27" s="14">
        <v>3188.03</v>
      </c>
      <c r="AF27" s="14">
        <v>2963.26</v>
      </c>
      <c r="AG27" s="14">
        <v>2921.57</v>
      </c>
      <c r="AH27" s="14">
        <v>2890.07</v>
      </c>
      <c r="AI27" s="14">
        <v>2878.9</v>
      </c>
      <c r="AJ27" s="14">
        <v>2902.79</v>
      </c>
      <c r="AK27" s="23"/>
      <c r="AS27" s="23"/>
    </row>
    <row r="28" spans="1:45" ht="15.75" customHeight="1">
      <c r="A28" s="24"/>
      <c r="C28" s="1"/>
      <c r="Q28" s="36">
        <v>1.755586942021603E-2</v>
      </c>
      <c r="R28" s="51"/>
      <c r="S28" s="54">
        <v>2452.2317498525372</v>
      </c>
      <c r="T28" s="54">
        <v>2748.9728426877095</v>
      </c>
      <c r="U28" s="54">
        <v>3374.3441373549076</v>
      </c>
      <c r="V28" s="46">
        <f t="shared" si="0"/>
        <v>296.74109283517237</v>
      </c>
      <c r="W28" s="46">
        <f t="shared" si="0"/>
        <v>625.37129466719807</v>
      </c>
      <c r="Z28">
        <f t="shared" si="3"/>
        <v>2982.9214285714284</v>
      </c>
      <c r="AA28">
        <f t="shared" si="4"/>
        <v>146.45142857142855</v>
      </c>
      <c r="AB28">
        <f t="shared" si="5"/>
        <v>401.94857142857154</v>
      </c>
      <c r="AD28" s="14">
        <v>3384.87</v>
      </c>
      <c r="AE28" s="14">
        <v>3154.49</v>
      </c>
      <c r="AF28" s="14">
        <v>2918.76</v>
      </c>
      <c r="AG28" s="14">
        <v>2878.4</v>
      </c>
      <c r="AH28" s="14">
        <v>2847.54</v>
      </c>
      <c r="AI28" s="14">
        <v>2836.47</v>
      </c>
      <c r="AJ28" s="14">
        <v>2859.92</v>
      </c>
      <c r="AK28" s="23"/>
      <c r="AS28" s="23"/>
    </row>
    <row r="29" spans="1:45" ht="15.75" customHeight="1">
      <c r="A29" s="24"/>
      <c r="C29" s="1"/>
      <c r="Q29" s="36">
        <v>1.8076361208810399E-2</v>
      </c>
      <c r="R29" s="51"/>
      <c r="S29" s="54">
        <v>2423.2597292689861</v>
      </c>
      <c r="T29" s="54">
        <v>2721.7632497687068</v>
      </c>
      <c r="U29" s="54">
        <v>3353.1768600350183</v>
      </c>
      <c r="V29" s="46">
        <f t="shared" si="0"/>
        <v>298.50352049972071</v>
      </c>
      <c r="W29" s="46">
        <f t="shared" si="0"/>
        <v>631.41361026631148</v>
      </c>
      <c r="Z29">
        <f t="shared" si="3"/>
        <v>2944.8757142857144</v>
      </c>
      <c r="AA29">
        <f t="shared" si="4"/>
        <v>148.10571428571438</v>
      </c>
      <c r="AB29">
        <f t="shared" si="5"/>
        <v>406.49428571428552</v>
      </c>
      <c r="AD29" s="14">
        <v>3351.37</v>
      </c>
      <c r="AE29" s="14">
        <v>3123.27</v>
      </c>
      <c r="AF29" s="14">
        <v>2877.13</v>
      </c>
      <c r="AG29" s="14">
        <v>2838.03</v>
      </c>
      <c r="AH29" s="14">
        <v>2807.75</v>
      </c>
      <c r="AI29" s="14">
        <v>2796.77</v>
      </c>
      <c r="AJ29" s="14">
        <v>2819.81</v>
      </c>
      <c r="AK29" s="23"/>
      <c r="AS29" s="23"/>
    </row>
    <row r="30" spans="1:45" ht="15.75" customHeight="1">
      <c r="A30" s="24"/>
      <c r="C30" s="1"/>
      <c r="Q30" s="36">
        <v>1.8054883869680571E-2</v>
      </c>
      <c r="R30" s="51"/>
      <c r="S30" s="54">
        <v>2396.1582139597813</v>
      </c>
      <c r="T30" s="54">
        <v>2696.3103754369017</v>
      </c>
      <c r="U30" s="54">
        <v>3333.3761944692596</v>
      </c>
      <c r="V30" s="46">
        <f t="shared" si="0"/>
        <v>300.15216147712044</v>
      </c>
      <c r="W30" s="46">
        <f t="shared" si="0"/>
        <v>637.06581903235792</v>
      </c>
      <c r="Z30">
        <f t="shared" si="3"/>
        <v>2909.1742857142858</v>
      </c>
      <c r="AA30">
        <f t="shared" si="4"/>
        <v>149.68428571428603</v>
      </c>
      <c r="AB30">
        <f t="shared" si="5"/>
        <v>410.85571428571438</v>
      </c>
      <c r="AD30" s="14">
        <v>3320.03</v>
      </c>
      <c r="AE30" s="14">
        <v>3094.06</v>
      </c>
      <c r="AF30" s="14">
        <v>2838.02</v>
      </c>
      <c r="AG30" s="14">
        <v>2800.1</v>
      </c>
      <c r="AH30" s="14">
        <v>2770.38</v>
      </c>
      <c r="AI30" s="14">
        <v>2759.49</v>
      </c>
      <c r="AJ30" s="14">
        <v>2782.14</v>
      </c>
      <c r="AK30" s="23"/>
      <c r="AS30" s="23"/>
    </row>
    <row r="31" spans="1:45" ht="15.75" customHeight="1">
      <c r="A31" s="24"/>
      <c r="C31" s="1"/>
      <c r="Q31" s="36">
        <v>1.803320606991865E-2</v>
      </c>
      <c r="R31" s="51"/>
      <c r="S31" s="54">
        <v>2370.700253546177</v>
      </c>
      <c r="T31" s="54">
        <v>2672.4010751723713</v>
      </c>
      <c r="U31" s="54">
        <v>3314.7763282114161</v>
      </c>
      <c r="V31" s="46">
        <f t="shared" si="0"/>
        <v>301.70082162619428</v>
      </c>
      <c r="W31" s="46">
        <f t="shared" si="0"/>
        <v>642.37525303904476</v>
      </c>
      <c r="Z31">
        <f t="shared" si="3"/>
        <v>2875.542857142857</v>
      </c>
      <c r="AA31">
        <f t="shared" si="4"/>
        <v>151.21285714285705</v>
      </c>
      <c r="AB31">
        <f t="shared" si="5"/>
        <v>415.04714285714317</v>
      </c>
      <c r="AD31" s="14">
        <v>3290.59</v>
      </c>
      <c r="AE31" s="14">
        <v>3066.62</v>
      </c>
      <c r="AF31" s="14">
        <v>2801.15</v>
      </c>
      <c r="AG31" s="14">
        <v>2764.34</v>
      </c>
      <c r="AH31" s="14">
        <v>2735.14</v>
      </c>
      <c r="AI31" s="14">
        <v>2724.33</v>
      </c>
      <c r="AJ31" s="14">
        <v>2746.63</v>
      </c>
      <c r="AK31" s="23"/>
      <c r="AS31" s="23"/>
    </row>
    <row r="32" spans="1:45" ht="15.75" customHeight="1">
      <c r="A32" s="24"/>
      <c r="C32" s="1"/>
      <c r="Q32" s="36">
        <v>1.8011324989841704E-2</v>
      </c>
      <c r="R32" s="51"/>
      <c r="S32" s="54">
        <v>2346.6978500137006</v>
      </c>
      <c r="T32" s="54">
        <v>2649.8587872669459</v>
      </c>
      <c r="U32" s="54">
        <v>3297.2399078416092</v>
      </c>
      <c r="V32" s="46">
        <f t="shared" si="0"/>
        <v>303.16093725324527</v>
      </c>
      <c r="W32" s="46">
        <f t="shared" si="0"/>
        <v>647.38112057466333</v>
      </c>
      <c r="Z32">
        <f t="shared" si="3"/>
        <v>2843.758571428571</v>
      </c>
      <c r="AA32">
        <f t="shared" si="4"/>
        <v>152.6785714285711</v>
      </c>
      <c r="AB32">
        <f t="shared" si="5"/>
        <v>419.0714285714289</v>
      </c>
      <c r="AD32" s="14">
        <v>3262.83</v>
      </c>
      <c r="AE32" s="14">
        <v>3040.76</v>
      </c>
      <c r="AF32" s="14">
        <v>2766.28</v>
      </c>
      <c r="AG32" s="14">
        <v>2730.52</v>
      </c>
      <c r="AH32" s="14">
        <v>2701.81</v>
      </c>
      <c r="AI32" s="14">
        <v>2691.08</v>
      </c>
      <c r="AJ32" s="14">
        <v>2713.03</v>
      </c>
      <c r="AK32" s="23"/>
      <c r="AS32" s="23"/>
    </row>
    <row r="33" spans="1:45" ht="15.75" customHeight="1">
      <c r="A33" s="24"/>
      <c r="C33" s="1"/>
      <c r="Q33" s="36">
        <v>1.7989237756632193E-2</v>
      </c>
      <c r="R33" s="51"/>
      <c r="S33" s="54">
        <v>2323.9935239901911</v>
      </c>
      <c r="T33" s="54">
        <v>2628.5356121429177</v>
      </c>
      <c r="U33" s="54">
        <v>3280.651877196151</v>
      </c>
      <c r="V33" s="46">
        <f t="shared" si="0"/>
        <v>304.54208815272659</v>
      </c>
      <c r="W33" s="46">
        <f t="shared" si="0"/>
        <v>652.11626505323329</v>
      </c>
      <c r="Z33">
        <f t="shared" si="3"/>
        <v>2813.6228571428574</v>
      </c>
      <c r="AA33">
        <f t="shared" si="4"/>
        <v>154.09285714285716</v>
      </c>
      <c r="AB33">
        <f t="shared" si="5"/>
        <v>422.94714285714281</v>
      </c>
      <c r="AD33" s="14">
        <v>3236.57</v>
      </c>
      <c r="AE33" s="14">
        <v>3016.29</v>
      </c>
      <c r="AF33" s="14">
        <v>2733.19</v>
      </c>
      <c r="AG33" s="14">
        <v>2698.43</v>
      </c>
      <c r="AH33" s="14">
        <v>2670.19</v>
      </c>
      <c r="AI33" s="14">
        <v>2659.53</v>
      </c>
      <c r="AJ33" s="14">
        <v>2681.16</v>
      </c>
      <c r="AK33" s="23"/>
      <c r="AS33" s="23"/>
    </row>
    <row r="34" spans="1:45" ht="15.75" customHeight="1">
      <c r="A34" s="24"/>
      <c r="C34" s="1"/>
      <c r="Q34" s="36">
        <v>1.7966941443086748E-2</v>
      </c>
      <c r="R34" s="51"/>
      <c r="S34" s="54">
        <v>2302.4540468128239</v>
      </c>
      <c r="T34" s="54">
        <v>2608.3064257113342</v>
      </c>
      <c r="U34" s="54">
        <v>3264.9148979466736</v>
      </c>
      <c r="V34" s="46">
        <f t="shared" si="0"/>
        <v>305.85237889851032</v>
      </c>
      <c r="W34" s="46">
        <f t="shared" si="0"/>
        <v>656.60847223533938</v>
      </c>
      <c r="Z34">
        <f t="shared" si="3"/>
        <v>2784.9757142857138</v>
      </c>
      <c r="AA34">
        <f t="shared" si="4"/>
        <v>155.44571428571362</v>
      </c>
      <c r="AB34">
        <f t="shared" si="5"/>
        <v>426.68428571428603</v>
      </c>
      <c r="AD34" s="14">
        <v>3211.66</v>
      </c>
      <c r="AE34" s="14">
        <v>2993.07</v>
      </c>
      <c r="AF34" s="14">
        <v>2701.72</v>
      </c>
      <c r="AG34" s="14">
        <v>2667.9</v>
      </c>
      <c r="AH34" s="14">
        <v>2640.11</v>
      </c>
      <c r="AI34" s="14">
        <v>2629.53</v>
      </c>
      <c r="AJ34" s="14">
        <v>2650.84</v>
      </c>
      <c r="AK34" s="23"/>
      <c r="AS34" s="23"/>
    </row>
    <row r="35" spans="1:45" ht="15.75" customHeight="1">
      <c r="A35" s="24"/>
      <c r="C35" s="1"/>
      <c r="Q35" s="36">
        <v>1.79444330663181E-2</v>
      </c>
      <c r="R35" s="51"/>
      <c r="S35" s="54">
        <v>2281.9657034502929</v>
      </c>
      <c r="T35" s="54">
        <v>2589.0644304603807</v>
      </c>
      <c r="U35" s="54">
        <v>3249.9458886389125</v>
      </c>
      <c r="V35" s="46">
        <f t="shared" si="0"/>
        <v>307.09872701008771</v>
      </c>
      <c r="W35" s="46">
        <f t="shared" si="0"/>
        <v>660.88145817853183</v>
      </c>
      <c r="Z35">
        <f t="shared" si="3"/>
        <v>2757.6785714285716</v>
      </c>
      <c r="AA35">
        <f t="shared" si="4"/>
        <v>156.75857142857149</v>
      </c>
      <c r="AB35">
        <f t="shared" si="5"/>
        <v>430.29142857142824</v>
      </c>
      <c r="AD35" s="14">
        <v>3187.97</v>
      </c>
      <c r="AE35" s="14">
        <v>2970.99</v>
      </c>
      <c r="AF35" s="14">
        <v>2671.71</v>
      </c>
      <c r="AG35" s="14">
        <v>2638.8</v>
      </c>
      <c r="AH35" s="14">
        <v>2611.4299999999998</v>
      </c>
      <c r="AI35" s="14">
        <v>2600.92</v>
      </c>
      <c r="AJ35" s="14">
        <v>2621.93</v>
      </c>
      <c r="AK35" s="23"/>
      <c r="AS35" s="23"/>
    </row>
    <row r="36" spans="1:45" ht="15.75" customHeight="1">
      <c r="A36" s="24"/>
      <c r="C36" s="1"/>
      <c r="Q36" s="36">
        <v>1.7921709586427692E-2</v>
      </c>
      <c r="R36" s="51"/>
      <c r="S36" s="54">
        <v>2262.4306584308074</v>
      </c>
      <c r="T36" s="54">
        <v>2570.7177424514534</v>
      </c>
      <c r="U36" s="54">
        <v>3235.6733695996727</v>
      </c>
      <c r="V36" s="46">
        <f t="shared" si="0"/>
        <v>308.28708402064603</v>
      </c>
      <c r="W36" s="46">
        <f t="shared" si="0"/>
        <v>664.95562714821926</v>
      </c>
      <c r="Z36">
        <f t="shared" si="3"/>
        <v>2731.61</v>
      </c>
      <c r="AA36">
        <f t="shared" si="4"/>
        <v>158.0300000000002</v>
      </c>
      <c r="AB36">
        <f t="shared" si="5"/>
        <v>433.77</v>
      </c>
      <c r="AD36" s="14">
        <v>3165.38</v>
      </c>
      <c r="AE36" s="14">
        <v>2949.94</v>
      </c>
      <c r="AF36" s="14">
        <v>2643.04</v>
      </c>
      <c r="AG36" s="14">
        <v>2610.9899999999998</v>
      </c>
      <c r="AH36" s="14">
        <v>2584.0300000000002</v>
      </c>
      <c r="AI36" s="14">
        <v>2573.58</v>
      </c>
      <c r="AJ36" s="14">
        <v>2594.31</v>
      </c>
      <c r="AK36" s="23"/>
      <c r="AS36" s="23"/>
    </row>
    <row r="37" spans="1:45" ht="15.75" customHeight="1">
      <c r="A37" s="24"/>
      <c r="C37" s="1"/>
      <c r="Q37" s="36">
        <v>1.7898767905135671E-2</v>
      </c>
      <c r="R37" s="51"/>
      <c r="S37" s="54">
        <v>2243.7641302457778</v>
      </c>
      <c r="T37" s="54">
        <v>2553.1867376096957</v>
      </c>
      <c r="U37" s="54">
        <v>3222.0353985250417</v>
      </c>
      <c r="V37" s="46">
        <f t="shared" si="0"/>
        <v>309.4226073639179</v>
      </c>
      <c r="W37" s="46">
        <f t="shared" si="0"/>
        <v>668.84866091534604</v>
      </c>
      <c r="Z37">
        <f t="shared" si="3"/>
        <v>2706.6585714285716</v>
      </c>
      <c r="AA37">
        <f t="shared" si="4"/>
        <v>159.25857142857149</v>
      </c>
      <c r="AB37">
        <f t="shared" si="5"/>
        <v>437.13142857142839</v>
      </c>
      <c r="AD37" s="14">
        <v>3143.79</v>
      </c>
      <c r="AE37" s="14">
        <v>2929.82</v>
      </c>
      <c r="AF37" s="14">
        <v>2615.59</v>
      </c>
      <c r="AG37" s="14">
        <v>2584.36</v>
      </c>
      <c r="AH37" s="14">
        <v>2557.79</v>
      </c>
      <c r="AI37" s="14">
        <v>2547.4</v>
      </c>
      <c r="AJ37" s="14">
        <v>2567.86</v>
      </c>
      <c r="AK37" s="23"/>
      <c r="AS37" s="23"/>
    </row>
    <row r="38" spans="1:45" ht="15.75" customHeight="1" thickBot="1">
      <c r="A38" s="28"/>
      <c r="B38" s="29"/>
      <c r="C38" s="30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4"/>
      <c r="S38" s="54">
        <v>2225.8921675575375</v>
      </c>
      <c r="T38" s="54">
        <v>2536.4019632095728</v>
      </c>
      <c r="U38" s="54">
        <v>3208.9779457532641</v>
      </c>
      <c r="V38" s="46">
        <f t="shared" si="0"/>
        <v>310.50979565203534</v>
      </c>
      <c r="W38" s="46">
        <f t="shared" si="0"/>
        <v>672.57598254369123</v>
      </c>
      <c r="Z38">
        <f t="shared" si="3"/>
        <v>2682.7400000000002</v>
      </c>
      <c r="AA38">
        <f t="shared" si="4"/>
        <v>160.45000000000027</v>
      </c>
      <c r="AB38">
        <f t="shared" si="5"/>
        <v>440.38999999999987</v>
      </c>
      <c r="AD38" s="14">
        <v>3123.13</v>
      </c>
      <c r="AE38" s="14">
        <v>2910.56</v>
      </c>
      <c r="AF38" s="14">
        <v>2589.25</v>
      </c>
      <c r="AG38" s="14">
        <v>2558.8200000000002</v>
      </c>
      <c r="AH38" s="14">
        <v>2532.63</v>
      </c>
      <c r="AI38" s="14">
        <v>2522.29</v>
      </c>
      <c r="AJ38" s="14">
        <v>2542.5</v>
      </c>
      <c r="AK38" s="23"/>
      <c r="AS38" s="23"/>
    </row>
    <row r="39" spans="1:45" ht="15.75" customHeight="1">
      <c r="C39" s="1"/>
      <c r="R39" s="24"/>
      <c r="S39" s="54">
        <v>2208.7498796658665</v>
      </c>
      <c r="T39" s="54">
        <v>2520.3024759857667</v>
      </c>
      <c r="U39" s="54">
        <v>3196.4536014240871</v>
      </c>
      <c r="V39" s="46">
        <f t="shared" si="0"/>
        <v>311.5525963199002</v>
      </c>
      <c r="W39" s="46">
        <f t="shared" si="0"/>
        <v>676.15112543832038</v>
      </c>
      <c r="Z39">
        <f t="shared" si="3"/>
        <v>2659.77</v>
      </c>
      <c r="AA39">
        <f t="shared" si="4"/>
        <v>161.59999999999991</v>
      </c>
      <c r="AB39">
        <f t="shared" si="5"/>
        <v>443.5300000000002</v>
      </c>
      <c r="AD39" s="14">
        <v>3103.3</v>
      </c>
      <c r="AE39" s="14">
        <v>2892.09</v>
      </c>
      <c r="AF39" s="14">
        <v>2563.96</v>
      </c>
      <c r="AG39" s="14">
        <v>2534.29</v>
      </c>
      <c r="AH39" s="14">
        <v>2508.4499999999998</v>
      </c>
      <c r="AI39" s="14">
        <v>2498.17</v>
      </c>
      <c r="AJ39" s="14">
        <v>2518.13</v>
      </c>
      <c r="AK39" s="23"/>
      <c r="AS39" s="23"/>
    </row>
    <row r="40" spans="1:45" ht="15.75" customHeight="1">
      <c r="C40" s="1"/>
      <c r="R40" s="24"/>
      <c r="S40" s="54">
        <v>2192.2800142393589</v>
      </c>
      <c r="T40" s="54">
        <v>2504.834506384072</v>
      </c>
      <c r="U40" s="54">
        <v>3184.4205363536421</v>
      </c>
      <c r="V40" s="46">
        <f t="shared" si="0"/>
        <v>312.55449214471309</v>
      </c>
      <c r="W40" s="46">
        <f t="shared" si="0"/>
        <v>679.58602996957006</v>
      </c>
      <c r="Z40">
        <f t="shared" si="3"/>
        <v>2637.6728571428575</v>
      </c>
      <c r="AA40">
        <f t="shared" si="4"/>
        <v>162.7128571428575</v>
      </c>
      <c r="AB40">
        <f t="shared" si="5"/>
        <v>446.58714285714268</v>
      </c>
      <c r="AD40" s="14">
        <v>3084.26</v>
      </c>
      <c r="AE40" s="14">
        <v>2874.34</v>
      </c>
      <c r="AF40" s="14">
        <v>2539.61</v>
      </c>
      <c r="AG40" s="14">
        <v>2510.6799999999998</v>
      </c>
      <c r="AH40" s="14">
        <v>2485.1799999999998</v>
      </c>
      <c r="AI40" s="14">
        <v>2474.96</v>
      </c>
      <c r="AJ40" s="14">
        <v>2494.6799999999998</v>
      </c>
      <c r="AK40" s="23"/>
      <c r="AS40" s="23"/>
    </row>
    <row r="41" spans="1:45" ht="15.75" customHeight="1">
      <c r="C41" s="1"/>
      <c r="R41" s="24"/>
      <c r="S41" s="54">
        <v>2176.4318036114569</v>
      </c>
      <c r="T41" s="54">
        <v>2489.9503750396175</v>
      </c>
      <c r="U41" s="54">
        <v>3172.8416591256146</v>
      </c>
      <c r="V41" s="46">
        <f t="shared" si="0"/>
        <v>313.51857142816061</v>
      </c>
      <c r="W41" s="46">
        <f t="shared" si="0"/>
        <v>682.89128408599709</v>
      </c>
      <c r="Z41">
        <f t="shared" si="3"/>
        <v>2616.3842857142859</v>
      </c>
      <c r="AA41">
        <f t="shared" si="4"/>
        <v>163.79428571428571</v>
      </c>
      <c r="AB41">
        <f t="shared" si="5"/>
        <v>449.54571428571398</v>
      </c>
      <c r="AD41" s="14">
        <v>3065.93</v>
      </c>
      <c r="AE41" s="14">
        <v>2857.26</v>
      </c>
      <c r="AF41" s="14">
        <v>2516.15</v>
      </c>
      <c r="AG41" s="14">
        <v>2487.92</v>
      </c>
      <c r="AH41" s="14">
        <v>2462.7600000000002</v>
      </c>
      <c r="AI41" s="14">
        <v>2452.59</v>
      </c>
      <c r="AJ41" s="14">
        <v>2472.08</v>
      </c>
      <c r="AK41" s="23"/>
      <c r="AS41" s="23"/>
    </row>
    <row r="42" spans="1:45" ht="15.75" customHeight="1">
      <c r="C42" s="1"/>
      <c r="R42" s="24"/>
      <c r="S42" s="54">
        <v>2161.1600209941307</v>
      </c>
      <c r="T42" s="54">
        <v>2475.607606403008</v>
      </c>
      <c r="U42" s="54">
        <v>3161.6839265505678</v>
      </c>
      <c r="V42" s="46">
        <f t="shared" si="0"/>
        <v>314.44758540887733</v>
      </c>
      <c r="W42" s="46">
        <f t="shared" si="0"/>
        <v>686.07632014755973</v>
      </c>
      <c r="Z42">
        <f t="shared" si="3"/>
        <v>2595.8528571428569</v>
      </c>
      <c r="AA42">
        <f t="shared" si="4"/>
        <v>164.8428571428567</v>
      </c>
      <c r="AB42">
        <f t="shared" si="5"/>
        <v>452.41714285714306</v>
      </c>
      <c r="AD42" s="14">
        <v>3048.27</v>
      </c>
      <c r="AE42" s="14">
        <v>2840.8</v>
      </c>
      <c r="AF42" s="14">
        <v>2493.52</v>
      </c>
      <c r="AG42" s="14">
        <v>2465.9699999999998</v>
      </c>
      <c r="AH42" s="14">
        <v>2441.13</v>
      </c>
      <c r="AI42" s="14">
        <v>2431.0100000000002</v>
      </c>
      <c r="AJ42" s="14">
        <v>2450.27</v>
      </c>
      <c r="AK42" s="23"/>
      <c r="AS42" s="23"/>
    </row>
    <row r="43" spans="1:45" ht="15.75" customHeight="1">
      <c r="C43" s="1"/>
      <c r="R43" s="24"/>
      <c r="S43" s="54">
        <v>2146.4242023803431</v>
      </c>
      <c r="T43" s="54">
        <v>2461.7681979760696</v>
      </c>
      <c r="U43" s="54">
        <v>3150.9177751793122</v>
      </c>
      <c r="V43" s="46">
        <f t="shared" si="0"/>
        <v>315.34399559572648</v>
      </c>
      <c r="W43" s="46">
        <f t="shared" si="0"/>
        <v>689.14957720324264</v>
      </c>
      <c r="Z43">
        <f t="shared" si="3"/>
        <v>2576.022857142857</v>
      </c>
      <c r="AA43">
        <f t="shared" si="4"/>
        <v>165.86285714285714</v>
      </c>
      <c r="AB43">
        <f t="shared" si="5"/>
        <v>455.20714285714303</v>
      </c>
      <c r="AD43" s="14">
        <v>3031.23</v>
      </c>
      <c r="AE43" s="14">
        <v>2824.92</v>
      </c>
      <c r="AF43" s="14">
        <v>2471.65</v>
      </c>
      <c r="AG43" s="14">
        <v>2444.7600000000002</v>
      </c>
      <c r="AH43" s="14">
        <v>2420.23</v>
      </c>
      <c r="AI43" s="14">
        <v>2410.16</v>
      </c>
      <c r="AJ43" s="14">
        <v>2429.21</v>
      </c>
      <c r="AK43" s="23"/>
      <c r="AS43" s="23"/>
    </row>
    <row r="44" spans="1:45" ht="15.75" customHeight="1">
      <c r="C44" s="1"/>
      <c r="R44" s="24"/>
      <c r="S44" s="54">
        <v>2132.1880004105801</v>
      </c>
      <c r="T44" s="54">
        <v>2448.3980134840053</v>
      </c>
      <c r="U44" s="54">
        <v>3140.516649230678</v>
      </c>
      <c r="V44" s="46">
        <f t="shared" si="0"/>
        <v>316.21001307342522</v>
      </c>
      <c r="W44" s="46">
        <f t="shared" si="0"/>
        <v>692.11863574667268</v>
      </c>
      <c r="Z44">
        <f t="shared" si="3"/>
        <v>2556.85</v>
      </c>
      <c r="AA44">
        <f t="shared" si="4"/>
        <v>166.84999999999991</v>
      </c>
      <c r="AB44">
        <f t="shared" si="5"/>
        <v>457.92000000000007</v>
      </c>
      <c r="AD44" s="14">
        <v>3014.77</v>
      </c>
      <c r="AE44" s="14">
        <v>2809.58</v>
      </c>
      <c r="AF44" s="14">
        <v>2450.5</v>
      </c>
      <c r="AG44" s="14">
        <v>2424.25</v>
      </c>
      <c r="AH44" s="14">
        <v>2400.02</v>
      </c>
      <c r="AI44" s="14">
        <v>2390</v>
      </c>
      <c r="AJ44" s="14">
        <v>2408.83</v>
      </c>
      <c r="AK44" s="23"/>
      <c r="AS44" s="23"/>
    </row>
    <row r="45" spans="1:45" ht="15.75" customHeight="1">
      <c r="C45" s="1"/>
      <c r="R45" s="24"/>
      <c r="S45" s="54">
        <v>2118.4186442251612</v>
      </c>
      <c r="T45" s="54">
        <v>2435.4662755860031</v>
      </c>
      <c r="U45" s="54">
        <v>3130.4566059536628</v>
      </c>
      <c r="V45" s="46">
        <f t="shared" si="0"/>
        <v>317.04763136084193</v>
      </c>
      <c r="W45" s="46">
        <f t="shared" si="0"/>
        <v>694.99033036765968</v>
      </c>
      <c r="Z45">
        <f t="shared" si="3"/>
        <v>2538.2842857142855</v>
      </c>
      <c r="AA45">
        <f t="shared" si="4"/>
        <v>167.81428571428569</v>
      </c>
      <c r="AB45">
        <f t="shared" si="5"/>
        <v>460.55571428571466</v>
      </c>
      <c r="AD45" s="14">
        <v>2998.84</v>
      </c>
      <c r="AE45" s="14">
        <v>2794.74</v>
      </c>
      <c r="AF45" s="14">
        <v>2430.02</v>
      </c>
      <c r="AG45" s="14">
        <v>2404.38</v>
      </c>
      <c r="AH45" s="14">
        <v>2380.44</v>
      </c>
      <c r="AI45" s="14">
        <v>2370.4699999999998</v>
      </c>
      <c r="AJ45" s="14">
        <v>2389.1</v>
      </c>
      <c r="AK45" s="23"/>
      <c r="AS45" s="23"/>
    </row>
    <row r="46" spans="1:45" ht="15.75" customHeight="1" thickBot="1">
      <c r="C46" s="1"/>
      <c r="R46" s="28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31"/>
      <c r="AL46" s="24"/>
      <c r="AS46" s="23"/>
    </row>
    <row r="47" spans="1:45" ht="15.75" customHeight="1">
      <c r="C47" s="1"/>
      <c r="AL47" s="24"/>
      <c r="AS47" s="23"/>
    </row>
    <row r="48" spans="1:45" ht="15.75" customHeight="1">
      <c r="C48" s="1"/>
      <c r="AL48" s="24"/>
      <c r="AS48" s="23"/>
    </row>
    <row r="49" spans="3:45" ht="15.75" customHeight="1" thickBot="1">
      <c r="C49" s="1"/>
      <c r="AL49" s="28"/>
      <c r="AM49" s="29"/>
      <c r="AN49" s="29"/>
      <c r="AO49" s="29"/>
      <c r="AP49" s="29"/>
      <c r="AQ49" s="29"/>
      <c r="AR49" s="29"/>
      <c r="AS49" s="31"/>
    </row>
    <row r="50" spans="3:45" ht="15.75" customHeight="1">
      <c r="C50" s="1"/>
    </row>
    <row r="51" spans="3:45" ht="15.75" customHeight="1">
      <c r="C51" s="1"/>
    </row>
    <row r="52" spans="3:45" ht="15.75" customHeight="1">
      <c r="C52" s="1"/>
    </row>
    <row r="53" spans="3:45" ht="15.75" customHeight="1">
      <c r="C53" s="1"/>
    </row>
    <row r="54" spans="3:45" ht="15.75" customHeight="1">
      <c r="C54" s="1"/>
    </row>
    <row r="55" spans="3:45" ht="15.75" customHeight="1">
      <c r="C55" s="1"/>
    </row>
    <row r="56" spans="3:45" ht="15.75" customHeight="1">
      <c r="C56" s="1"/>
    </row>
    <row r="57" spans="3:45" ht="15.75" customHeight="1">
      <c r="C57" s="1"/>
    </row>
    <row r="58" spans="3:45" ht="15.75" customHeight="1">
      <c r="C58" s="1"/>
    </row>
    <row r="59" spans="3:45" ht="15.75" customHeight="1">
      <c r="C59" s="1"/>
    </row>
    <row r="60" spans="3:45" ht="15.75" customHeight="1">
      <c r="C60" s="1"/>
    </row>
    <row r="61" spans="3:45" ht="15.75" customHeight="1">
      <c r="C61" s="1"/>
    </row>
    <row r="62" spans="3:45" ht="15.75" customHeight="1">
      <c r="C62" s="1"/>
    </row>
    <row r="63" spans="3:45" ht="15.75" customHeight="1">
      <c r="C63" s="1"/>
    </row>
    <row r="64" spans="3:45" ht="15.75" customHeight="1">
      <c r="C64" s="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</sheetData>
  <mergeCells count="5">
    <mergeCell ref="H5:J7"/>
    <mergeCell ref="S11:U11"/>
    <mergeCell ref="AM3:AQ4"/>
    <mergeCell ref="W3:AA4"/>
    <mergeCell ref="AD13:AJ13"/>
  </mergeCells>
  <hyperlinks>
    <hyperlink ref="S11" r:id="rId1" xr:uid="{867310F9-5076-4CB5-87E9-2EF594666E02}"/>
  </hyperlinks>
  <pageMargins left="0.7" right="0.7" top="0.75" bottom="0.75" header="0" footer="0"/>
  <pageSetup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997"/>
  <sheetViews>
    <sheetView zoomScale="70" zoomScaleNormal="70" workbookViewId="0">
      <selection activeCell="S11" sqref="S10:U11"/>
    </sheetView>
  </sheetViews>
  <sheetFormatPr defaultColWidth="14.42578125" defaultRowHeight="15" customHeight="1"/>
  <cols>
    <col min="1" max="1" width="8.7109375" customWidth="1"/>
    <col min="2" max="2" width="5.5703125" customWidth="1"/>
    <col min="3" max="3" width="13.28515625" customWidth="1"/>
    <col min="4" max="8" width="10.5703125" customWidth="1"/>
    <col min="9" max="9" width="8.7109375" customWidth="1"/>
    <col min="10" max="11" width="10.5703125" customWidth="1"/>
    <col min="12" max="12" width="8.7109375" customWidth="1"/>
    <col min="13" max="16" width="10.5703125" customWidth="1"/>
    <col min="17" max="27" width="8.7109375" customWidth="1"/>
  </cols>
  <sheetData>
    <row r="1" spans="1:36" ht="15.75" thickBot="1">
      <c r="A1" s="19"/>
      <c r="B1" s="20"/>
      <c r="C1" s="21" t="s">
        <v>40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2"/>
    </row>
    <row r="2" spans="1:36" ht="15.75" thickBot="1">
      <c r="A2" s="51" t="s">
        <v>11</v>
      </c>
      <c r="B2" s="36" t="s">
        <v>12</v>
      </c>
      <c r="C2" s="1" t="s">
        <v>13</v>
      </c>
      <c r="R2" s="19"/>
      <c r="S2" s="20"/>
      <c r="T2" s="20"/>
      <c r="U2" s="20"/>
      <c r="V2" s="20"/>
      <c r="W2" s="20"/>
      <c r="X2" s="20"/>
      <c r="Y2" s="20"/>
      <c r="Z2" s="20"/>
      <c r="AA2" s="22"/>
      <c r="AB2" s="19"/>
      <c r="AC2" s="20"/>
      <c r="AD2" s="20"/>
      <c r="AE2" s="20"/>
      <c r="AF2" s="20"/>
      <c r="AG2" s="20"/>
      <c r="AH2" s="20"/>
      <c r="AI2" s="20"/>
      <c r="AJ2" s="22"/>
    </row>
    <row r="3" spans="1:36" ht="15.75" thickBot="1">
      <c r="A3" s="51">
        <v>2017</v>
      </c>
      <c r="B3" s="36" t="s">
        <v>41</v>
      </c>
      <c r="C3" s="1">
        <v>1612.5417297961289</v>
      </c>
      <c r="R3" s="24"/>
      <c r="AA3" s="23"/>
      <c r="AB3" s="24"/>
      <c r="AC3" s="70" t="s">
        <v>17</v>
      </c>
      <c r="AD3" s="71"/>
      <c r="AE3" s="71"/>
      <c r="AF3" s="71"/>
      <c r="AG3" s="72"/>
      <c r="AJ3" s="23"/>
    </row>
    <row r="4" spans="1:36" ht="15.75" thickBot="1">
      <c r="A4" s="51">
        <v>2017</v>
      </c>
      <c r="B4" s="36" t="s">
        <v>18</v>
      </c>
      <c r="C4" s="1">
        <v>1646.6692865622003</v>
      </c>
      <c r="H4" s="61" t="s">
        <v>15</v>
      </c>
      <c r="I4" s="62"/>
      <c r="J4" s="63"/>
      <c r="R4" s="24"/>
      <c r="U4" s="61" t="s">
        <v>16</v>
      </c>
      <c r="V4" s="62"/>
      <c r="W4" s="62"/>
      <c r="X4" s="62"/>
      <c r="Y4" s="63"/>
      <c r="AA4" s="23"/>
      <c r="AB4" s="24"/>
      <c r="AC4" s="73"/>
      <c r="AD4" s="74"/>
      <c r="AE4" s="74"/>
      <c r="AF4" s="74"/>
      <c r="AG4" s="75"/>
      <c r="AJ4" s="23"/>
    </row>
    <row r="5" spans="1:36" ht="15.75" thickBot="1">
      <c r="A5" s="51">
        <v>2018</v>
      </c>
      <c r="B5" s="36" t="s">
        <v>41</v>
      </c>
      <c r="C5" s="1">
        <v>1414.5610496711463</v>
      </c>
      <c r="H5" s="64"/>
      <c r="I5" s="65"/>
      <c r="J5" s="66"/>
      <c r="R5" s="24"/>
      <c r="U5" s="67"/>
      <c r="V5" s="68"/>
      <c r="W5" s="68"/>
      <c r="X5" s="68"/>
      <c r="Y5" s="69"/>
      <c r="AA5" s="23"/>
      <c r="AB5" s="24"/>
      <c r="AJ5" s="23"/>
    </row>
    <row r="6" spans="1:36" ht="15.75" thickBot="1">
      <c r="A6" s="51">
        <v>2018</v>
      </c>
      <c r="B6" s="36" t="s">
        <v>18</v>
      </c>
      <c r="C6" s="1">
        <v>1444.3861643932748</v>
      </c>
      <c r="H6" s="67"/>
      <c r="I6" s="68"/>
      <c r="J6" s="69"/>
      <c r="R6" s="24"/>
      <c r="AA6" s="23"/>
      <c r="AB6" s="24"/>
      <c r="AJ6" s="23"/>
    </row>
    <row r="7" spans="1:36">
      <c r="A7" s="51">
        <v>2019</v>
      </c>
      <c r="B7" s="36" t="s">
        <v>41</v>
      </c>
      <c r="C7" s="1">
        <v>1301.4978814276944</v>
      </c>
      <c r="R7" s="24"/>
      <c r="AA7" s="23"/>
      <c r="AB7" s="24"/>
      <c r="AJ7" s="23"/>
    </row>
    <row r="8" spans="1:36">
      <c r="A8" s="51">
        <v>2019</v>
      </c>
      <c r="B8" s="36" t="s">
        <v>18</v>
      </c>
      <c r="C8" s="1">
        <v>1333.7264711452601</v>
      </c>
      <c r="R8" s="24"/>
      <c r="AA8" s="23"/>
      <c r="AB8" s="24"/>
      <c r="AJ8" s="23"/>
    </row>
    <row r="9" spans="1:36">
      <c r="A9" s="24"/>
      <c r="C9" s="1"/>
      <c r="R9" s="24"/>
      <c r="AA9" s="23"/>
      <c r="AB9" s="24"/>
      <c r="AJ9" s="23"/>
    </row>
    <row r="10" spans="1:36">
      <c r="A10" s="24"/>
      <c r="C10" s="1"/>
      <c r="R10" s="24"/>
      <c r="S10" s="36" t="s">
        <v>19</v>
      </c>
      <c r="T10" s="36"/>
      <c r="U10" s="36"/>
      <c r="AA10" s="23"/>
      <c r="AB10" s="24"/>
      <c r="AJ10" s="23"/>
    </row>
    <row r="11" spans="1:36">
      <c r="A11" s="24"/>
      <c r="C11" s="1"/>
      <c r="R11" s="24"/>
      <c r="S11" s="79" t="s">
        <v>20</v>
      </c>
      <c r="T11" s="79"/>
      <c r="U11" s="79"/>
      <c r="AA11" s="23"/>
      <c r="AB11" s="24"/>
      <c r="AJ11" s="23"/>
    </row>
    <row r="12" spans="1:36">
      <c r="A12" s="51" t="s">
        <v>21</v>
      </c>
      <c r="C12" s="1" t="s">
        <v>22</v>
      </c>
      <c r="D12" s="1" t="s">
        <v>22</v>
      </c>
      <c r="E12" s="36" t="s">
        <v>23</v>
      </c>
      <c r="F12" s="36" t="s">
        <v>23</v>
      </c>
      <c r="G12" s="36" t="s">
        <v>24</v>
      </c>
      <c r="H12" s="36" t="s">
        <v>24</v>
      </c>
      <c r="J12" s="36" t="s">
        <v>25</v>
      </c>
      <c r="K12" s="36" t="s">
        <v>25</v>
      </c>
      <c r="M12" s="36" t="s">
        <v>26</v>
      </c>
      <c r="N12" s="36" t="s">
        <v>26</v>
      </c>
      <c r="O12" s="36" t="s">
        <v>26</v>
      </c>
      <c r="P12" s="36" t="s">
        <v>26</v>
      </c>
      <c r="R12" s="24"/>
      <c r="S12" s="36" t="s">
        <v>27</v>
      </c>
      <c r="T12" s="36" t="s">
        <v>28</v>
      </c>
      <c r="U12" s="36" t="s">
        <v>29</v>
      </c>
      <c r="X12" t="s">
        <v>17</v>
      </c>
      <c r="Y12" t="s">
        <v>42</v>
      </c>
      <c r="Z12" t="s">
        <v>30</v>
      </c>
      <c r="AA12" s="23"/>
      <c r="AB12" s="24"/>
      <c r="AJ12" s="23"/>
    </row>
    <row r="13" spans="1:36">
      <c r="A13" s="51" t="s">
        <v>31</v>
      </c>
      <c r="C13" s="1" t="s">
        <v>41</v>
      </c>
      <c r="D13" s="36" t="s">
        <v>18</v>
      </c>
      <c r="E13" s="36" t="s">
        <v>41</v>
      </c>
      <c r="F13" s="36" t="s">
        <v>18</v>
      </c>
      <c r="G13" s="36" t="s">
        <v>41</v>
      </c>
      <c r="H13" s="36" t="s">
        <v>18</v>
      </c>
      <c r="J13" s="36" t="s">
        <v>41</v>
      </c>
      <c r="K13" s="36" t="s">
        <v>18</v>
      </c>
      <c r="M13" s="36" t="s">
        <v>41</v>
      </c>
      <c r="N13" s="36" t="s">
        <v>18</v>
      </c>
      <c r="O13" s="36" t="s">
        <v>43</v>
      </c>
      <c r="P13" s="36" t="s">
        <v>44</v>
      </c>
      <c r="R13" s="24"/>
      <c r="S13" s="36" t="s">
        <v>35</v>
      </c>
      <c r="T13" s="36" t="s">
        <v>36</v>
      </c>
      <c r="U13" s="36" t="s">
        <v>37</v>
      </c>
      <c r="V13" t="s">
        <v>45</v>
      </c>
      <c r="W13" t="s">
        <v>46</v>
      </c>
      <c r="AA13" s="23"/>
      <c r="AB13" s="24"/>
      <c r="AJ13" s="23"/>
    </row>
    <row r="14" spans="1:36">
      <c r="A14" s="51">
        <v>2019</v>
      </c>
      <c r="C14" s="1"/>
      <c r="D14" s="1"/>
      <c r="E14" s="1"/>
      <c r="F14" s="1"/>
      <c r="G14" s="1" t="e">
        <f>#REF!*$I14</f>
        <v>#REF!</v>
      </c>
      <c r="H14" s="1" t="e">
        <f>#REF!*$I14</f>
        <v>#REF!</v>
      </c>
      <c r="I14" s="5">
        <v>0.99585857851954374</v>
      </c>
      <c r="J14" t="e">
        <f>NA()</f>
        <v>#N/A</v>
      </c>
      <c r="K14" t="e">
        <f>NA()</f>
        <v>#N/A</v>
      </c>
      <c r="L14" t="e">
        <f>NA()</f>
        <v>#N/A</v>
      </c>
      <c r="M14" t="e">
        <f>NA()</f>
        <v>#N/A</v>
      </c>
      <c r="N14" t="e">
        <f>NA()</f>
        <v>#N/A</v>
      </c>
      <c r="O14" t="e">
        <f>NA()</f>
        <v>#N/A</v>
      </c>
      <c r="P14" t="e">
        <f>NA()</f>
        <v>#N/A</v>
      </c>
      <c r="Q14" t="e">
        <f>NA()</f>
        <v>#N/A</v>
      </c>
      <c r="R14" s="24"/>
      <c r="S14" t="e">
        <f>NA()</f>
        <v>#N/A</v>
      </c>
      <c r="T14" t="e">
        <f>NA()</f>
        <v>#N/A</v>
      </c>
      <c r="U14" t="e">
        <f>NA()</f>
        <v>#N/A</v>
      </c>
      <c r="V14" t="e">
        <f t="shared" ref="V14:V45" si="0">T14-S14</f>
        <v>#N/A</v>
      </c>
      <c r="W14" t="e">
        <f t="shared" ref="W14:W45" si="1">U14-T14</f>
        <v>#N/A</v>
      </c>
      <c r="X14">
        <f>AVERAGE(1288,1278,1246,1246)</f>
        <v>1264.5</v>
      </c>
      <c r="Z14" t="e">
        <f>W14-V14</f>
        <v>#N/A</v>
      </c>
      <c r="AA14" s="23"/>
      <c r="AB14" s="24"/>
      <c r="AJ14" s="23"/>
    </row>
    <row r="15" spans="1:36">
      <c r="A15" s="51">
        <f t="shared" ref="A15:A27" si="2">A14+1</f>
        <v>2020</v>
      </c>
      <c r="C15" s="1"/>
      <c r="D15" s="1"/>
      <c r="E15" s="1"/>
      <c r="F15" s="1"/>
      <c r="G15" s="1" t="e">
        <f>#REF!*$I15</f>
        <v>#REF!</v>
      </c>
      <c r="H15" s="1" t="e">
        <f>#REF!*$I15</f>
        <v>#REF!</v>
      </c>
      <c r="I15" s="5">
        <v>0.99192094970928524</v>
      </c>
      <c r="J15" s="1">
        <v>1356.4</v>
      </c>
      <c r="K15" s="1">
        <v>1315.22</v>
      </c>
      <c r="L15" s="3">
        <v>1</v>
      </c>
      <c r="M15" t="e">
        <f>NA()</f>
        <v>#N/A</v>
      </c>
      <c r="N15" t="e">
        <f>NA()</f>
        <v>#N/A</v>
      </c>
      <c r="O15" t="e">
        <f>NA()</f>
        <v>#N/A</v>
      </c>
      <c r="P15" t="e">
        <f>NA()</f>
        <v>#N/A</v>
      </c>
      <c r="Q15" t="e">
        <f>NA()</f>
        <v>#N/A</v>
      </c>
      <c r="R15" s="24"/>
      <c r="S15" t="e">
        <f>NA()</f>
        <v>#N/A</v>
      </c>
      <c r="T15" t="e">
        <f>NA()</f>
        <v>#N/A</v>
      </c>
      <c r="U15" t="e">
        <f>NA()</f>
        <v>#N/A</v>
      </c>
      <c r="V15" t="e">
        <f t="shared" si="0"/>
        <v>#N/A</v>
      </c>
      <c r="W15" t="e">
        <f t="shared" si="1"/>
        <v>#N/A</v>
      </c>
      <c r="X15" t="e">
        <f>NA()</f>
        <v>#N/A</v>
      </c>
      <c r="Y15">
        <f>X14+(X$21-X14)/COUNT(W15:W$21)</f>
        <v>1299.9166666666667</v>
      </c>
      <c r="Z15" s="14">
        <v>1653.18</v>
      </c>
      <c r="AA15" s="23"/>
      <c r="AB15" s="24"/>
      <c r="AJ15" s="23"/>
    </row>
    <row r="16" spans="1:36">
      <c r="A16" s="51">
        <f t="shared" si="2"/>
        <v>2021</v>
      </c>
      <c r="C16" s="1"/>
      <c r="D16" s="1"/>
      <c r="E16" s="1"/>
      <c r="F16" s="1"/>
      <c r="G16" s="1" t="e">
        <f>#REF!*$I16</f>
        <v>#REF!</v>
      </c>
      <c r="H16" s="1" t="e">
        <f>#REF!*$I16</f>
        <v>#REF!</v>
      </c>
      <c r="I16" s="5">
        <v>0.98818711356922495</v>
      </c>
      <c r="J16" s="1">
        <f t="shared" ref="J16:K25" si="3">J$15*$L16</f>
        <v>1340.1398852064808</v>
      </c>
      <c r="K16" s="1">
        <f t="shared" si="3"/>
        <v>1299.4535386473515</v>
      </c>
      <c r="L16" s="3">
        <v>0.98801230109590144</v>
      </c>
      <c r="M16" t="e">
        <f>NA()</f>
        <v>#N/A</v>
      </c>
      <c r="N16" t="e">
        <f>NA()</f>
        <v>#N/A</v>
      </c>
      <c r="O16" t="e">
        <f>NA()</f>
        <v>#N/A</v>
      </c>
      <c r="P16" t="e">
        <f>NA()</f>
        <v>#N/A</v>
      </c>
      <c r="Q16" t="e">
        <f>NA()</f>
        <v>#N/A</v>
      </c>
      <c r="R16" s="24"/>
      <c r="S16" s="54">
        <v>1284</v>
      </c>
      <c r="T16" s="54">
        <v>1284</v>
      </c>
      <c r="U16" s="54">
        <v>1284</v>
      </c>
      <c r="V16">
        <f t="shared" si="0"/>
        <v>0</v>
      </c>
      <c r="W16">
        <f t="shared" si="1"/>
        <v>0</v>
      </c>
      <c r="X16" t="e">
        <f>NA()</f>
        <v>#N/A</v>
      </c>
      <c r="Y16">
        <f>Y15+(X$21-Y15)/COUNT(W16:W$21)</f>
        <v>1329.4305555555557</v>
      </c>
      <c r="Z16" s="14">
        <v>1621.34</v>
      </c>
      <c r="AA16" s="23"/>
      <c r="AB16" s="24"/>
      <c r="AJ16" s="23"/>
    </row>
    <row r="17" spans="1:36">
      <c r="A17" s="51">
        <f t="shared" si="2"/>
        <v>2022</v>
      </c>
      <c r="C17" s="1"/>
      <c r="D17" s="1"/>
      <c r="E17" s="1"/>
      <c r="F17" s="1"/>
      <c r="G17" s="1" t="e">
        <f>#REF!*$I17</f>
        <v>#REF!</v>
      </c>
      <c r="H17" s="1" t="e">
        <f>#REF!*$I17</f>
        <v>#REF!</v>
      </c>
      <c r="I17" s="5">
        <v>0.98465707009936232</v>
      </c>
      <c r="J17" s="1">
        <f t="shared" si="3"/>
        <v>1323.1519026090239</v>
      </c>
      <c r="K17" s="1">
        <f t="shared" si="3"/>
        <v>1282.9813073941611</v>
      </c>
      <c r="L17" s="3">
        <v>0.97548798481939236</v>
      </c>
      <c r="M17" s="2">
        <v>1567.53</v>
      </c>
      <c r="N17" s="2">
        <v>1566.92</v>
      </c>
      <c r="O17" s="2">
        <v>4635.7361989855781</v>
      </c>
      <c r="P17" s="2">
        <v>4633.3938147826047</v>
      </c>
      <c r="Q17" s="3">
        <v>1</v>
      </c>
      <c r="R17" s="47"/>
      <c r="S17" s="54">
        <v>1444</v>
      </c>
      <c r="T17" s="54">
        <v>1451</v>
      </c>
      <c r="U17" s="54">
        <v>1466</v>
      </c>
      <c r="V17">
        <f t="shared" si="0"/>
        <v>7</v>
      </c>
      <c r="W17">
        <f t="shared" si="1"/>
        <v>15</v>
      </c>
      <c r="X17" t="e">
        <f>NA()</f>
        <v>#N/A</v>
      </c>
      <c r="Y17">
        <f>Y16+(X$21-Y16)/COUNT(W17:W$21)</f>
        <v>1358.9444444444446</v>
      </c>
      <c r="Z17" s="14">
        <v>1589.5</v>
      </c>
      <c r="AA17" s="23"/>
      <c r="AB17" s="24"/>
      <c r="AJ17" s="23"/>
    </row>
    <row r="18" spans="1:36" ht="15.75" customHeight="1">
      <c r="A18" s="51">
        <f t="shared" si="2"/>
        <v>2023</v>
      </c>
      <c r="C18" s="1"/>
      <c r="D18" s="1"/>
      <c r="E18" s="1"/>
      <c r="F18" s="1"/>
      <c r="G18" s="1" t="e">
        <f>#REF!*$I18</f>
        <v>#REF!</v>
      </c>
      <c r="H18" s="1" t="e">
        <f>#REF!*$I18</f>
        <v>#REF!</v>
      </c>
      <c r="I18" s="5">
        <v>0.98133081929969734</v>
      </c>
      <c r="J18" s="1">
        <f t="shared" si="3"/>
        <v>1305.4360522076304</v>
      </c>
      <c r="K18" s="1">
        <f t="shared" si="3"/>
        <v>1265.8033062404302</v>
      </c>
      <c r="L18" s="3">
        <v>0.96242705117047345</v>
      </c>
      <c r="M18" s="2">
        <f t="shared" ref="M18:M27" si="4">M17*(1+$Q18)</f>
        <v>1995.6706624419267</v>
      </c>
      <c r="N18" s="2">
        <f t="shared" ref="N18:N27" si="5">N17*(1+$Q18)</f>
        <v>1994.8940526774632</v>
      </c>
      <c r="O18" s="2">
        <f t="shared" ref="O18:O27" si="6">O17*(1+$Q18)</f>
        <v>5901.8983567367568</v>
      </c>
      <c r="P18" s="2">
        <f t="shared" ref="P18:P27" si="7">P17*(1+$Q18)</f>
        <v>5898.9161953528974</v>
      </c>
      <c r="Q18" s="3">
        <v>0.27313076141568371</v>
      </c>
      <c r="R18" s="47"/>
      <c r="S18" s="54">
        <v>1351</v>
      </c>
      <c r="T18" s="54">
        <v>1363</v>
      </c>
      <c r="U18" s="54">
        <v>1392</v>
      </c>
      <c r="V18">
        <f t="shared" si="0"/>
        <v>12</v>
      </c>
      <c r="W18">
        <f t="shared" si="1"/>
        <v>29</v>
      </c>
      <c r="X18" t="e">
        <f>NA()</f>
        <v>#N/A</v>
      </c>
      <c r="Y18">
        <f>Y17+(X$21-Y17)/COUNT(W18:W$21)</f>
        <v>1388.4583333333335</v>
      </c>
      <c r="Z18" s="14">
        <v>1557.65</v>
      </c>
      <c r="AA18" s="23"/>
      <c r="AB18" s="24"/>
      <c r="AJ18" s="23"/>
    </row>
    <row r="19" spans="1:36" ht="15.75" customHeight="1">
      <c r="A19" s="51">
        <f t="shared" si="2"/>
        <v>2024</v>
      </c>
      <c r="C19" s="1"/>
      <c r="D19" s="1"/>
      <c r="E19" s="1"/>
      <c r="F19" s="1"/>
      <c r="G19" s="1" t="e">
        <f>#REF!*$I19</f>
        <v>#REF!</v>
      </c>
      <c r="H19" s="1" t="e">
        <f>#REF!*$I19</f>
        <v>#REF!</v>
      </c>
      <c r="I19" s="5">
        <v>0.97820836117023069</v>
      </c>
      <c r="J19" s="1">
        <f t="shared" si="3"/>
        <v>1286.9923340022992</v>
      </c>
      <c r="K19" s="1">
        <f t="shared" si="3"/>
        <v>1247.9195351861574</v>
      </c>
      <c r="L19" s="3">
        <v>0.94882950014914424</v>
      </c>
      <c r="M19" s="2">
        <f t="shared" si="4"/>
        <v>1995.6706624419267</v>
      </c>
      <c r="N19" s="2">
        <f t="shared" si="5"/>
        <v>1994.8940526774632</v>
      </c>
      <c r="O19" s="2">
        <f t="shared" si="6"/>
        <v>5901.8983567367568</v>
      </c>
      <c r="P19" s="2">
        <f t="shared" si="7"/>
        <v>5898.9161953528974</v>
      </c>
      <c r="Q19" s="3">
        <v>0</v>
      </c>
      <c r="R19" s="47"/>
      <c r="S19" s="54">
        <v>1200</v>
      </c>
      <c r="T19" s="54">
        <v>1217</v>
      </c>
      <c r="U19" s="54">
        <v>1256</v>
      </c>
      <c r="V19">
        <f t="shared" si="0"/>
        <v>17</v>
      </c>
      <c r="W19">
        <f t="shared" si="1"/>
        <v>39</v>
      </c>
      <c r="X19" t="e">
        <f>NA()</f>
        <v>#N/A</v>
      </c>
      <c r="Y19">
        <f>Y18+(X$21-Y18)/COUNT(W19:W$21)</f>
        <v>1417.9722222222224</v>
      </c>
      <c r="Z19" s="14">
        <v>1525.81</v>
      </c>
      <c r="AA19" s="23"/>
      <c r="AB19" s="24"/>
      <c r="AJ19" s="23"/>
    </row>
    <row r="20" spans="1:36" ht="15.75" customHeight="1">
      <c r="A20" s="51">
        <f t="shared" si="2"/>
        <v>2025</v>
      </c>
      <c r="C20" s="1"/>
      <c r="D20" s="1"/>
      <c r="E20" s="1"/>
      <c r="F20" s="1"/>
      <c r="G20" s="1" t="e">
        <f>#REF!*$I20</f>
        <v>#REF!</v>
      </c>
      <c r="H20" s="1" t="e">
        <f>#REF!*$I20</f>
        <v>#REF!</v>
      </c>
      <c r="I20" s="5">
        <v>0.9752896957109618</v>
      </c>
      <c r="J20" s="1">
        <f t="shared" si="3"/>
        <v>1267.8207479930311</v>
      </c>
      <c r="K20" s="1">
        <f t="shared" si="3"/>
        <v>1229.3299942313436</v>
      </c>
      <c r="L20" s="3">
        <v>0.93469533175540476</v>
      </c>
      <c r="M20" s="2">
        <f t="shared" si="4"/>
        <v>1995.6706624419267</v>
      </c>
      <c r="N20" s="2">
        <f t="shared" si="5"/>
        <v>1994.8940526774632</v>
      </c>
      <c r="O20" s="2">
        <f t="shared" si="6"/>
        <v>5901.8983567367568</v>
      </c>
      <c r="P20" s="2">
        <f t="shared" si="7"/>
        <v>5898.9161953528974</v>
      </c>
      <c r="Q20" s="3">
        <v>0</v>
      </c>
      <c r="R20" s="47"/>
      <c r="S20" s="54">
        <v>1172</v>
      </c>
      <c r="T20" s="54">
        <v>1195</v>
      </c>
      <c r="U20" s="54">
        <v>1247</v>
      </c>
      <c r="V20">
        <f t="shared" si="0"/>
        <v>23</v>
      </c>
      <c r="W20">
        <f t="shared" si="1"/>
        <v>52</v>
      </c>
      <c r="X20" t="e">
        <f>NA()</f>
        <v>#N/A</v>
      </c>
      <c r="Y20">
        <f>Y19+(X$21-Y19)/COUNT(W20:W$21)</f>
        <v>1447.4861111111113</v>
      </c>
      <c r="Z20" s="14">
        <v>1493.97</v>
      </c>
      <c r="AA20" s="23"/>
      <c r="AB20" s="24"/>
      <c r="AJ20" s="23"/>
    </row>
    <row r="21" spans="1:36" ht="15.75" customHeight="1">
      <c r="A21" s="51">
        <f t="shared" si="2"/>
        <v>2026</v>
      </c>
      <c r="C21" s="1"/>
      <c r="E21" s="1"/>
      <c r="F21" s="1"/>
      <c r="G21" s="1" t="e">
        <f>#REF!*$I21</f>
        <v>#REF!</v>
      </c>
      <c r="H21" s="1" t="e">
        <f>#REF!*$I21</f>
        <v>#REF!</v>
      </c>
      <c r="I21" s="5">
        <v>0.97257482292189079</v>
      </c>
      <c r="J21" s="1">
        <f t="shared" si="3"/>
        <v>1247.9212941798257</v>
      </c>
      <c r="K21" s="1">
        <f t="shared" si="3"/>
        <v>1210.0346833759882</v>
      </c>
      <c r="L21" s="3">
        <v>0.92002454598925509</v>
      </c>
      <c r="M21" s="2">
        <f t="shared" si="4"/>
        <v>1995.6706624419267</v>
      </c>
      <c r="N21" s="2">
        <f t="shared" si="5"/>
        <v>1994.8940526774632</v>
      </c>
      <c r="O21" s="2">
        <f t="shared" si="6"/>
        <v>5901.8983567367568</v>
      </c>
      <c r="P21" s="2">
        <f t="shared" si="7"/>
        <v>5898.9161953528974</v>
      </c>
      <c r="Q21" s="3">
        <v>0</v>
      </c>
      <c r="R21" s="47"/>
      <c r="S21" s="54">
        <v>1144</v>
      </c>
      <c r="T21" s="54">
        <v>1172</v>
      </c>
      <c r="U21" s="54">
        <v>1237</v>
      </c>
      <c r="V21">
        <f t="shared" si="0"/>
        <v>28</v>
      </c>
      <c r="W21">
        <f t="shared" si="1"/>
        <v>65</v>
      </c>
      <c r="X21">
        <f>AVERAGE(1503,1457,1491,1457)</f>
        <v>1477</v>
      </c>
      <c r="Z21" s="14">
        <v>1462.13</v>
      </c>
      <c r="AA21" s="23"/>
      <c r="AB21" s="24"/>
      <c r="AJ21" s="23"/>
    </row>
    <row r="22" spans="1:36" ht="15.75" customHeight="1">
      <c r="A22" s="51">
        <f t="shared" si="2"/>
        <v>2027</v>
      </c>
      <c r="C22" s="1"/>
      <c r="E22" s="1"/>
      <c r="F22" s="1"/>
      <c r="G22" s="1" t="e">
        <f>#REF!*$I22</f>
        <v>#REF!</v>
      </c>
      <c r="H22" s="1" t="e">
        <f>#REF!*$I22</f>
        <v>#REF!</v>
      </c>
      <c r="I22" s="5">
        <v>0.97006374280301766</v>
      </c>
      <c r="J22" s="1">
        <f t="shared" si="3"/>
        <v>1227.2939725626825</v>
      </c>
      <c r="K22" s="1">
        <f t="shared" si="3"/>
        <v>1190.0336026200907</v>
      </c>
      <c r="L22" s="3">
        <v>0.9048171428506947</v>
      </c>
      <c r="M22" s="2">
        <f t="shared" si="4"/>
        <v>1995.6706624419267</v>
      </c>
      <c r="N22" s="2">
        <f t="shared" si="5"/>
        <v>1994.8940526774632</v>
      </c>
      <c r="O22" s="2">
        <f t="shared" si="6"/>
        <v>5901.8983567367568</v>
      </c>
      <c r="P22" s="2">
        <f t="shared" si="7"/>
        <v>5898.9161953528974</v>
      </c>
      <c r="Q22" s="3">
        <v>0</v>
      </c>
      <c r="R22" s="47"/>
      <c r="S22" s="54">
        <v>1116</v>
      </c>
      <c r="T22" s="54">
        <v>1150</v>
      </c>
      <c r="U22" s="54">
        <v>1228</v>
      </c>
      <c r="V22">
        <f t="shared" si="0"/>
        <v>34</v>
      </c>
      <c r="W22">
        <f t="shared" si="1"/>
        <v>78</v>
      </c>
      <c r="X22">
        <f>$X$21*(1-0.01*COUNT($W$22:W22))</f>
        <v>1462.23</v>
      </c>
      <c r="Z22" s="14">
        <v>1430.28</v>
      </c>
      <c r="AA22" s="23"/>
      <c r="AB22" s="24"/>
      <c r="AJ22" s="23"/>
    </row>
    <row r="23" spans="1:36" ht="15.75" customHeight="1">
      <c r="A23" s="51">
        <f t="shared" si="2"/>
        <v>2028</v>
      </c>
      <c r="C23" s="1"/>
      <c r="E23" s="1"/>
      <c r="F23" s="1"/>
      <c r="G23" s="1" t="e">
        <f>#REF!*$I23</f>
        <v>#REF!</v>
      </c>
      <c r="H23" s="1" t="e">
        <f>#REF!*$I23</f>
        <v>#REF!</v>
      </c>
      <c r="I23" s="5">
        <v>0.96775645535434229</v>
      </c>
      <c r="J23" s="1">
        <f t="shared" si="3"/>
        <v>1205.9387831416025</v>
      </c>
      <c r="K23" s="1">
        <f t="shared" si="3"/>
        <v>1169.3267519636527</v>
      </c>
      <c r="L23" s="3">
        <v>0.88907312233972458</v>
      </c>
      <c r="M23" s="2">
        <f t="shared" si="4"/>
        <v>1995.6706624419267</v>
      </c>
      <c r="N23" s="2">
        <f t="shared" si="5"/>
        <v>1994.8940526774632</v>
      </c>
      <c r="O23" s="2">
        <f t="shared" si="6"/>
        <v>5901.8983567367568</v>
      </c>
      <c r="P23" s="2">
        <f t="shared" si="7"/>
        <v>5898.9161953528974</v>
      </c>
      <c r="Q23" s="3">
        <v>0</v>
      </c>
      <c r="R23" s="47"/>
      <c r="S23" s="54">
        <v>1088</v>
      </c>
      <c r="T23" s="54">
        <v>1128</v>
      </c>
      <c r="U23" s="54">
        <v>1219</v>
      </c>
      <c r="V23">
        <f t="shared" si="0"/>
        <v>40</v>
      </c>
      <c r="W23">
        <f t="shared" si="1"/>
        <v>91</v>
      </c>
      <c r="X23">
        <f>$X$21*(1-0.01*COUNT($W$22:W23))</f>
        <v>1447.46</v>
      </c>
      <c r="Z23" s="14">
        <v>1398.44</v>
      </c>
      <c r="AA23" s="23"/>
      <c r="AB23" s="24"/>
      <c r="AJ23" s="23"/>
    </row>
    <row r="24" spans="1:36" ht="15.75" customHeight="1">
      <c r="A24" s="51">
        <f t="shared" si="2"/>
        <v>2029</v>
      </c>
      <c r="C24" s="1"/>
      <c r="E24" s="1"/>
      <c r="F24" s="1"/>
      <c r="J24" s="1">
        <f t="shared" si="3"/>
        <v>1183.8557259165846</v>
      </c>
      <c r="K24" s="1">
        <f t="shared" si="3"/>
        <v>1147.9141314066724</v>
      </c>
      <c r="L24" s="3">
        <v>0.87279248445634361</v>
      </c>
      <c r="M24" s="2">
        <f t="shared" si="4"/>
        <v>1851.731559998914</v>
      </c>
      <c r="N24" s="2">
        <f t="shared" si="5"/>
        <v>1851.0109637413627</v>
      </c>
      <c r="O24" s="2">
        <f t="shared" si="6"/>
        <v>5476.2199278425296</v>
      </c>
      <c r="P24" s="2">
        <f t="shared" si="7"/>
        <v>5473.4528568746455</v>
      </c>
      <c r="Q24" s="3">
        <v>-7.21256794279308E-2</v>
      </c>
      <c r="R24" s="47"/>
      <c r="S24" s="54">
        <v>1060</v>
      </c>
      <c r="T24" s="54">
        <v>1106</v>
      </c>
      <c r="U24" s="54">
        <v>1209</v>
      </c>
      <c r="V24">
        <f t="shared" si="0"/>
        <v>46</v>
      </c>
      <c r="W24">
        <f t="shared" si="1"/>
        <v>103</v>
      </c>
      <c r="X24">
        <f>$X$21*(1-0.01*COUNT($W$22:W24))</f>
        <v>1432.69</v>
      </c>
      <c r="Z24" s="14">
        <v>1366.6</v>
      </c>
      <c r="AA24" s="23"/>
      <c r="AB24" s="24"/>
      <c r="AJ24" s="23"/>
    </row>
    <row r="25" spans="1:36" ht="15.75" customHeight="1">
      <c r="A25" s="51">
        <f t="shared" si="2"/>
        <v>2030</v>
      </c>
      <c r="C25" s="1"/>
      <c r="E25" s="1"/>
      <c r="F25" s="1"/>
      <c r="J25" s="1">
        <f t="shared" si="3"/>
        <v>1161.0448008876301</v>
      </c>
      <c r="K25" s="1">
        <f t="shared" si="3"/>
        <v>1125.7957409491514</v>
      </c>
      <c r="L25" s="4">
        <v>0.85597522920055302</v>
      </c>
      <c r="M25" s="2">
        <f t="shared" si="4"/>
        <v>1707.7924575559014</v>
      </c>
      <c r="N25" s="2">
        <f t="shared" si="5"/>
        <v>1707.1278748052623</v>
      </c>
      <c r="O25" s="2">
        <f t="shared" si="6"/>
        <v>5050.5414989483024</v>
      </c>
      <c r="P25" s="2">
        <f t="shared" si="7"/>
        <v>5047.9895183963936</v>
      </c>
      <c r="Q25" s="3">
        <v>-7.7732164614128574E-2</v>
      </c>
      <c r="R25" s="47"/>
      <c r="S25" s="54">
        <v>1032</v>
      </c>
      <c r="T25" s="54">
        <v>1083</v>
      </c>
      <c r="U25" s="54">
        <v>1200</v>
      </c>
      <c r="V25">
        <f t="shared" si="0"/>
        <v>51</v>
      </c>
      <c r="W25">
        <f t="shared" si="1"/>
        <v>117</v>
      </c>
      <c r="X25">
        <f>$X$21*(1-0.01*COUNT($W$22:W25))</f>
        <v>1417.9199999999998</v>
      </c>
      <c r="Z25" s="14">
        <v>1334.76</v>
      </c>
      <c r="AA25" s="23"/>
      <c r="AB25" s="24"/>
      <c r="AJ25" s="23"/>
    </row>
    <row r="26" spans="1:36" ht="15.75" customHeight="1">
      <c r="A26" s="51">
        <f t="shared" si="2"/>
        <v>2031</v>
      </c>
      <c r="C26" s="1"/>
      <c r="E26" s="1"/>
      <c r="F26" s="1"/>
      <c r="M26" s="2">
        <f t="shared" si="4"/>
        <v>1563.8533551128887</v>
      </c>
      <c r="N26" s="2">
        <f t="shared" si="5"/>
        <v>1563.2447858691619</v>
      </c>
      <c r="O26" s="2">
        <f t="shared" si="6"/>
        <v>4624.8630700540753</v>
      </c>
      <c r="P26" s="2">
        <f t="shared" si="7"/>
        <v>4622.5261799181408</v>
      </c>
      <c r="Q26" s="3">
        <v>-8.4283720662995831E-2</v>
      </c>
      <c r="R26" s="47"/>
      <c r="S26" s="54">
        <v>1021</v>
      </c>
      <c r="T26" s="54">
        <v>1073</v>
      </c>
      <c r="U26" s="54">
        <v>1192</v>
      </c>
      <c r="V26">
        <f t="shared" si="0"/>
        <v>52</v>
      </c>
      <c r="W26">
        <f t="shared" si="1"/>
        <v>119</v>
      </c>
      <c r="X26">
        <f>$X$21*(1-0.01*COUNT($W$22:W26))</f>
        <v>1403.1499999999999</v>
      </c>
      <c r="Z26" s="14">
        <v>1324.02</v>
      </c>
      <c r="AA26" s="23"/>
      <c r="AB26" s="24"/>
      <c r="AJ26" s="23"/>
    </row>
    <row r="27" spans="1:36" ht="15.75" customHeight="1">
      <c r="A27" s="51">
        <f t="shared" si="2"/>
        <v>2032</v>
      </c>
      <c r="C27" s="1"/>
      <c r="M27" s="2">
        <f t="shared" si="4"/>
        <v>1419.9142526698763</v>
      </c>
      <c r="N27" s="2">
        <f t="shared" si="5"/>
        <v>1419.3616969330617</v>
      </c>
      <c r="O27" s="2">
        <f t="shared" si="6"/>
        <v>4199.184641159849</v>
      </c>
      <c r="P27" s="2">
        <f t="shared" si="7"/>
        <v>4197.0628414398889</v>
      </c>
      <c r="Q27" s="3">
        <v>-9.2041304238927202E-2</v>
      </c>
      <c r="R27" s="47"/>
      <c r="S27" s="54">
        <v>1009</v>
      </c>
      <c r="T27" s="54">
        <v>1062</v>
      </c>
      <c r="U27" s="54">
        <v>1184</v>
      </c>
      <c r="V27">
        <f t="shared" si="0"/>
        <v>53</v>
      </c>
      <c r="W27">
        <f t="shared" si="1"/>
        <v>122</v>
      </c>
      <c r="X27">
        <f>$X$21*(1-0.01*COUNT($W$22:W27))</f>
        <v>1388.3799999999999</v>
      </c>
      <c r="Z27" s="14">
        <v>1313.27</v>
      </c>
      <c r="AA27" s="23"/>
      <c r="AB27" s="24"/>
      <c r="AJ27" s="23"/>
    </row>
    <row r="28" spans="1:36" ht="15.75" customHeight="1">
      <c r="A28" s="24"/>
      <c r="C28" s="1"/>
      <c r="Q28" s="36">
        <v>1.755586942021603E-2</v>
      </c>
      <c r="R28" s="51"/>
      <c r="S28" s="54">
        <v>997</v>
      </c>
      <c r="T28" s="54">
        <v>1051</v>
      </c>
      <c r="U28" s="54">
        <v>1176</v>
      </c>
      <c r="V28">
        <f t="shared" si="0"/>
        <v>54</v>
      </c>
      <c r="W28">
        <f t="shared" si="1"/>
        <v>125</v>
      </c>
      <c r="Z28" s="14">
        <v>1302.53</v>
      </c>
      <c r="AA28" s="23"/>
      <c r="AB28" s="24"/>
      <c r="AJ28" s="23"/>
    </row>
    <row r="29" spans="1:36" ht="15.75" customHeight="1">
      <c r="A29" s="24"/>
      <c r="C29" s="1"/>
      <c r="Q29" s="36">
        <v>1.8076361208810399E-2</v>
      </c>
      <c r="R29" s="51"/>
      <c r="S29" s="54">
        <v>986</v>
      </c>
      <c r="T29" s="54">
        <v>1041</v>
      </c>
      <c r="U29" s="54">
        <v>1168</v>
      </c>
      <c r="V29">
        <f t="shared" si="0"/>
        <v>55</v>
      </c>
      <c r="W29">
        <f t="shared" si="1"/>
        <v>127</v>
      </c>
      <c r="Z29" s="14">
        <v>1291.79</v>
      </c>
      <c r="AA29" s="23"/>
      <c r="AB29" s="24"/>
      <c r="AJ29" s="23"/>
    </row>
    <row r="30" spans="1:36" ht="15.75" customHeight="1">
      <c r="A30" s="24"/>
      <c r="C30" s="1"/>
      <c r="Q30" s="36">
        <v>1.8054883869680571E-2</v>
      </c>
      <c r="R30" s="51"/>
      <c r="S30" s="54">
        <v>974</v>
      </c>
      <c r="T30" s="54">
        <v>1030</v>
      </c>
      <c r="U30" s="54">
        <v>1160</v>
      </c>
      <c r="V30">
        <f t="shared" si="0"/>
        <v>56</v>
      </c>
      <c r="W30">
        <f t="shared" si="1"/>
        <v>130</v>
      </c>
      <c r="Z30" s="14">
        <v>1281.05</v>
      </c>
      <c r="AA30" s="23"/>
      <c r="AB30" s="24"/>
      <c r="AJ30" s="23"/>
    </row>
    <row r="31" spans="1:36" ht="15.75" customHeight="1">
      <c r="A31" s="24"/>
      <c r="C31" s="1"/>
      <c r="Q31" s="36">
        <v>1.803320606991865E-2</v>
      </c>
      <c r="R31" s="51"/>
      <c r="S31" s="54">
        <v>963</v>
      </c>
      <c r="T31" s="54">
        <v>1019</v>
      </c>
      <c r="U31" s="54">
        <v>1151</v>
      </c>
      <c r="V31">
        <f t="shared" si="0"/>
        <v>56</v>
      </c>
      <c r="W31">
        <f t="shared" si="1"/>
        <v>132</v>
      </c>
      <c r="Z31" s="14">
        <v>1270.3</v>
      </c>
      <c r="AA31" s="23"/>
      <c r="AB31" s="24"/>
      <c r="AJ31" s="23"/>
    </row>
    <row r="32" spans="1:36" ht="15.75" customHeight="1">
      <c r="A32" s="24"/>
      <c r="C32" s="1"/>
      <c r="Q32" s="36">
        <v>1.8011324989841704E-2</v>
      </c>
      <c r="R32" s="51"/>
      <c r="S32" s="54">
        <v>951</v>
      </c>
      <c r="T32" s="54">
        <v>1009</v>
      </c>
      <c r="U32" s="54">
        <v>1143</v>
      </c>
      <c r="V32">
        <f t="shared" si="0"/>
        <v>58</v>
      </c>
      <c r="W32">
        <f t="shared" si="1"/>
        <v>134</v>
      </c>
      <c r="Z32" s="14">
        <v>1259.56</v>
      </c>
      <c r="AA32" s="23"/>
      <c r="AB32" s="24"/>
      <c r="AJ32" s="23"/>
    </row>
    <row r="33" spans="1:36" ht="15.75" customHeight="1">
      <c r="A33" s="24"/>
      <c r="C33" s="1"/>
      <c r="Q33" s="36">
        <v>1.7989237756632193E-2</v>
      </c>
      <c r="R33" s="51"/>
      <c r="S33" s="54">
        <v>939</v>
      </c>
      <c r="T33" s="54">
        <v>998</v>
      </c>
      <c r="U33" s="54">
        <v>1135</v>
      </c>
      <c r="V33">
        <f t="shared" si="0"/>
        <v>59</v>
      </c>
      <c r="W33">
        <f t="shared" si="1"/>
        <v>137</v>
      </c>
      <c r="Z33" s="14">
        <v>1248.82</v>
      </c>
      <c r="AA33" s="23"/>
      <c r="AB33" s="24"/>
      <c r="AJ33" s="23"/>
    </row>
    <row r="34" spans="1:36" ht="15.75" customHeight="1">
      <c r="A34" s="24"/>
      <c r="C34" s="1"/>
      <c r="Q34" s="36">
        <v>1.7966941443086748E-2</v>
      </c>
      <c r="R34" s="51"/>
      <c r="S34" s="54">
        <v>928</v>
      </c>
      <c r="T34" s="54">
        <v>987</v>
      </c>
      <c r="U34" s="54">
        <v>1127</v>
      </c>
      <c r="V34">
        <f t="shared" si="0"/>
        <v>59</v>
      </c>
      <c r="W34">
        <f t="shared" si="1"/>
        <v>140</v>
      </c>
      <c r="Z34" s="14">
        <v>1238.08</v>
      </c>
      <c r="AA34" s="23"/>
      <c r="AB34" s="24"/>
      <c r="AJ34" s="23"/>
    </row>
    <row r="35" spans="1:36" ht="15.75" customHeight="1">
      <c r="A35" s="24"/>
      <c r="C35" s="1"/>
      <c r="Q35" s="36">
        <v>1.79444330663181E-2</v>
      </c>
      <c r="R35" s="51"/>
      <c r="S35" s="54">
        <v>916</v>
      </c>
      <c r="T35" s="54">
        <v>977</v>
      </c>
      <c r="U35" s="54">
        <v>1119</v>
      </c>
      <c r="V35">
        <f t="shared" si="0"/>
        <v>61</v>
      </c>
      <c r="W35">
        <f t="shared" si="1"/>
        <v>142</v>
      </c>
      <c r="Z35" s="14">
        <v>1227.33</v>
      </c>
      <c r="AA35" s="23"/>
      <c r="AB35" s="24"/>
      <c r="AJ35" s="23"/>
    </row>
    <row r="36" spans="1:36" ht="15.75" customHeight="1">
      <c r="A36" s="24"/>
      <c r="C36" s="1"/>
      <c r="Q36" s="36">
        <v>1.7921709586427692E-2</v>
      </c>
      <c r="R36" s="51"/>
      <c r="S36" s="54">
        <v>905</v>
      </c>
      <c r="T36" s="54">
        <v>966</v>
      </c>
      <c r="U36" s="54">
        <v>1111</v>
      </c>
      <c r="V36">
        <f t="shared" si="0"/>
        <v>61</v>
      </c>
      <c r="W36">
        <f t="shared" si="1"/>
        <v>145</v>
      </c>
      <c r="Z36" s="14">
        <v>1216.5899999999999</v>
      </c>
      <c r="AA36" s="23"/>
      <c r="AB36" s="24"/>
      <c r="AJ36" s="23"/>
    </row>
    <row r="37" spans="1:36" ht="15.75" customHeight="1">
      <c r="A37" s="24"/>
      <c r="C37" s="1"/>
      <c r="Q37" s="36">
        <v>1.7898767905135671E-2</v>
      </c>
      <c r="R37" s="51"/>
      <c r="S37" s="54">
        <v>893</v>
      </c>
      <c r="T37" s="54">
        <v>955</v>
      </c>
      <c r="U37" s="54">
        <v>1103</v>
      </c>
      <c r="V37">
        <f t="shared" si="0"/>
        <v>62</v>
      </c>
      <c r="W37">
        <f t="shared" si="1"/>
        <v>148</v>
      </c>
      <c r="Z37" s="14">
        <v>1205.8499999999999</v>
      </c>
      <c r="AA37" s="23"/>
      <c r="AB37" s="24"/>
      <c r="AJ37" s="23"/>
    </row>
    <row r="38" spans="1:36" ht="15.75" customHeight="1">
      <c r="A38" s="24"/>
      <c r="C38" s="1"/>
      <c r="R38" s="24"/>
      <c r="S38" s="54">
        <v>881</v>
      </c>
      <c r="T38" s="54">
        <v>945</v>
      </c>
      <c r="U38" s="54">
        <v>1095</v>
      </c>
      <c r="V38">
        <f t="shared" si="0"/>
        <v>64</v>
      </c>
      <c r="W38">
        <f t="shared" si="1"/>
        <v>150</v>
      </c>
      <c r="Z38" s="14">
        <v>1195.1099999999999</v>
      </c>
      <c r="AA38" s="23"/>
      <c r="AB38" s="24"/>
      <c r="AJ38" s="23"/>
    </row>
    <row r="39" spans="1:36" ht="15.75" customHeight="1">
      <c r="A39" s="24"/>
      <c r="C39" s="1"/>
      <c r="R39" s="24"/>
      <c r="S39" s="54">
        <v>870</v>
      </c>
      <c r="T39" s="54">
        <v>934</v>
      </c>
      <c r="U39" s="54">
        <v>1087</v>
      </c>
      <c r="V39">
        <f t="shared" si="0"/>
        <v>64</v>
      </c>
      <c r="W39">
        <f t="shared" si="1"/>
        <v>153</v>
      </c>
      <c r="Z39" s="14">
        <v>1184.3699999999999</v>
      </c>
      <c r="AA39" s="23"/>
      <c r="AB39" s="24"/>
      <c r="AJ39" s="23"/>
    </row>
    <row r="40" spans="1:36" ht="15.75" customHeight="1">
      <c r="A40" s="24"/>
      <c r="C40" s="1"/>
      <c r="R40" s="24"/>
      <c r="S40" s="54">
        <v>858</v>
      </c>
      <c r="T40" s="54">
        <v>923</v>
      </c>
      <c r="U40" s="54">
        <v>1079</v>
      </c>
      <c r="V40">
        <f t="shared" si="0"/>
        <v>65</v>
      </c>
      <c r="W40">
        <f t="shared" si="1"/>
        <v>156</v>
      </c>
      <c r="Z40" s="14">
        <v>1173.6199999999999</v>
      </c>
      <c r="AA40" s="23"/>
      <c r="AB40" s="24"/>
      <c r="AJ40" s="23"/>
    </row>
    <row r="41" spans="1:36" ht="15.75" customHeight="1">
      <c r="A41" s="24"/>
      <c r="C41" s="1"/>
      <c r="R41" s="24"/>
      <c r="S41" s="54">
        <v>847</v>
      </c>
      <c r="T41" s="54">
        <v>913</v>
      </c>
      <c r="U41" s="54">
        <v>1071</v>
      </c>
      <c r="V41">
        <f t="shared" si="0"/>
        <v>66</v>
      </c>
      <c r="W41">
        <f t="shared" si="1"/>
        <v>158</v>
      </c>
      <c r="Z41" s="14">
        <v>1162.8800000000001</v>
      </c>
      <c r="AA41" s="23"/>
      <c r="AB41" s="24"/>
      <c r="AJ41" s="23"/>
    </row>
    <row r="42" spans="1:36" ht="15.75" customHeight="1" thickBot="1">
      <c r="A42" s="28"/>
      <c r="B42" s="29"/>
      <c r="C42" s="30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4"/>
      <c r="S42" s="54">
        <v>835</v>
      </c>
      <c r="T42" s="54">
        <v>902</v>
      </c>
      <c r="U42" s="54">
        <v>1062</v>
      </c>
      <c r="V42">
        <f t="shared" si="0"/>
        <v>67</v>
      </c>
      <c r="W42">
        <f t="shared" si="1"/>
        <v>160</v>
      </c>
      <c r="Z42" s="14">
        <v>1152.1400000000001</v>
      </c>
      <c r="AA42" s="23"/>
      <c r="AB42" s="24"/>
      <c r="AJ42" s="23"/>
    </row>
    <row r="43" spans="1:36" ht="15.75" customHeight="1">
      <c r="C43" s="1"/>
      <c r="R43" s="24"/>
      <c r="S43" s="54">
        <v>823</v>
      </c>
      <c r="T43" s="54">
        <v>891</v>
      </c>
      <c r="U43" s="54">
        <v>1054</v>
      </c>
      <c r="V43">
        <f t="shared" si="0"/>
        <v>68</v>
      </c>
      <c r="W43">
        <f t="shared" si="1"/>
        <v>163</v>
      </c>
      <c r="Z43" s="14">
        <v>1141.4000000000001</v>
      </c>
      <c r="AA43" s="23"/>
      <c r="AB43" s="24"/>
      <c r="AJ43" s="23"/>
    </row>
    <row r="44" spans="1:36" ht="15.75" customHeight="1">
      <c r="C44" s="1"/>
      <c r="R44" s="24"/>
      <c r="S44" s="54">
        <v>812</v>
      </c>
      <c r="T44" s="54">
        <v>881</v>
      </c>
      <c r="U44" s="54">
        <v>1046</v>
      </c>
      <c r="V44">
        <f t="shared" si="0"/>
        <v>69</v>
      </c>
      <c r="W44">
        <f t="shared" si="1"/>
        <v>165</v>
      </c>
      <c r="Z44" s="14">
        <v>1130.6500000000001</v>
      </c>
      <c r="AA44" s="23"/>
      <c r="AB44" s="24"/>
      <c r="AJ44" s="23"/>
    </row>
    <row r="45" spans="1:36" ht="15.75" customHeight="1">
      <c r="C45" s="1"/>
      <c r="R45" s="24"/>
      <c r="S45" s="54">
        <v>800</v>
      </c>
      <c r="T45" s="54">
        <v>870</v>
      </c>
      <c r="U45" s="54">
        <v>1038</v>
      </c>
      <c r="V45">
        <f t="shared" si="0"/>
        <v>70</v>
      </c>
      <c r="W45">
        <f t="shared" si="1"/>
        <v>168</v>
      </c>
      <c r="Z45" s="14">
        <v>1119.9100000000001</v>
      </c>
      <c r="AA45" s="23"/>
      <c r="AB45" s="24"/>
      <c r="AJ45" s="23"/>
    </row>
    <row r="46" spans="1:36" ht="15.75" customHeight="1">
      <c r="C46" s="1"/>
      <c r="R46" s="24"/>
      <c r="AA46" s="23"/>
      <c r="AB46" s="24"/>
      <c r="AJ46" s="23"/>
    </row>
    <row r="47" spans="1:36" ht="15.75" customHeight="1" thickBot="1">
      <c r="C47" s="1"/>
      <c r="R47" s="28"/>
      <c r="S47" s="29"/>
      <c r="T47" s="29"/>
      <c r="U47" s="29"/>
      <c r="V47" s="29"/>
      <c r="W47" s="29"/>
      <c r="X47" s="29"/>
      <c r="Y47" s="29"/>
      <c r="Z47" s="29"/>
      <c r="AA47" s="31"/>
      <c r="AB47" s="24"/>
      <c r="AJ47" s="23"/>
    </row>
    <row r="48" spans="1:36" ht="15.75" customHeight="1">
      <c r="C48" s="1"/>
      <c r="AB48" s="24"/>
      <c r="AJ48" s="23"/>
    </row>
    <row r="49" spans="3:36" ht="15.75" customHeight="1">
      <c r="C49" s="1"/>
      <c r="AB49" s="24"/>
      <c r="AJ49" s="23"/>
    </row>
    <row r="50" spans="3:36" ht="15.75" customHeight="1">
      <c r="C50" s="1"/>
      <c r="AB50" s="24"/>
      <c r="AJ50" s="23"/>
    </row>
    <row r="51" spans="3:36" ht="15.75" customHeight="1">
      <c r="C51" s="1"/>
      <c r="AB51" s="24"/>
      <c r="AJ51" s="23"/>
    </row>
    <row r="52" spans="3:36" ht="15.75" customHeight="1">
      <c r="C52" s="1"/>
      <c r="AB52" s="24"/>
      <c r="AJ52" s="23"/>
    </row>
    <row r="53" spans="3:36" ht="15.75" customHeight="1">
      <c r="C53" s="1"/>
      <c r="AB53" s="24"/>
      <c r="AJ53" s="23"/>
    </row>
    <row r="54" spans="3:36" ht="15.75" customHeight="1">
      <c r="C54" s="1"/>
      <c r="AB54" s="24"/>
      <c r="AJ54" s="23"/>
    </row>
    <row r="55" spans="3:36" ht="15.75" customHeight="1">
      <c r="C55" s="1"/>
      <c r="AB55" s="24"/>
      <c r="AJ55" s="23"/>
    </row>
    <row r="56" spans="3:36" ht="15.75" customHeight="1">
      <c r="C56" s="1"/>
      <c r="AB56" s="24"/>
      <c r="AJ56" s="23"/>
    </row>
    <row r="57" spans="3:36" ht="15.75" customHeight="1">
      <c r="C57" s="1"/>
      <c r="AB57" s="24"/>
      <c r="AJ57" s="23"/>
    </row>
    <row r="58" spans="3:36" ht="15.75" customHeight="1">
      <c r="C58" s="1"/>
      <c r="AB58" s="24"/>
      <c r="AJ58" s="23"/>
    </row>
    <row r="59" spans="3:36" ht="15.75" customHeight="1">
      <c r="C59" s="1"/>
      <c r="AB59" s="24"/>
      <c r="AJ59" s="23"/>
    </row>
    <row r="60" spans="3:36" ht="15.75" customHeight="1">
      <c r="C60" s="1"/>
      <c r="AB60" s="24"/>
      <c r="AJ60" s="23"/>
    </row>
    <row r="61" spans="3:36" ht="15.75" customHeight="1">
      <c r="C61" s="1"/>
      <c r="AB61" s="24"/>
      <c r="AJ61" s="23"/>
    </row>
    <row r="62" spans="3:36" ht="15.75" customHeight="1">
      <c r="C62" s="1"/>
      <c r="AB62" s="24"/>
      <c r="AJ62" s="23"/>
    </row>
    <row r="63" spans="3:36" ht="15.75" customHeight="1">
      <c r="C63" s="1"/>
      <c r="AB63" s="24"/>
      <c r="AJ63" s="23"/>
    </row>
    <row r="64" spans="3:36" ht="15.75" customHeight="1" thickBot="1">
      <c r="C64" s="1"/>
      <c r="AB64" s="28"/>
      <c r="AC64" s="29"/>
      <c r="AD64" s="29"/>
      <c r="AE64" s="29"/>
      <c r="AF64" s="29"/>
      <c r="AG64" s="29"/>
      <c r="AH64" s="29"/>
      <c r="AI64" s="29"/>
      <c r="AJ64" s="3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</sheetData>
  <mergeCells count="4">
    <mergeCell ref="H4:J6"/>
    <mergeCell ref="S11:U11"/>
    <mergeCell ref="AC3:AG4"/>
    <mergeCell ref="U4:Y5"/>
  </mergeCells>
  <hyperlinks>
    <hyperlink ref="S11" r:id="rId1" xr:uid="{1F37028B-DFAF-4107-B282-16E51262F528}"/>
  </hyperlinks>
  <pageMargins left="0.7" right="0.7" top="0.75" bottom="0.75" header="0" footer="0"/>
  <pageSetup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1000"/>
  <sheetViews>
    <sheetView zoomScale="70" zoomScaleNormal="70" workbookViewId="0">
      <selection activeCell="G7" sqref="G7"/>
    </sheetView>
  </sheetViews>
  <sheetFormatPr defaultColWidth="14.42578125" defaultRowHeight="15" customHeight="1"/>
  <cols>
    <col min="1" max="1" width="8.7109375" customWidth="1"/>
    <col min="2" max="2" width="12" customWidth="1"/>
    <col min="3" max="3" width="13.28515625" customWidth="1"/>
    <col min="4" max="4" width="10.5703125" customWidth="1"/>
    <col min="5" max="5" width="12.140625" customWidth="1"/>
    <col min="6" max="6" width="10.5703125" customWidth="1"/>
    <col min="7" max="7" width="12.140625" customWidth="1"/>
    <col min="8" max="8" width="10.5703125" customWidth="1"/>
    <col min="9" max="9" width="12.140625" customWidth="1"/>
    <col min="10" max="11" width="10.5703125" customWidth="1"/>
    <col min="12" max="12" width="8.7109375" customWidth="1"/>
    <col min="13" max="14" width="10.140625" customWidth="1"/>
    <col min="15" max="51" width="8.7109375" customWidth="1"/>
  </cols>
  <sheetData>
    <row r="1" spans="1:52" ht="13.5" customHeight="1" thickBot="1">
      <c r="A1" s="19"/>
      <c r="B1" s="77" t="s">
        <v>57</v>
      </c>
      <c r="C1" s="81"/>
      <c r="D1" s="81"/>
      <c r="E1" s="81"/>
      <c r="F1" s="82"/>
      <c r="G1" s="34" t="s">
        <v>58</v>
      </c>
      <c r="H1" s="20"/>
      <c r="I1" s="20"/>
      <c r="J1" s="20"/>
      <c r="K1" s="20"/>
      <c r="L1" s="20"/>
      <c r="M1" s="20"/>
      <c r="N1" s="20"/>
      <c r="O1" s="20"/>
      <c r="P1" s="20"/>
      <c r="Q1" s="22"/>
      <c r="R1" s="48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  <c r="AL1" s="19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2"/>
    </row>
    <row r="2" spans="1:52">
      <c r="A2" s="51" t="s">
        <v>59</v>
      </c>
      <c r="B2" s="6">
        <v>1</v>
      </c>
      <c r="C2" s="6">
        <v>1</v>
      </c>
      <c r="D2" s="6">
        <v>1</v>
      </c>
      <c r="E2" s="6">
        <v>1</v>
      </c>
      <c r="F2" s="6">
        <v>15</v>
      </c>
      <c r="G2" s="6">
        <v>1</v>
      </c>
      <c r="Q2" s="23"/>
      <c r="R2" s="51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52"/>
      <c r="AL2" s="24"/>
      <c r="AN2" s="61" t="s">
        <v>17</v>
      </c>
      <c r="AO2" s="62"/>
      <c r="AP2" s="62"/>
      <c r="AQ2" s="62"/>
      <c r="AR2" s="63"/>
      <c r="AZ2" s="23"/>
    </row>
    <row r="3" spans="1:52" ht="15.75" thickBot="1">
      <c r="A3" s="51" t="s">
        <v>60</v>
      </c>
      <c r="B3" s="7">
        <v>0.25</v>
      </c>
      <c r="C3" s="7">
        <v>2</v>
      </c>
      <c r="D3" s="7">
        <v>4</v>
      </c>
      <c r="E3" s="7">
        <v>8</v>
      </c>
      <c r="F3" s="7">
        <v>60</v>
      </c>
      <c r="G3" s="7">
        <v>6</v>
      </c>
      <c r="Q3" s="23"/>
      <c r="R3" s="51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52"/>
      <c r="AL3" s="24"/>
      <c r="AN3" s="67"/>
      <c r="AO3" s="68"/>
      <c r="AP3" s="68"/>
      <c r="AQ3" s="68"/>
      <c r="AR3" s="69"/>
      <c r="AZ3" s="23"/>
    </row>
    <row r="4" spans="1:52" ht="15.75" thickBot="1">
      <c r="A4" s="35"/>
      <c r="B4" s="8"/>
      <c r="C4" s="8"/>
      <c r="D4" s="8"/>
      <c r="E4" s="8"/>
      <c r="F4" s="8"/>
      <c r="Q4" s="23"/>
      <c r="R4" s="51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52"/>
      <c r="AL4" s="24"/>
      <c r="AZ4" s="23"/>
    </row>
    <row r="5" spans="1:52" ht="15.75" thickBot="1">
      <c r="A5" s="35"/>
      <c r="B5" s="8"/>
      <c r="C5" s="8"/>
      <c r="D5" s="8"/>
      <c r="E5" s="8"/>
      <c r="F5" s="8"/>
      <c r="Q5" s="23"/>
      <c r="R5" s="51"/>
      <c r="S5" s="36"/>
      <c r="T5" s="36"/>
      <c r="U5" s="36"/>
      <c r="V5" s="36"/>
      <c r="W5" s="61" t="s">
        <v>16</v>
      </c>
      <c r="X5" s="62"/>
      <c r="Y5" s="62"/>
      <c r="Z5" s="62"/>
      <c r="AA5" s="63"/>
      <c r="AB5" s="36"/>
      <c r="AC5" s="36"/>
      <c r="AD5" s="36"/>
      <c r="AE5" s="36"/>
      <c r="AF5" s="36"/>
      <c r="AG5" s="36"/>
      <c r="AH5" s="36"/>
      <c r="AI5" s="36"/>
      <c r="AJ5" s="36"/>
      <c r="AK5" s="52"/>
      <c r="AL5" s="24"/>
      <c r="AZ5" s="23"/>
    </row>
    <row r="6" spans="1:52" ht="15.75" thickBot="1">
      <c r="A6" s="24"/>
      <c r="C6" s="1" t="s">
        <v>61</v>
      </c>
      <c r="I6" s="61" t="s">
        <v>15</v>
      </c>
      <c r="J6" s="62"/>
      <c r="K6" s="63"/>
      <c r="Q6" s="23"/>
      <c r="R6" s="51"/>
      <c r="S6" s="36"/>
      <c r="T6" s="36"/>
      <c r="U6" s="36"/>
      <c r="V6" s="36"/>
      <c r="W6" s="67"/>
      <c r="X6" s="68"/>
      <c r="Y6" s="68"/>
      <c r="Z6" s="68"/>
      <c r="AA6" s="69"/>
      <c r="AB6" s="36"/>
      <c r="AC6" s="36"/>
      <c r="AD6" s="36"/>
      <c r="AE6" s="36"/>
      <c r="AF6" s="36"/>
      <c r="AG6" s="36"/>
      <c r="AH6" s="36"/>
      <c r="AI6" s="36"/>
      <c r="AJ6" s="36"/>
      <c r="AK6" s="52"/>
      <c r="AL6" s="24"/>
      <c r="AZ6" s="23"/>
    </row>
    <row r="7" spans="1:52">
      <c r="A7" s="51" t="s">
        <v>11</v>
      </c>
      <c r="B7" s="36" t="s">
        <v>62</v>
      </c>
      <c r="C7" s="1" t="s">
        <v>13</v>
      </c>
      <c r="I7" s="64"/>
      <c r="J7" s="65"/>
      <c r="K7" s="66"/>
      <c r="Q7" s="23"/>
      <c r="R7" s="5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52"/>
      <c r="AL7" s="24"/>
      <c r="AZ7" s="23"/>
    </row>
    <row r="8" spans="1:52" ht="15.75" thickBot="1">
      <c r="A8" s="51">
        <v>2017</v>
      </c>
      <c r="B8" s="36" t="s">
        <v>63</v>
      </c>
      <c r="C8" s="1">
        <v>1612.5417297961289</v>
      </c>
      <c r="I8" s="67"/>
      <c r="J8" s="68"/>
      <c r="K8" s="69"/>
      <c r="Q8" s="23"/>
      <c r="R8" s="5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52"/>
      <c r="AL8" s="24"/>
      <c r="AZ8" s="23"/>
    </row>
    <row r="9" spans="1:52">
      <c r="A9" s="51">
        <v>2017</v>
      </c>
      <c r="B9" s="36" t="s">
        <v>64</v>
      </c>
      <c r="C9" s="1">
        <v>1646.6692865622003</v>
      </c>
      <c r="Q9" s="23"/>
      <c r="R9" s="5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52"/>
      <c r="AL9" s="24"/>
      <c r="AZ9" s="23"/>
    </row>
    <row r="10" spans="1:52">
      <c r="A10" s="51">
        <v>2018</v>
      </c>
      <c r="B10" s="36" t="s">
        <v>63</v>
      </c>
      <c r="C10" s="1">
        <v>1353.2926265211997</v>
      </c>
      <c r="Q10" s="23"/>
      <c r="R10" s="5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52"/>
      <c r="AL10" s="24"/>
      <c r="AZ10" s="23"/>
    </row>
    <row r="11" spans="1:52">
      <c r="A11" s="51">
        <v>2018</v>
      </c>
      <c r="B11" s="36" t="s">
        <v>64</v>
      </c>
      <c r="C11" s="1">
        <v>1387.0451587323998</v>
      </c>
      <c r="Q11" s="23"/>
      <c r="R11" s="5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52"/>
      <c r="AL11" s="24"/>
      <c r="AZ11" s="23"/>
    </row>
    <row r="12" spans="1:52">
      <c r="A12" s="51">
        <v>2019</v>
      </c>
      <c r="B12" s="36" t="s">
        <v>63</v>
      </c>
      <c r="C12" s="1">
        <v>1363.016639671039</v>
      </c>
      <c r="Q12" s="23"/>
      <c r="R12" s="51"/>
      <c r="S12" s="36"/>
      <c r="T12" s="36"/>
      <c r="U12" s="36"/>
      <c r="V12" s="36"/>
      <c r="W12" s="36"/>
      <c r="X12" s="78" t="s">
        <v>65</v>
      </c>
      <c r="Y12" s="78"/>
      <c r="Z12" s="78"/>
      <c r="AA12" s="78"/>
      <c r="AB12" s="78"/>
      <c r="AC12" s="36"/>
      <c r="AD12" s="36"/>
      <c r="AE12" s="36"/>
      <c r="AF12" s="36"/>
      <c r="AG12" s="36"/>
      <c r="AH12" s="36" t="s">
        <v>19</v>
      </c>
      <c r="AI12" s="36"/>
      <c r="AJ12" s="36"/>
      <c r="AK12" s="52"/>
      <c r="AL12" s="24"/>
      <c r="AZ12" s="23"/>
    </row>
    <row r="13" spans="1:52">
      <c r="A13" s="51">
        <v>2019</v>
      </c>
      <c r="B13" s="36" t="s">
        <v>64</v>
      </c>
      <c r="C13" s="1">
        <v>1424.0140231441387</v>
      </c>
      <c r="Q13" s="23"/>
      <c r="R13" s="51"/>
      <c r="S13" s="36"/>
      <c r="T13" s="36"/>
      <c r="U13" s="36"/>
      <c r="V13" s="36"/>
      <c r="W13" s="36"/>
      <c r="X13" s="78"/>
      <c r="Y13" s="78"/>
      <c r="Z13" s="78"/>
      <c r="AA13" s="78"/>
      <c r="AB13" s="78"/>
      <c r="AC13" s="36"/>
      <c r="AD13" s="36"/>
      <c r="AE13" s="36"/>
      <c r="AF13" s="36"/>
      <c r="AG13" s="36"/>
      <c r="AH13" s="79" t="s">
        <v>20</v>
      </c>
      <c r="AI13" s="79"/>
      <c r="AJ13" s="79"/>
      <c r="AK13" s="52"/>
      <c r="AL13" s="24"/>
      <c r="AZ13" s="23"/>
    </row>
    <row r="14" spans="1:52">
      <c r="A14" s="24"/>
      <c r="C14" s="1"/>
      <c r="I14" t="s">
        <v>66</v>
      </c>
      <c r="J14" t="str">
        <f t="shared" ref="J14:P14" si="0">J15&amp;" "&amp;J16</f>
        <v>2021 IRP Flow</v>
      </c>
      <c r="K14" t="s">
        <v>25</v>
      </c>
      <c r="L14" t="str">
        <f t="shared" si="0"/>
        <v>2021 IRP Flow</v>
      </c>
      <c r="M14" t="s">
        <v>26</v>
      </c>
      <c r="N14" t="str">
        <f>N15&amp;" "&amp;N16&amp;" "&amp;N17</f>
        <v>2023 IRP Li-Ion LFP 8-hour</v>
      </c>
      <c r="O14" t="str">
        <f t="shared" si="0"/>
        <v>2023 IRP Flow</v>
      </c>
      <c r="P14" t="str">
        <f t="shared" si="0"/>
        <v>2023 IRP Flow</v>
      </c>
      <c r="Q14" s="23"/>
      <c r="R14" s="51"/>
      <c r="S14" s="36"/>
      <c r="T14" s="36"/>
      <c r="U14" s="36"/>
      <c r="V14" s="36"/>
      <c r="W14" s="36"/>
      <c r="X14" s="37" t="s">
        <v>67</v>
      </c>
      <c r="Y14" s="36"/>
      <c r="Z14" s="36"/>
      <c r="AA14" s="36"/>
      <c r="AB14" s="36"/>
      <c r="AC14" s="36"/>
      <c r="AD14" s="36"/>
      <c r="AE14" s="36"/>
      <c r="AF14" s="36"/>
      <c r="AG14" s="36"/>
      <c r="AH14" s="36" t="s">
        <v>68</v>
      </c>
      <c r="AI14" s="36"/>
      <c r="AJ14" s="36"/>
      <c r="AK14" s="52"/>
      <c r="AL14" s="24"/>
      <c r="AZ14" s="23"/>
    </row>
    <row r="15" spans="1:52">
      <c r="A15" s="51" t="s">
        <v>21</v>
      </c>
      <c r="C15" s="1" t="s">
        <v>22</v>
      </c>
      <c r="D15" s="1" t="s">
        <v>22</v>
      </c>
      <c r="E15" s="36" t="s">
        <v>23</v>
      </c>
      <c r="F15" s="36" t="s">
        <v>23</v>
      </c>
      <c r="G15" s="36" t="s">
        <v>24</v>
      </c>
      <c r="H15" s="36" t="s">
        <v>24</v>
      </c>
      <c r="I15" s="36" t="s">
        <v>25</v>
      </c>
      <c r="J15" s="36" t="s">
        <v>25</v>
      </c>
      <c r="K15" s="36" t="s">
        <v>25</v>
      </c>
      <c r="L15" s="36" t="s">
        <v>25</v>
      </c>
      <c r="M15" s="36" t="s">
        <v>26</v>
      </c>
      <c r="N15" s="36" t="s">
        <v>26</v>
      </c>
      <c r="O15" s="36" t="s">
        <v>26</v>
      </c>
      <c r="P15" s="36" t="s">
        <v>26</v>
      </c>
      <c r="Q15" s="23"/>
      <c r="R15" s="51"/>
      <c r="S15" s="36" t="s">
        <v>69</v>
      </c>
      <c r="T15" s="36"/>
      <c r="U15" s="36" t="s">
        <v>28</v>
      </c>
      <c r="V15" s="36"/>
      <c r="W15" s="36"/>
      <c r="X15" s="36" t="s">
        <v>70</v>
      </c>
      <c r="Y15" s="36"/>
      <c r="Z15" s="36"/>
      <c r="AA15" s="36"/>
      <c r="AB15" s="36"/>
      <c r="AC15" s="36"/>
      <c r="AD15" s="36" t="s">
        <v>71</v>
      </c>
      <c r="AE15" s="36"/>
      <c r="AF15" s="36"/>
      <c r="AG15" s="36"/>
      <c r="AH15" s="36" t="s">
        <v>35</v>
      </c>
      <c r="AI15" s="36" t="s">
        <v>36</v>
      </c>
      <c r="AJ15" s="36" t="s">
        <v>37</v>
      </c>
      <c r="AK15" s="52"/>
      <c r="AL15" s="24"/>
      <c r="AZ15" s="23"/>
    </row>
    <row r="16" spans="1:52">
      <c r="A16" s="51" t="s">
        <v>31</v>
      </c>
      <c r="C16" s="1" t="s">
        <v>72</v>
      </c>
      <c r="D16" s="36" t="s">
        <v>64</v>
      </c>
      <c r="E16" s="1" t="s">
        <v>72</v>
      </c>
      <c r="F16" s="36" t="s">
        <v>64</v>
      </c>
      <c r="G16" s="1" t="s">
        <v>72</v>
      </c>
      <c r="H16" s="36" t="s">
        <v>64</v>
      </c>
      <c r="I16" s="1" t="s">
        <v>72</v>
      </c>
      <c r="J16" s="36" t="s">
        <v>64</v>
      </c>
      <c r="K16" s="1" t="s">
        <v>72</v>
      </c>
      <c r="L16" s="36" t="s">
        <v>64</v>
      </c>
      <c r="M16" s="1" t="s">
        <v>73</v>
      </c>
      <c r="N16" s="1" t="s">
        <v>73</v>
      </c>
      <c r="O16" s="36" t="s">
        <v>64</v>
      </c>
      <c r="P16" s="36" t="s">
        <v>64</v>
      </c>
      <c r="Q16" s="23"/>
      <c r="R16" s="5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>
        <v>2021</v>
      </c>
      <c r="AH16" s="36">
        <v>322.051049922</v>
      </c>
      <c r="AI16" s="36">
        <v>322.051049922</v>
      </c>
      <c r="AJ16" s="36">
        <v>322.051049922</v>
      </c>
      <c r="AK16" s="52"/>
      <c r="AL16" s="24"/>
      <c r="AZ16" s="23"/>
    </row>
    <row r="17" spans="1:52">
      <c r="A17" s="24"/>
      <c r="C17" s="1"/>
      <c r="E17" s="1"/>
      <c r="G17" s="1"/>
      <c r="I17" s="1"/>
      <c r="K17" s="1"/>
      <c r="M17" s="2" t="s">
        <v>74</v>
      </c>
      <c r="N17" s="36" t="s">
        <v>75</v>
      </c>
      <c r="O17" s="2" t="s">
        <v>74</v>
      </c>
      <c r="P17" s="2" t="s">
        <v>75</v>
      </c>
      <c r="Q17" s="23"/>
      <c r="R17" s="5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>
        <v>2022</v>
      </c>
      <c r="AH17" s="36">
        <v>361.97092399999997</v>
      </c>
      <c r="AI17" s="36">
        <v>361.97092399999997</v>
      </c>
      <c r="AJ17" s="36">
        <v>361.97092399999997</v>
      </c>
      <c r="AK17" s="52"/>
      <c r="AL17" s="24"/>
      <c r="AZ17" s="23"/>
    </row>
    <row r="18" spans="1:52">
      <c r="A18" s="51">
        <v>2016</v>
      </c>
      <c r="C18" s="2">
        <v>1083</v>
      </c>
      <c r="D18" s="2">
        <v>1217</v>
      </c>
      <c r="E18" s="2"/>
      <c r="F18" s="2"/>
      <c r="G18" s="9"/>
      <c r="H18" s="9"/>
      <c r="I18" s="9" t="e">
        <f>NA()</f>
        <v>#N/A</v>
      </c>
      <c r="J18" s="9" t="e">
        <f>NA()</f>
        <v>#N/A</v>
      </c>
      <c r="K18" s="9" t="e">
        <f>NA()</f>
        <v>#N/A</v>
      </c>
      <c r="L18" s="9" t="e">
        <f>NA()</f>
        <v>#N/A</v>
      </c>
      <c r="M18" s="9" t="e">
        <f>NA()</f>
        <v>#N/A</v>
      </c>
      <c r="N18" s="9" t="e">
        <f>NA()</f>
        <v>#N/A</v>
      </c>
      <c r="O18" s="9" t="e">
        <f>NA()</f>
        <v>#N/A</v>
      </c>
      <c r="P18" s="9" t="e">
        <f>NA()</f>
        <v>#N/A</v>
      </c>
      <c r="Q18" s="23"/>
      <c r="R18" s="51"/>
      <c r="S18" s="36"/>
      <c r="T18" s="36"/>
      <c r="U18" s="9" t="e">
        <f>NA()</f>
        <v>#N/A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>
        <v>2023</v>
      </c>
      <c r="AH18" s="36">
        <v>260.46296609248913</v>
      </c>
      <c r="AI18" s="36">
        <v>346.56710630758812</v>
      </c>
      <c r="AJ18" s="36">
        <v>375.50474243086495</v>
      </c>
      <c r="AK18" s="52"/>
      <c r="AL18" s="80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23"/>
    </row>
    <row r="19" spans="1:52">
      <c r="A19" s="51">
        <f t="shared" ref="A19:A34" si="1">A18+1</f>
        <v>2017</v>
      </c>
      <c r="C19" s="2"/>
      <c r="D19" s="2"/>
      <c r="E19" s="2">
        <v>862.21937999999989</v>
      </c>
      <c r="F19" s="2">
        <v>1080.01938</v>
      </c>
      <c r="G19" s="9"/>
      <c r="H19" s="9"/>
      <c r="I19" s="9" t="e">
        <f>NA()</f>
        <v>#N/A</v>
      </c>
      <c r="J19" s="9" t="e">
        <f>NA()</f>
        <v>#N/A</v>
      </c>
      <c r="K19" s="9" t="e">
        <f>NA()</f>
        <v>#N/A</v>
      </c>
      <c r="L19" s="9" t="e">
        <f>NA()</f>
        <v>#N/A</v>
      </c>
      <c r="M19" s="9" t="e">
        <f>NA()</f>
        <v>#N/A</v>
      </c>
      <c r="N19" s="9" t="e">
        <f>NA()</f>
        <v>#N/A</v>
      </c>
      <c r="O19" s="9" t="e">
        <f>NA()</f>
        <v>#N/A</v>
      </c>
      <c r="P19" s="9" t="e">
        <f>NA()</f>
        <v>#N/A</v>
      </c>
      <c r="Q19" s="23"/>
      <c r="R19" s="51"/>
      <c r="S19" s="36"/>
      <c r="T19" s="36"/>
      <c r="U19" s="9" t="e">
        <f>NA()</f>
        <v>#N/A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>
        <v>2024</v>
      </c>
      <c r="AH19" s="36">
        <v>245.91306679398286</v>
      </c>
      <c r="AI19" s="36">
        <v>329.40171900524172</v>
      </c>
      <c r="AJ19" s="36">
        <v>378.0324932334558</v>
      </c>
      <c r="AK19" s="53"/>
      <c r="AL19" s="24"/>
      <c r="AZ19" s="23"/>
    </row>
    <row r="20" spans="1:52">
      <c r="A20" s="51">
        <f t="shared" si="1"/>
        <v>2018</v>
      </c>
      <c r="C20" s="2"/>
      <c r="D20" s="2"/>
      <c r="E20" s="2"/>
      <c r="F20" s="2"/>
      <c r="G20" s="2">
        <f>J40/4</f>
        <v>852.92234757075028</v>
      </c>
      <c r="H20" s="2">
        <f>K40/4</f>
        <v>998.99000638449183</v>
      </c>
      <c r="I20" s="9" t="e">
        <f>NA()</f>
        <v>#N/A</v>
      </c>
      <c r="J20" s="9" t="e">
        <f>NA()</f>
        <v>#N/A</v>
      </c>
      <c r="K20" s="9" t="e">
        <f>NA()</f>
        <v>#N/A</v>
      </c>
      <c r="L20" s="9" t="e">
        <f>NA()</f>
        <v>#N/A</v>
      </c>
      <c r="M20" s="9" t="e">
        <f>NA()</f>
        <v>#N/A</v>
      </c>
      <c r="N20" s="9" t="e">
        <f>NA()</f>
        <v>#N/A</v>
      </c>
      <c r="O20" s="9" t="e">
        <f>NA()</f>
        <v>#N/A</v>
      </c>
      <c r="P20" s="9" t="e">
        <f>NA()</f>
        <v>#N/A</v>
      </c>
      <c r="Q20" s="23"/>
      <c r="R20" s="51"/>
      <c r="S20" s="36"/>
      <c r="T20" s="36"/>
      <c r="U20" s="9" t="e">
        <f>NA()</f>
        <v>#N/A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>
        <v>2025</v>
      </c>
      <c r="AH20" s="36">
        <v>233.48491792420046</v>
      </c>
      <c r="AI20" s="36">
        <v>286.97036539931014</v>
      </c>
      <c r="AJ20" s="36">
        <v>372.50804025003765</v>
      </c>
      <c r="AK20" s="52"/>
      <c r="AL20" s="24"/>
      <c r="AZ20" s="23"/>
    </row>
    <row r="21" spans="1:52" ht="15.75" customHeight="1">
      <c r="A21" s="51">
        <f t="shared" si="1"/>
        <v>2019</v>
      </c>
      <c r="C21" s="2"/>
      <c r="D21" s="2"/>
      <c r="E21" s="2"/>
      <c r="F21" s="2"/>
      <c r="G21" s="2">
        <f t="shared" ref="G21:G30" si="2">G$20*I41</f>
        <v>791.54233440522387</v>
      </c>
      <c r="H21" s="2">
        <f t="shared" ref="H21:H30" si="3">H$20*I41</f>
        <v>927.09832724306443</v>
      </c>
      <c r="I21" s="9" t="e">
        <f>NA()</f>
        <v>#N/A</v>
      </c>
      <c r="J21" s="9" t="e">
        <f>NA()</f>
        <v>#N/A</v>
      </c>
      <c r="K21" s="9" t="e">
        <f>NA()</f>
        <v>#N/A</v>
      </c>
      <c r="L21" s="9" t="e">
        <f>NA()</f>
        <v>#N/A</v>
      </c>
      <c r="M21" s="9" t="e">
        <f>NA()</f>
        <v>#N/A</v>
      </c>
      <c r="N21" s="9" t="e">
        <f>NA()</f>
        <v>#N/A</v>
      </c>
      <c r="O21" s="9" t="e">
        <f>NA()</f>
        <v>#N/A</v>
      </c>
      <c r="P21" s="9" t="e">
        <f>NA()</f>
        <v>#N/A</v>
      </c>
      <c r="Q21" s="23"/>
      <c r="R21" s="51"/>
      <c r="S21" s="9" t="e">
        <f>NA()</f>
        <v>#N/A</v>
      </c>
      <c r="T21" s="36"/>
      <c r="U21" s="9" t="e">
        <f>NA()</f>
        <v>#N/A</v>
      </c>
      <c r="V21" s="9" t="e">
        <f>NA()</f>
        <v>#N/A</v>
      </c>
      <c r="W21" s="9" t="e">
        <f>NA()</f>
        <v>#N/A</v>
      </c>
      <c r="X21" s="9" t="e">
        <f>NA()</f>
        <v>#N/A</v>
      </c>
      <c r="Y21" s="9" t="e">
        <f>NA()</f>
        <v>#N/A</v>
      </c>
      <c r="Z21" s="9" t="e">
        <f>NA()</f>
        <v>#N/A</v>
      </c>
      <c r="AA21" s="54" t="s">
        <v>45</v>
      </c>
      <c r="AB21" s="54" t="s">
        <v>46</v>
      </c>
      <c r="AC21" s="54"/>
      <c r="AD21" s="54">
        <f>1331/4</f>
        <v>332.75</v>
      </c>
      <c r="AE21" s="54"/>
      <c r="AF21" s="54"/>
      <c r="AG21" s="36">
        <v>2026</v>
      </c>
      <c r="AH21" s="36">
        <v>223.49180282747199</v>
      </c>
      <c r="AI21" s="36">
        <v>275.12638406031789</v>
      </c>
      <c r="AJ21" s="36">
        <v>356.95913036150495</v>
      </c>
      <c r="AK21" s="52"/>
      <c r="AL21" s="24"/>
      <c r="AZ21" s="23"/>
    </row>
    <row r="22" spans="1:52" ht="15.75" customHeight="1">
      <c r="A22" s="51">
        <f t="shared" si="1"/>
        <v>2020</v>
      </c>
      <c r="C22" s="2"/>
      <c r="D22" s="2"/>
      <c r="E22" s="2"/>
      <c r="F22" s="2"/>
      <c r="G22" s="2">
        <f t="shared" si="2"/>
        <v>730.16232123969769</v>
      </c>
      <c r="H22" s="2">
        <f t="shared" si="3"/>
        <v>855.20664810163737</v>
      </c>
      <c r="I22" s="2">
        <f>N42/4</f>
        <v>791.72249999999997</v>
      </c>
      <c r="J22" s="2">
        <f>O42/4</f>
        <v>1262.8150000000001</v>
      </c>
      <c r="K22" s="2">
        <f>P42/4</f>
        <v>454.94034185402762</v>
      </c>
      <c r="L22" s="2">
        <f>Q42*20/160</f>
        <v>523.77801938297739</v>
      </c>
      <c r="M22" s="9" t="e">
        <f>NA()</f>
        <v>#N/A</v>
      </c>
      <c r="N22" s="9" t="e">
        <f>NA()</f>
        <v>#N/A</v>
      </c>
      <c r="O22" s="9" t="e">
        <f>NA()</f>
        <v>#N/A</v>
      </c>
      <c r="P22" s="9" t="e">
        <f>NA()</f>
        <v>#N/A</v>
      </c>
      <c r="Q22" s="23"/>
      <c r="R22" s="51"/>
      <c r="S22" s="14">
        <v>318.95999999999998</v>
      </c>
      <c r="T22" s="36"/>
      <c r="U22" s="9" t="e">
        <f>NA()</f>
        <v>#N/A</v>
      </c>
      <c r="V22" s="9" t="e">
        <f>NA()</f>
        <v>#N/A</v>
      </c>
      <c r="W22" s="9" t="e">
        <f>NA()</f>
        <v>#N/A</v>
      </c>
      <c r="X22" s="9" t="e">
        <f>NA()</f>
        <v>#N/A</v>
      </c>
      <c r="Y22" s="9" t="e">
        <f>NA()</f>
        <v>#N/A</v>
      </c>
      <c r="Z22" s="9" t="e">
        <f>NA()</f>
        <v>#N/A</v>
      </c>
      <c r="AA22" s="9" t="e">
        <f>Y22-X22</f>
        <v>#N/A</v>
      </c>
      <c r="AB22" s="9" t="e">
        <f>Z22-Y22</f>
        <v>#N/A</v>
      </c>
      <c r="AC22" s="36"/>
      <c r="AD22" s="9" t="e">
        <f>NA()</f>
        <v>#N/A</v>
      </c>
      <c r="AE22" s="36"/>
      <c r="AF22" s="36"/>
      <c r="AG22" s="36">
        <v>2027</v>
      </c>
      <c r="AH22" s="36">
        <v>213.51187271131411</v>
      </c>
      <c r="AI22" s="36">
        <v>263.25962797168745</v>
      </c>
      <c r="AJ22" s="36">
        <v>341.43017488460595</v>
      </c>
      <c r="AK22" s="52"/>
      <c r="AL22" s="24"/>
      <c r="AZ22" s="23"/>
    </row>
    <row r="23" spans="1:52" ht="15.75" customHeight="1">
      <c r="A23" s="51">
        <f t="shared" si="1"/>
        <v>2021</v>
      </c>
      <c r="C23" s="2"/>
      <c r="D23" s="2"/>
      <c r="E23" s="2"/>
      <c r="F23" s="2"/>
      <c r="G23" s="2">
        <f t="shared" si="2"/>
        <v>702.93724548412467</v>
      </c>
      <c r="H23" s="2">
        <f t="shared" si="3"/>
        <v>823.31912788324826</v>
      </c>
      <c r="I23" s="2">
        <f t="shared" ref="I23:J32" si="4">I$22*$M43</f>
        <v>751.06647972972962</v>
      </c>
      <c r="J23" s="2">
        <f t="shared" si="4"/>
        <v>1197.9677432432431</v>
      </c>
      <c r="K23" s="2">
        <f t="shared" ref="K23:K32" si="5">$K$22*M43</f>
        <v>431.57854051557752</v>
      </c>
      <c r="L23" s="2">
        <f t="shared" ref="L23:L32" si="6">$L$22*M43</f>
        <v>496.88131027952716</v>
      </c>
      <c r="M23" s="9" t="e">
        <f>NA()</f>
        <v>#N/A</v>
      </c>
      <c r="N23" s="9" t="e">
        <f>NA()</f>
        <v>#N/A</v>
      </c>
      <c r="O23" s="9" t="e">
        <f>NA()</f>
        <v>#N/A</v>
      </c>
      <c r="P23" s="9" t="e">
        <f>NA()</f>
        <v>#N/A</v>
      </c>
      <c r="Q23" s="23"/>
      <c r="R23" s="51"/>
      <c r="S23" s="14">
        <v>318.95999999999998</v>
      </c>
      <c r="T23" s="36">
        <v>2021</v>
      </c>
      <c r="U23" s="54">
        <f>AI16</f>
        <v>322.051049922</v>
      </c>
      <c r="V23" s="9" t="e">
        <f>NA()</f>
        <v>#N/A</v>
      </c>
      <c r="W23" s="9" t="e">
        <f>NA()</f>
        <v>#N/A</v>
      </c>
      <c r="X23" s="9" t="e">
        <f>NA()</f>
        <v>#N/A</v>
      </c>
      <c r="Y23" s="9" t="e">
        <f>NA()</f>
        <v>#N/A</v>
      </c>
      <c r="Z23" s="9" t="e">
        <f>NA()</f>
        <v>#N/A</v>
      </c>
      <c r="AA23" s="9" t="e">
        <f t="shared" ref="AA23:AB34" si="7">Y23-X23</f>
        <v>#N/A</v>
      </c>
      <c r="AB23" s="9" t="e">
        <f t="shared" si="7"/>
        <v>#N/A</v>
      </c>
      <c r="AC23" s="36"/>
      <c r="AD23" s="9" t="e">
        <f>NA()</f>
        <v>#N/A</v>
      </c>
      <c r="AE23" s="36"/>
      <c r="AF23" s="36"/>
      <c r="AG23" s="36">
        <v>2028</v>
      </c>
      <c r="AH23" s="36">
        <v>203.50908203235855</v>
      </c>
      <c r="AI23" s="36">
        <v>251.36734402479217</v>
      </c>
      <c r="AJ23" s="36">
        <v>325.92328088864576</v>
      </c>
      <c r="AK23" s="52"/>
      <c r="AL23" s="24"/>
      <c r="AZ23" s="23"/>
    </row>
    <row r="24" spans="1:52" ht="15.75" customHeight="1">
      <c r="A24" s="51">
        <f t="shared" si="1"/>
        <v>2022</v>
      </c>
      <c r="C24" s="2"/>
      <c r="D24" s="2"/>
      <c r="E24" s="2"/>
      <c r="F24" s="2"/>
      <c r="G24" s="2">
        <f t="shared" si="2"/>
        <v>675.71216972855154</v>
      </c>
      <c r="H24" s="2">
        <f t="shared" si="3"/>
        <v>791.43160766485903</v>
      </c>
      <c r="I24" s="2">
        <f t="shared" si="4"/>
        <v>708.27066891891889</v>
      </c>
      <c r="J24" s="2">
        <f t="shared" si="4"/>
        <v>1129.7074729729729</v>
      </c>
      <c r="K24" s="2">
        <f t="shared" si="5"/>
        <v>406.98717068563008</v>
      </c>
      <c r="L24" s="2">
        <f t="shared" si="6"/>
        <v>468.56898490747437</v>
      </c>
      <c r="M24" s="2">
        <v>454.25</v>
      </c>
      <c r="N24" s="1">
        <f>(M24+(1486.43/4))/2</f>
        <v>412.92875000000004</v>
      </c>
      <c r="O24" s="2">
        <f>2458.15/4</f>
        <v>614.53750000000002</v>
      </c>
      <c r="P24" s="1">
        <f>(O24+(2059.63/4))/2</f>
        <v>564.72250000000008</v>
      </c>
      <c r="Q24" s="23"/>
      <c r="R24" s="51"/>
      <c r="S24" s="14">
        <v>318.95999999999998</v>
      </c>
      <c r="T24" s="36">
        <v>2022</v>
      </c>
      <c r="U24" s="54">
        <f t="shared" ref="U24:U34" si="8">AI17</f>
        <v>361.97092399999997</v>
      </c>
      <c r="V24" s="9" t="e">
        <f>NA()</f>
        <v>#N/A</v>
      </c>
      <c r="W24" s="9" t="e">
        <f>NA()</f>
        <v>#N/A</v>
      </c>
      <c r="X24" s="36">
        <v>482</v>
      </c>
      <c r="Y24" s="36">
        <v>482</v>
      </c>
      <c r="Z24" s="36">
        <v>482</v>
      </c>
      <c r="AA24" s="9">
        <f t="shared" si="7"/>
        <v>0</v>
      </c>
      <c r="AB24" s="9">
        <f t="shared" si="7"/>
        <v>0</v>
      </c>
      <c r="AC24" s="36"/>
      <c r="AD24" s="9" t="e">
        <f>NA()</f>
        <v>#N/A</v>
      </c>
      <c r="AE24" s="36"/>
      <c r="AF24" s="36"/>
      <c r="AG24" s="36">
        <v>2029</v>
      </c>
      <c r="AH24" s="36">
        <v>193.49964350847449</v>
      </c>
      <c r="AI24" s="36">
        <v>239.44631673642476</v>
      </c>
      <c r="AJ24" s="36">
        <v>310.44086292463334</v>
      </c>
      <c r="AK24" s="52"/>
      <c r="AL24" s="24"/>
      <c r="AZ24" s="23"/>
    </row>
    <row r="25" spans="1:52" ht="15.75" customHeight="1">
      <c r="A25" s="51">
        <f t="shared" si="1"/>
        <v>2023</v>
      </c>
      <c r="C25" s="2"/>
      <c r="D25" s="2"/>
      <c r="E25" s="2"/>
      <c r="F25" s="2"/>
      <c r="G25" s="2">
        <f t="shared" si="2"/>
        <v>648.48709397297864</v>
      </c>
      <c r="H25" s="2">
        <f t="shared" si="3"/>
        <v>759.54408744647003</v>
      </c>
      <c r="I25" s="2">
        <f t="shared" si="4"/>
        <v>667.61464864864865</v>
      </c>
      <c r="J25" s="2">
        <f t="shared" si="4"/>
        <v>1064.8602162162163</v>
      </c>
      <c r="K25" s="2">
        <f t="shared" si="5"/>
        <v>383.62536934718008</v>
      </c>
      <c r="L25" s="2">
        <f t="shared" si="6"/>
        <v>441.6722758040242</v>
      </c>
      <c r="M25" s="2">
        <f t="shared" ref="M25:M34" si="9">M$24*S45</f>
        <v>477.25098291185327</v>
      </c>
      <c r="N25" s="2">
        <f t="shared" ref="N25:N34" si="10">N$24*S45</f>
        <v>433.83742831054036</v>
      </c>
      <c r="O25" s="2">
        <f>O$24*$T45</f>
        <v>602.24674999999991</v>
      </c>
      <c r="P25" s="2">
        <f>P$24*$T45</f>
        <v>553.42804999999998</v>
      </c>
      <c r="Q25" s="52"/>
      <c r="R25" s="51"/>
      <c r="S25" s="14">
        <v>318.95999999999998</v>
      </c>
      <c r="T25" s="36">
        <v>2023</v>
      </c>
      <c r="U25" s="54">
        <f t="shared" si="8"/>
        <v>346.56710630758812</v>
      </c>
      <c r="V25" s="54">
        <f t="shared" ref="V25:V34" si="11">AI18-AH18</f>
        <v>86.104140215098994</v>
      </c>
      <c r="W25" s="36">
        <f t="shared" ref="W25:W34" si="12">AJ18-AI18</f>
        <v>28.937636123276832</v>
      </c>
      <c r="X25" s="36">
        <v>347</v>
      </c>
      <c r="Y25" s="36">
        <v>463</v>
      </c>
      <c r="Z25" s="36">
        <v>500</v>
      </c>
      <c r="AA25" s="9">
        <f t="shared" si="7"/>
        <v>116</v>
      </c>
      <c r="AB25" s="9">
        <f t="shared" si="7"/>
        <v>37</v>
      </c>
      <c r="AC25" s="36"/>
      <c r="AD25" s="9" t="e">
        <f>NA()</f>
        <v>#N/A</v>
      </c>
      <c r="AE25" s="36"/>
      <c r="AF25" s="36"/>
      <c r="AG25" s="36">
        <v>2030</v>
      </c>
      <c r="AH25" s="36">
        <v>183.80197439594465</v>
      </c>
      <c r="AI25" s="36">
        <v>227.49276692697981</v>
      </c>
      <c r="AJ25" s="36">
        <v>294.98570123694282</v>
      </c>
      <c r="AK25" s="52"/>
      <c r="AL25" s="24"/>
      <c r="AZ25" s="23"/>
    </row>
    <row r="26" spans="1:52" ht="15.75" customHeight="1">
      <c r="A26" s="51">
        <f t="shared" si="1"/>
        <v>2024</v>
      </c>
      <c r="C26" s="2"/>
      <c r="D26" s="2"/>
      <c r="E26" s="2"/>
      <c r="F26" s="2"/>
      <c r="G26" s="2">
        <f t="shared" si="2"/>
        <v>621.26201821740563</v>
      </c>
      <c r="H26" s="2">
        <f t="shared" si="3"/>
        <v>727.65656722808103</v>
      </c>
      <c r="I26" s="2">
        <f t="shared" si="4"/>
        <v>626.95862837837842</v>
      </c>
      <c r="J26" s="2">
        <f t="shared" si="4"/>
        <v>1000.0129594594595</v>
      </c>
      <c r="K26" s="2">
        <f t="shared" si="5"/>
        <v>360.26356800872998</v>
      </c>
      <c r="L26" s="2">
        <f t="shared" si="6"/>
        <v>414.77556670057402</v>
      </c>
      <c r="M26" s="2">
        <f t="shared" si="9"/>
        <v>477.25098291185327</v>
      </c>
      <c r="N26" s="2">
        <f t="shared" si="10"/>
        <v>433.83742831054036</v>
      </c>
      <c r="O26" s="2">
        <f t="shared" ref="O26:O34" si="13">O$24*T46</f>
        <v>589.95600000000002</v>
      </c>
      <c r="P26" s="2">
        <f t="shared" ref="P26:P34" si="14">P$24*$T46</f>
        <v>542.13360000000011</v>
      </c>
      <c r="Q26" s="23"/>
      <c r="R26" s="51"/>
      <c r="S26" s="14">
        <v>318.95999999999998</v>
      </c>
      <c r="T26" s="36">
        <v>2024</v>
      </c>
      <c r="U26" s="54">
        <f t="shared" si="8"/>
        <v>329.40171900524172</v>
      </c>
      <c r="V26" s="54">
        <f t="shared" si="11"/>
        <v>83.488652211258852</v>
      </c>
      <c r="W26" s="36">
        <f t="shared" si="12"/>
        <v>48.630774228214079</v>
      </c>
      <c r="X26" s="36">
        <v>327</v>
      </c>
      <c r="Y26" s="36">
        <v>443</v>
      </c>
      <c r="Z26" s="36">
        <v>503</v>
      </c>
      <c r="AA26" s="9">
        <f t="shared" si="7"/>
        <v>116</v>
      </c>
      <c r="AB26" s="9">
        <f t="shared" si="7"/>
        <v>60</v>
      </c>
      <c r="AC26" s="36"/>
      <c r="AD26" s="9" t="e">
        <f>NA()</f>
        <v>#N/A</v>
      </c>
      <c r="AE26" s="36"/>
      <c r="AF26" s="36"/>
      <c r="AG26" s="36">
        <v>2031</v>
      </c>
      <c r="AH26" s="36">
        <v>180.6176403340036</v>
      </c>
      <c r="AI26" s="36">
        <v>223.34988752774942</v>
      </c>
      <c r="AJ26" s="36">
        <v>292.96599828221531</v>
      </c>
      <c r="AK26" s="52"/>
      <c r="AL26" s="24"/>
      <c r="AZ26" s="23"/>
    </row>
    <row r="27" spans="1:52" ht="15.75" customHeight="1">
      <c r="A27" s="51">
        <f t="shared" si="1"/>
        <v>2025</v>
      </c>
      <c r="C27" s="2"/>
      <c r="D27" s="2"/>
      <c r="E27" s="2"/>
      <c r="F27" s="2"/>
      <c r="G27" s="2">
        <f t="shared" si="2"/>
        <v>594.03694246183261</v>
      </c>
      <c r="H27" s="2">
        <f t="shared" si="3"/>
        <v>695.76904700969192</v>
      </c>
      <c r="I27" s="2">
        <f t="shared" si="4"/>
        <v>584.16281756756757</v>
      </c>
      <c r="J27" s="2">
        <f t="shared" si="4"/>
        <v>931.75268918918925</v>
      </c>
      <c r="K27" s="2">
        <f t="shared" si="5"/>
        <v>335.67219817878254</v>
      </c>
      <c r="L27" s="2">
        <f t="shared" si="6"/>
        <v>386.46324132852118</v>
      </c>
      <c r="M27" s="2">
        <f t="shared" si="9"/>
        <v>477.25098291185327</v>
      </c>
      <c r="N27" s="2">
        <f t="shared" si="10"/>
        <v>433.83742831054036</v>
      </c>
      <c r="O27" s="2">
        <f t="shared" si="13"/>
        <v>577.66525000000001</v>
      </c>
      <c r="P27" s="2">
        <f t="shared" si="14"/>
        <v>530.83915000000002</v>
      </c>
      <c r="Q27" s="23"/>
      <c r="R27" s="51"/>
      <c r="S27" s="14">
        <v>318.95999999999998</v>
      </c>
      <c r="T27" s="36">
        <v>2025</v>
      </c>
      <c r="U27" s="54">
        <f t="shared" si="8"/>
        <v>286.97036539931014</v>
      </c>
      <c r="V27" s="54">
        <f t="shared" si="11"/>
        <v>53.48544747510968</v>
      </c>
      <c r="W27" s="36">
        <f t="shared" si="12"/>
        <v>85.537674850727512</v>
      </c>
      <c r="X27" s="36">
        <v>310</v>
      </c>
      <c r="Y27" s="36">
        <v>388</v>
      </c>
      <c r="Z27" s="36">
        <v>496</v>
      </c>
      <c r="AA27" s="9">
        <f t="shared" si="7"/>
        <v>78</v>
      </c>
      <c r="AB27" s="9">
        <f t="shared" si="7"/>
        <v>108</v>
      </c>
      <c r="AC27" s="36"/>
      <c r="AD27" s="9" t="e">
        <f>NA()</f>
        <v>#N/A</v>
      </c>
      <c r="AE27" s="36"/>
      <c r="AF27" s="36"/>
      <c r="AG27" s="36">
        <v>2032</v>
      </c>
      <c r="AH27" s="36">
        <v>177.43329945954218</v>
      </c>
      <c r="AI27" s="36">
        <v>219.21087331391499</v>
      </c>
      <c r="AJ27" s="36">
        <v>290.94629532748792</v>
      </c>
      <c r="AK27" s="52"/>
      <c r="AL27" s="24"/>
      <c r="AZ27" s="23"/>
    </row>
    <row r="28" spans="1:52" ht="15.75" customHeight="1">
      <c r="A28" s="51">
        <f t="shared" si="1"/>
        <v>2026</v>
      </c>
      <c r="C28" s="2"/>
      <c r="D28" s="2"/>
      <c r="E28" s="2"/>
      <c r="F28" s="2"/>
      <c r="G28" s="2">
        <f t="shared" si="2"/>
        <v>582.69500959696825</v>
      </c>
      <c r="H28" s="2">
        <f t="shared" si="3"/>
        <v>682.48474555205723</v>
      </c>
      <c r="I28" s="2">
        <f t="shared" si="4"/>
        <v>556.34554054054058</v>
      </c>
      <c r="J28" s="2">
        <f t="shared" si="4"/>
        <v>887.38351351351355</v>
      </c>
      <c r="K28" s="2">
        <f t="shared" si="5"/>
        <v>319.68780778931671</v>
      </c>
      <c r="L28" s="2">
        <f t="shared" si="6"/>
        <v>368.06022983668686</v>
      </c>
      <c r="M28" s="2">
        <f t="shared" si="9"/>
        <v>477.25098291185327</v>
      </c>
      <c r="N28" s="2">
        <f t="shared" si="10"/>
        <v>433.83742831054036</v>
      </c>
      <c r="O28" s="2">
        <f t="shared" si="13"/>
        <v>565.3744999999999</v>
      </c>
      <c r="P28" s="2">
        <f t="shared" si="14"/>
        <v>519.54469999999992</v>
      </c>
      <c r="Q28" s="23"/>
      <c r="R28" s="51"/>
      <c r="S28" s="14">
        <v>318.95999999999998</v>
      </c>
      <c r="T28" s="36">
        <v>2026</v>
      </c>
      <c r="U28" s="54">
        <f t="shared" si="8"/>
        <v>275.12638406031789</v>
      </c>
      <c r="V28" s="54">
        <f t="shared" si="11"/>
        <v>51.634581232845903</v>
      </c>
      <c r="W28" s="36">
        <f t="shared" si="12"/>
        <v>81.832746301187058</v>
      </c>
      <c r="X28" s="36">
        <v>297</v>
      </c>
      <c r="Y28" s="36">
        <v>376</v>
      </c>
      <c r="Z28" s="36">
        <v>477</v>
      </c>
      <c r="AA28" s="9">
        <f t="shared" si="7"/>
        <v>79</v>
      </c>
      <c r="AB28" s="9">
        <f t="shared" si="7"/>
        <v>101</v>
      </c>
      <c r="AC28" s="36"/>
      <c r="AD28" s="36">
        <v>297</v>
      </c>
      <c r="AE28" s="55">
        <v>1</v>
      </c>
      <c r="AF28" s="36"/>
      <c r="AG28" s="36">
        <v>2033</v>
      </c>
      <c r="AH28" s="36">
        <v>173.94616536815829</v>
      </c>
      <c r="AI28" s="36">
        <v>215.07587486868053</v>
      </c>
      <c r="AJ28" s="36">
        <v>288.92659237276047</v>
      </c>
      <c r="AK28" s="52"/>
      <c r="AL28" s="24"/>
      <c r="AZ28" s="23"/>
    </row>
    <row r="29" spans="1:52" ht="15.75" customHeight="1">
      <c r="A29" s="51">
        <f t="shared" si="1"/>
        <v>2027</v>
      </c>
      <c r="C29" s="2"/>
      <c r="D29" s="9"/>
      <c r="E29" s="2"/>
      <c r="F29" s="2"/>
      <c r="G29" s="2">
        <f t="shared" si="2"/>
        <v>571.353076732104</v>
      </c>
      <c r="H29" s="2">
        <f t="shared" si="3"/>
        <v>669.20044409442266</v>
      </c>
      <c r="I29" s="2">
        <f t="shared" si="4"/>
        <v>528.52826351351348</v>
      </c>
      <c r="J29" s="2">
        <f t="shared" si="4"/>
        <v>843.01433783783784</v>
      </c>
      <c r="K29" s="2">
        <f t="shared" si="5"/>
        <v>303.70341739985088</v>
      </c>
      <c r="L29" s="2">
        <f t="shared" si="6"/>
        <v>349.65721834485242</v>
      </c>
      <c r="M29" s="2">
        <f t="shared" si="9"/>
        <v>477.25098291185327</v>
      </c>
      <c r="N29" s="2">
        <f t="shared" si="10"/>
        <v>433.83742831054036</v>
      </c>
      <c r="O29" s="2">
        <f t="shared" si="13"/>
        <v>553.08374999999978</v>
      </c>
      <c r="P29" s="2">
        <f t="shared" si="14"/>
        <v>508.25024999999988</v>
      </c>
      <c r="Q29" s="23"/>
      <c r="R29" s="51"/>
      <c r="S29" s="14">
        <v>288.16000000000003</v>
      </c>
      <c r="T29" s="36">
        <v>2027</v>
      </c>
      <c r="U29" s="54">
        <f t="shared" si="8"/>
        <v>263.25962797168745</v>
      </c>
      <c r="V29" s="54">
        <f t="shared" si="11"/>
        <v>49.747755260373339</v>
      </c>
      <c r="W29" s="36">
        <f t="shared" si="12"/>
        <v>78.170546912918496</v>
      </c>
      <c r="X29" s="36">
        <v>284</v>
      </c>
      <c r="Y29" s="36">
        <v>363</v>
      </c>
      <c r="Z29" s="36">
        <v>459</v>
      </c>
      <c r="AA29" s="9">
        <f t="shared" si="7"/>
        <v>79</v>
      </c>
      <c r="AB29" s="9">
        <f t="shared" si="7"/>
        <v>96</v>
      </c>
      <c r="AC29" s="36"/>
      <c r="AD29" s="9">
        <f t="shared" ref="AD29:AD34" si="15">$AD$28*AE29</f>
        <v>287.34750000000003</v>
      </c>
      <c r="AE29" s="55">
        <v>0.96750000000000003</v>
      </c>
      <c r="AF29" s="56"/>
      <c r="AG29" s="36">
        <v>2034</v>
      </c>
      <c r="AH29" s="36">
        <v>170.76210506652853</v>
      </c>
      <c r="AI29" s="36">
        <v>210.94505070023285</v>
      </c>
      <c r="AJ29" s="36">
        <v>286.90688941803302</v>
      </c>
      <c r="AK29" s="52"/>
      <c r="AL29" s="24"/>
      <c r="AZ29" s="23"/>
    </row>
    <row r="30" spans="1:52" ht="15.75" customHeight="1">
      <c r="A30" s="51">
        <f t="shared" si="1"/>
        <v>2028</v>
      </c>
      <c r="C30" s="2"/>
      <c r="D30" s="9"/>
      <c r="E30" s="2"/>
      <c r="F30" s="2"/>
      <c r="G30" s="2">
        <f t="shared" si="2"/>
        <v>560.01114386723975</v>
      </c>
      <c r="H30" s="2">
        <f t="shared" si="3"/>
        <v>655.91614263678821</v>
      </c>
      <c r="I30" s="2">
        <f t="shared" si="4"/>
        <v>500.71098648648643</v>
      </c>
      <c r="J30" s="2">
        <f t="shared" si="4"/>
        <v>798.64516216216214</v>
      </c>
      <c r="K30" s="2">
        <f t="shared" si="5"/>
        <v>287.71902701038505</v>
      </c>
      <c r="L30" s="2">
        <f t="shared" si="6"/>
        <v>331.2542068530181</v>
      </c>
      <c r="M30" s="2">
        <f t="shared" si="9"/>
        <v>477.25098291185327</v>
      </c>
      <c r="N30" s="2">
        <f t="shared" si="10"/>
        <v>433.83742831054036</v>
      </c>
      <c r="O30" s="2">
        <f t="shared" si="13"/>
        <v>540.79299999999989</v>
      </c>
      <c r="P30" s="2">
        <f t="shared" si="14"/>
        <v>496.95579999999995</v>
      </c>
      <c r="Q30" s="23"/>
      <c r="R30" s="51"/>
      <c r="S30" s="14">
        <v>259.56</v>
      </c>
      <c r="T30" s="36">
        <v>2028</v>
      </c>
      <c r="U30" s="54">
        <f t="shared" si="8"/>
        <v>251.36734402479217</v>
      </c>
      <c r="V30" s="54">
        <f t="shared" si="11"/>
        <v>47.858261992433626</v>
      </c>
      <c r="W30" s="36">
        <f t="shared" si="12"/>
        <v>74.555936863853589</v>
      </c>
      <c r="X30" s="36">
        <v>271</v>
      </c>
      <c r="Y30" s="36">
        <v>351</v>
      </c>
      <c r="Z30" s="36">
        <v>440</v>
      </c>
      <c r="AA30" s="9">
        <f t="shared" si="7"/>
        <v>80</v>
      </c>
      <c r="AB30" s="9">
        <f t="shared" si="7"/>
        <v>89</v>
      </c>
      <c r="AC30" s="36"/>
      <c r="AD30" s="9">
        <f t="shared" si="15"/>
        <v>277.69499999999999</v>
      </c>
      <c r="AE30" s="55">
        <v>0.93500000000000005</v>
      </c>
      <c r="AF30" s="56"/>
      <c r="AG30" s="36">
        <v>2035</v>
      </c>
      <c r="AH30" s="36">
        <v>167.9016398571724</v>
      </c>
      <c r="AI30" s="36">
        <v>206.81856777004194</v>
      </c>
      <c r="AJ30" s="36">
        <v>284.88718646330557</v>
      </c>
      <c r="AK30" s="52"/>
      <c r="AL30" s="24"/>
      <c r="AZ30" s="23"/>
    </row>
    <row r="31" spans="1:52" ht="15.75" customHeight="1">
      <c r="A31" s="51">
        <f t="shared" si="1"/>
        <v>2029</v>
      </c>
      <c r="C31" s="2"/>
      <c r="D31" s="9"/>
      <c r="E31" s="2"/>
      <c r="F31" s="2"/>
      <c r="G31" s="2"/>
      <c r="H31" s="2"/>
      <c r="I31" s="2">
        <f t="shared" si="4"/>
        <v>472.89370945945944</v>
      </c>
      <c r="J31" s="2">
        <f t="shared" si="4"/>
        <v>754.27598648648654</v>
      </c>
      <c r="K31" s="2">
        <f t="shared" si="5"/>
        <v>271.73463662091922</v>
      </c>
      <c r="L31" s="2">
        <f t="shared" si="6"/>
        <v>312.85119536118378</v>
      </c>
      <c r="M31" s="2">
        <f t="shared" si="9"/>
        <v>461.59899147522941</v>
      </c>
      <c r="N31" s="2">
        <f t="shared" si="10"/>
        <v>419.60923401458922</v>
      </c>
      <c r="O31" s="2">
        <f t="shared" si="13"/>
        <v>528.50224999999978</v>
      </c>
      <c r="P31" s="2">
        <f t="shared" si="14"/>
        <v>485.66134999999986</v>
      </c>
      <c r="Q31" s="23"/>
      <c r="R31" s="51"/>
      <c r="S31" s="14">
        <v>244.17</v>
      </c>
      <c r="T31" s="36">
        <v>2029</v>
      </c>
      <c r="U31" s="54">
        <f t="shared" si="8"/>
        <v>239.44631673642476</v>
      </c>
      <c r="V31" s="54">
        <f t="shared" si="11"/>
        <v>45.946673227950271</v>
      </c>
      <c r="W31" s="36">
        <f t="shared" si="12"/>
        <v>70.994546188208574</v>
      </c>
      <c r="X31" s="36">
        <v>258</v>
      </c>
      <c r="Y31" s="36">
        <v>338</v>
      </c>
      <c r="Z31" s="36">
        <v>422</v>
      </c>
      <c r="AA31" s="9">
        <f t="shared" si="7"/>
        <v>80</v>
      </c>
      <c r="AB31" s="9">
        <f t="shared" si="7"/>
        <v>84</v>
      </c>
      <c r="AC31" s="36"/>
      <c r="AD31" s="9">
        <f t="shared" si="15"/>
        <v>268.04250000000002</v>
      </c>
      <c r="AE31" s="55">
        <v>0.90249999999999997</v>
      </c>
      <c r="AF31" s="56"/>
      <c r="AG31" s="36">
        <v>2036</v>
      </c>
      <c r="AH31" s="36">
        <v>164.41300003407912</v>
      </c>
      <c r="AI31" s="36">
        <v>202.69660206399644</v>
      </c>
      <c r="AJ31" s="36">
        <v>282.86748350857812</v>
      </c>
      <c r="AK31" s="52"/>
      <c r="AL31" s="24"/>
      <c r="AZ31" s="23"/>
    </row>
    <row r="32" spans="1:52" ht="15.75" customHeight="1">
      <c r="A32" s="51">
        <f t="shared" si="1"/>
        <v>2030</v>
      </c>
      <c r="C32" s="2"/>
      <c r="D32" s="9"/>
      <c r="E32" s="2"/>
      <c r="F32" s="2"/>
      <c r="G32" s="2"/>
      <c r="H32" s="2"/>
      <c r="I32" s="2">
        <f t="shared" si="4"/>
        <v>445.07643243243245</v>
      </c>
      <c r="J32" s="2">
        <f t="shared" si="4"/>
        <v>709.90681081081084</v>
      </c>
      <c r="K32" s="2">
        <f t="shared" si="5"/>
        <v>255.75024623145339</v>
      </c>
      <c r="L32" s="2">
        <f t="shared" si="6"/>
        <v>294.44818386934946</v>
      </c>
      <c r="M32" s="2">
        <f t="shared" si="9"/>
        <v>445.38843654504433</v>
      </c>
      <c r="N32" s="2">
        <f t="shared" si="10"/>
        <v>404.87328644358718</v>
      </c>
      <c r="O32" s="2">
        <f t="shared" si="13"/>
        <v>516.21149999999977</v>
      </c>
      <c r="P32" s="2">
        <f t="shared" si="14"/>
        <v>474.36689999999987</v>
      </c>
      <c r="Q32" s="23"/>
      <c r="R32" s="51"/>
      <c r="S32" s="14">
        <v>228.77</v>
      </c>
      <c r="T32" s="36">
        <v>2030</v>
      </c>
      <c r="U32" s="54">
        <f t="shared" si="8"/>
        <v>227.49276692697981</v>
      </c>
      <c r="V32" s="54">
        <f t="shared" si="11"/>
        <v>43.690792531035157</v>
      </c>
      <c r="W32" s="36">
        <f t="shared" si="12"/>
        <v>67.492934309963005</v>
      </c>
      <c r="X32" s="36">
        <v>245</v>
      </c>
      <c r="Y32" s="36">
        <v>326</v>
      </c>
      <c r="Z32" s="36">
        <v>403</v>
      </c>
      <c r="AA32" s="9">
        <f t="shared" si="7"/>
        <v>81</v>
      </c>
      <c r="AB32" s="9">
        <f t="shared" si="7"/>
        <v>77</v>
      </c>
      <c r="AC32" s="36"/>
      <c r="AD32" s="9">
        <f t="shared" si="15"/>
        <v>258.39</v>
      </c>
      <c r="AE32" s="55">
        <v>0.87</v>
      </c>
      <c r="AF32" s="56"/>
      <c r="AG32" s="36">
        <v>2037</v>
      </c>
      <c r="AH32" s="36">
        <v>161.22933590038411</v>
      </c>
      <c r="AI32" s="36">
        <v>198.57933921047771</v>
      </c>
      <c r="AJ32" s="36">
        <v>280.84778055385073</v>
      </c>
      <c r="AK32" s="52"/>
      <c r="AL32" s="24"/>
      <c r="AZ32" s="23"/>
    </row>
    <row r="33" spans="1:52" ht="15.75" customHeight="1">
      <c r="A33" s="51">
        <f t="shared" si="1"/>
        <v>2031</v>
      </c>
      <c r="C33" s="1"/>
      <c r="E33" s="1"/>
      <c r="F33" s="1"/>
      <c r="G33" s="1"/>
      <c r="H33" s="1"/>
      <c r="I33" s="9" t="e">
        <f>NA()</f>
        <v>#N/A</v>
      </c>
      <c r="J33" s="9" t="e">
        <f>NA()</f>
        <v>#N/A</v>
      </c>
      <c r="K33" s="9" t="e">
        <f>NA()</f>
        <v>#N/A</v>
      </c>
      <c r="L33" s="9" t="e">
        <f>NA()</f>
        <v>#N/A</v>
      </c>
      <c r="M33" s="2">
        <f t="shared" si="9"/>
        <v>428.57797652845164</v>
      </c>
      <c r="N33" s="2">
        <f t="shared" si="10"/>
        <v>389.5920046789717</v>
      </c>
      <c r="O33" s="2">
        <f t="shared" si="13"/>
        <v>503.92074999999977</v>
      </c>
      <c r="P33" s="2">
        <f t="shared" si="14"/>
        <v>463.07244999999983</v>
      </c>
      <c r="Q33" s="23"/>
      <c r="R33" s="51"/>
      <c r="S33" s="14">
        <v>215.57</v>
      </c>
      <c r="T33" s="36">
        <v>2031</v>
      </c>
      <c r="U33" s="54">
        <f t="shared" si="8"/>
        <v>223.34988752774942</v>
      </c>
      <c r="V33" s="54">
        <f t="shared" si="11"/>
        <v>42.73224719374582</v>
      </c>
      <c r="W33" s="36">
        <f t="shared" si="12"/>
        <v>69.616110754465893</v>
      </c>
      <c r="X33" s="36">
        <v>240</v>
      </c>
      <c r="Y33" s="36">
        <v>321</v>
      </c>
      <c r="Z33" s="36">
        <v>400</v>
      </c>
      <c r="AA33" s="9">
        <f t="shared" si="7"/>
        <v>81</v>
      </c>
      <c r="AB33" s="9">
        <f t="shared" si="7"/>
        <v>79</v>
      </c>
      <c r="AC33" s="36"/>
      <c r="AD33" s="9">
        <f t="shared" si="15"/>
        <v>255.42</v>
      </c>
      <c r="AE33" s="55">
        <v>0.86</v>
      </c>
      <c r="AF33" s="36"/>
      <c r="AG33" s="36">
        <v>2038</v>
      </c>
      <c r="AH33" s="36">
        <v>158.04569166603403</v>
      </c>
      <c r="AI33" s="36">
        <v>194.46697514993704</v>
      </c>
      <c r="AJ33" s="36">
        <v>278.82807759912328</v>
      </c>
      <c r="AK33" s="52"/>
      <c r="AL33" s="24"/>
      <c r="AZ33" s="23"/>
    </row>
    <row r="34" spans="1:52" ht="15.75" customHeight="1">
      <c r="A34" s="51">
        <f t="shared" si="1"/>
        <v>2032</v>
      </c>
      <c r="C34" s="1"/>
      <c r="E34" s="1"/>
      <c r="F34" s="1"/>
      <c r="G34" s="1"/>
      <c r="H34" s="1"/>
      <c r="I34" s="9" t="e">
        <f>NA()</f>
        <v>#N/A</v>
      </c>
      <c r="J34" s="9" t="e">
        <f>NA()</f>
        <v>#N/A</v>
      </c>
      <c r="K34" s="9" t="e">
        <f>NA()</f>
        <v>#N/A</v>
      </c>
      <c r="L34" s="9" t="e">
        <f>NA()</f>
        <v>#N/A</v>
      </c>
      <c r="M34" s="2">
        <f t="shared" si="9"/>
        <v>411.12150365719071</v>
      </c>
      <c r="N34" s="2">
        <f t="shared" si="10"/>
        <v>373.72347518609621</v>
      </c>
      <c r="O34" s="2">
        <f t="shared" si="13"/>
        <v>491.62999999999977</v>
      </c>
      <c r="P34" s="2">
        <f t="shared" si="14"/>
        <v>451.77799999999985</v>
      </c>
      <c r="Q34" s="23"/>
      <c r="R34" s="51"/>
      <c r="S34" s="14">
        <v>202.37</v>
      </c>
      <c r="T34" s="36">
        <v>2032</v>
      </c>
      <c r="U34" s="54">
        <f t="shared" si="8"/>
        <v>219.21087331391499</v>
      </c>
      <c r="V34" s="54">
        <f t="shared" si="11"/>
        <v>41.777573854372804</v>
      </c>
      <c r="W34" s="36">
        <f t="shared" si="12"/>
        <v>71.735422013572929</v>
      </c>
      <c r="X34" s="36">
        <v>236</v>
      </c>
      <c r="Y34" s="36">
        <v>316</v>
      </c>
      <c r="Z34" s="36">
        <v>398</v>
      </c>
      <c r="AA34" s="9">
        <f t="shared" si="7"/>
        <v>80</v>
      </c>
      <c r="AB34" s="9">
        <f t="shared" si="7"/>
        <v>82</v>
      </c>
      <c r="AC34" s="36"/>
      <c r="AD34" s="9">
        <f t="shared" si="15"/>
        <v>252.45</v>
      </c>
      <c r="AE34" s="55">
        <v>0.85</v>
      </c>
      <c r="AF34" s="36"/>
      <c r="AG34" s="36">
        <v>2039</v>
      </c>
      <c r="AH34" s="36">
        <v>154.86206859048517</v>
      </c>
      <c r="AI34" s="36">
        <v>190.35971686105407</v>
      </c>
      <c r="AJ34" s="36">
        <v>276.80837464439577</v>
      </c>
      <c r="AK34" s="52"/>
      <c r="AL34" s="24"/>
      <c r="AZ34" s="23"/>
    </row>
    <row r="35" spans="1:52" ht="15.75" customHeight="1" thickBot="1">
      <c r="A35" s="24"/>
      <c r="C35" s="1"/>
      <c r="E35" s="1"/>
      <c r="F35" s="1"/>
      <c r="Q35" s="23"/>
      <c r="R35" s="57"/>
      <c r="S35" s="58"/>
      <c r="T35" s="58"/>
      <c r="U35" s="59"/>
      <c r="V35" s="59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0"/>
      <c r="AL35" s="24"/>
      <c r="AZ35" s="23"/>
    </row>
    <row r="36" spans="1:52" ht="15.75" customHeight="1">
      <c r="C36" s="36" t="s">
        <v>22</v>
      </c>
      <c r="E36" s="1"/>
      <c r="F36" s="1"/>
      <c r="I36" s="36" t="s">
        <v>24</v>
      </c>
      <c r="M36" s="36" t="s">
        <v>25</v>
      </c>
      <c r="S36" s="36" t="s">
        <v>26</v>
      </c>
      <c r="U36" s="53"/>
      <c r="V36" s="54"/>
      <c r="AL36" s="24"/>
      <c r="AZ36" s="23"/>
    </row>
    <row r="37" spans="1:52" ht="15.75" customHeight="1">
      <c r="A37" s="24"/>
      <c r="C37" s="36" t="s">
        <v>76</v>
      </c>
      <c r="D37" s="36" t="s">
        <v>64</v>
      </c>
      <c r="E37" s="1"/>
      <c r="F37" s="1" t="s">
        <v>72</v>
      </c>
      <c r="G37" s="36" t="s">
        <v>64</v>
      </c>
      <c r="J37" s="1" t="s">
        <v>72</v>
      </c>
      <c r="K37" s="36" t="s">
        <v>64</v>
      </c>
      <c r="M37" s="10"/>
      <c r="N37" s="11" t="s">
        <v>72</v>
      </c>
      <c r="O37" s="36" t="s">
        <v>64</v>
      </c>
      <c r="P37" s="11" t="s">
        <v>72</v>
      </c>
      <c r="Q37" s="36" t="s">
        <v>64</v>
      </c>
      <c r="S37" s="1" t="s">
        <v>73</v>
      </c>
      <c r="T37" s="36" t="s">
        <v>64</v>
      </c>
      <c r="U37" s="53"/>
      <c r="V37" s="54"/>
      <c r="AL37" s="24"/>
      <c r="AZ37" s="23"/>
    </row>
    <row r="38" spans="1:52" ht="15.75" customHeight="1">
      <c r="A38" s="51">
        <v>2016</v>
      </c>
      <c r="C38" s="1"/>
      <c r="M38" s="10"/>
      <c r="P38" s="36" t="s">
        <v>77</v>
      </c>
      <c r="U38" s="53"/>
      <c r="V38" s="54"/>
      <c r="AL38" s="24"/>
      <c r="AZ38" s="23"/>
    </row>
    <row r="39" spans="1:52" ht="15.75" customHeight="1">
      <c r="A39" s="51">
        <v>2017</v>
      </c>
      <c r="C39" s="3">
        <v>-9.7896357106208365E-2</v>
      </c>
      <c r="D39" s="3">
        <v>-5.4126460132046694E-2</v>
      </c>
      <c r="E39" s="1"/>
      <c r="F39" s="1">
        <v>812.08333333333326</v>
      </c>
      <c r="G39" s="1">
        <v>913</v>
      </c>
      <c r="M39" s="10"/>
      <c r="U39" s="53"/>
      <c r="V39" s="54"/>
      <c r="AL39" s="24"/>
      <c r="AZ39" s="23"/>
    </row>
    <row r="40" spans="1:52" ht="15.75" customHeight="1">
      <c r="A40" s="51">
        <v>2018</v>
      </c>
      <c r="C40" s="3">
        <v>-9.1457172107837548E-2</v>
      </c>
      <c r="D40" s="3">
        <v>-4.5858356712350834E-2</v>
      </c>
      <c r="F40" s="1">
        <v>732.58333333333326</v>
      </c>
      <c r="G40" s="1">
        <v>864.60833333333323</v>
      </c>
      <c r="I40" s="12">
        <v>1</v>
      </c>
      <c r="J40" s="1">
        <v>3411.6893902830011</v>
      </c>
      <c r="K40" s="1">
        <v>3995.9600255379673</v>
      </c>
      <c r="M40" s="10"/>
      <c r="U40" s="53"/>
      <c r="V40" s="54"/>
      <c r="AL40" s="80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23"/>
    </row>
    <row r="41" spans="1:52" ht="15.75" customHeight="1">
      <c r="A41" s="51">
        <v>2019</v>
      </c>
      <c r="C41" s="3">
        <v>-7.8022286215099435E-2</v>
      </c>
      <c r="D41" s="3">
        <v>-3.8064996273952878E-2</v>
      </c>
      <c r="F41" s="1">
        <v>665.58333333333326</v>
      </c>
      <c r="G41" s="1">
        <v>826.29508333333331</v>
      </c>
      <c r="I41" s="12">
        <v>0.92803563731171335</v>
      </c>
      <c r="J41" s="1">
        <f t="shared" ref="J41:K50" si="16">J$40*$I41</f>
        <v>3166.1693376208955</v>
      </c>
      <c r="K41" s="1">
        <f t="shared" si="16"/>
        <v>3708.3933089722577</v>
      </c>
      <c r="M41" s="10"/>
      <c r="U41" s="53"/>
      <c r="V41" s="54"/>
      <c r="AK41" s="54"/>
      <c r="AL41" s="24"/>
      <c r="AZ41" s="23"/>
    </row>
    <row r="42" spans="1:52" ht="15.75" customHeight="1">
      <c r="A42" s="51">
        <v>2020</v>
      </c>
      <c r="C42" s="3">
        <v>-7.0456450143647986E-2</v>
      </c>
      <c r="D42" s="3">
        <v>-3.5092943921708253E-2</v>
      </c>
      <c r="F42" s="1">
        <v>613.65300000000002</v>
      </c>
      <c r="G42" s="1">
        <v>795.92681833333336</v>
      </c>
      <c r="I42" s="12">
        <v>0.85607127462342691</v>
      </c>
      <c r="J42" s="1">
        <f t="shared" si="16"/>
        <v>2920.6492849587908</v>
      </c>
      <c r="K42" s="1">
        <f t="shared" si="16"/>
        <v>3420.8265924065495</v>
      </c>
      <c r="M42" s="3">
        <v>1</v>
      </c>
      <c r="N42" s="36">
        <v>3166.89</v>
      </c>
      <c r="O42" s="36">
        <v>5051.26</v>
      </c>
      <c r="P42" s="36">
        <v>1819.7613674161105</v>
      </c>
      <c r="Q42" s="36">
        <v>4190.2241550638191</v>
      </c>
      <c r="U42" s="53"/>
      <c r="V42" s="54"/>
      <c r="AL42" s="24"/>
      <c r="AZ42" s="23"/>
    </row>
    <row r="43" spans="1:52" ht="15.75" customHeight="1">
      <c r="A43" s="51">
        <v>2021</v>
      </c>
      <c r="C43" s="3">
        <v>-6.0278251643427039E-2</v>
      </c>
      <c r="D43" s="3">
        <v>-2.5945323483653526E-2</v>
      </c>
      <c r="F43" s="1">
        <v>570.41718800000001</v>
      </c>
      <c r="G43" s="1">
        <v>768.80051928333341</v>
      </c>
      <c r="I43" s="12">
        <v>0.82415151565226841</v>
      </c>
      <c r="J43" s="1">
        <f t="shared" si="16"/>
        <v>2811.7489819364987</v>
      </c>
      <c r="K43" s="1">
        <f t="shared" si="16"/>
        <v>3293.276511532993</v>
      </c>
      <c r="M43" s="3">
        <v>0.94864864864864862</v>
      </c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L43" s="24"/>
      <c r="AZ43" s="23"/>
    </row>
    <row r="44" spans="1:52" ht="15.75" customHeight="1">
      <c r="A44" s="51">
        <v>2022</v>
      </c>
      <c r="C44" s="3">
        <v>-4.8407149238686609E-2</v>
      </c>
      <c r="D44" s="3">
        <v>-1.7081757252158991E-2</v>
      </c>
      <c r="F44" s="1">
        <v>536.03343719999998</v>
      </c>
      <c r="G44" s="1">
        <v>749.42930654400004</v>
      </c>
      <c r="I44" s="12">
        <v>0.79223175668110979</v>
      </c>
      <c r="J44" s="1">
        <f t="shared" si="16"/>
        <v>2702.8486789142062</v>
      </c>
      <c r="K44" s="1">
        <f t="shared" si="16"/>
        <v>3165.7264306594361</v>
      </c>
      <c r="M44" s="3">
        <v>0.89459459459459456</v>
      </c>
      <c r="S44" s="3">
        <v>1</v>
      </c>
      <c r="T44" s="3">
        <v>1</v>
      </c>
      <c r="U44" s="53"/>
      <c r="V44" s="54"/>
      <c r="AL44" s="24"/>
      <c r="AZ44" s="23"/>
    </row>
    <row r="45" spans="1:52" ht="15.75" customHeight="1">
      <c r="A45" s="51">
        <v>2023</v>
      </c>
      <c r="C45" s="3">
        <v>-4.3668733700485629E-2</v>
      </c>
      <c r="D45" s="3">
        <v>-1.2085458615404554E-2</v>
      </c>
      <c r="F45" s="1">
        <v>510.08558660853345</v>
      </c>
      <c r="G45" s="1">
        <v>737.19944750821332</v>
      </c>
      <c r="I45" s="12">
        <v>0.76031199770995139</v>
      </c>
      <c r="J45" s="1">
        <f t="shared" si="16"/>
        <v>2593.9483758919146</v>
      </c>
      <c r="K45" s="1">
        <f t="shared" si="16"/>
        <v>3038.1763497858801</v>
      </c>
      <c r="M45" s="3">
        <v>0.84324324324324329</v>
      </c>
      <c r="R45" s="36">
        <v>5.0635075204960467E-2</v>
      </c>
      <c r="S45" s="3">
        <f t="shared" ref="S45:S54" si="17">S44+R45</f>
        <v>1.0506350752049605</v>
      </c>
      <c r="T45" s="3">
        <v>0.97999999999999987</v>
      </c>
      <c r="U45" s="53"/>
      <c r="V45" s="54"/>
      <c r="AL45" s="24"/>
      <c r="AZ45" s="23"/>
    </row>
    <row r="46" spans="1:52" ht="15.75" customHeight="1">
      <c r="A46" s="51">
        <v>2024</v>
      </c>
      <c r="C46" s="3">
        <v>-3.4743366253659036E-2</v>
      </c>
      <c r="D46" s="3">
        <v>-1.0287510036669056E-2</v>
      </c>
      <c r="F46" s="1">
        <v>487.8107949624694</v>
      </c>
      <c r="G46" s="1">
        <v>729.11417798004425</v>
      </c>
      <c r="I46" s="12">
        <v>0.72839223873879289</v>
      </c>
      <c r="J46" s="1">
        <f t="shared" si="16"/>
        <v>2485.0480728696225</v>
      </c>
      <c r="K46" s="1">
        <f t="shared" si="16"/>
        <v>2910.6262689123241</v>
      </c>
      <c r="M46" s="3">
        <v>0.79189189189189191</v>
      </c>
      <c r="R46" s="36">
        <v>0</v>
      </c>
      <c r="S46" s="3">
        <f t="shared" si="17"/>
        <v>1.0506350752049605</v>
      </c>
      <c r="T46" s="3">
        <v>0.96</v>
      </c>
      <c r="U46" s="53"/>
      <c r="V46" s="54"/>
      <c r="AL46" s="24"/>
      <c r="AZ46" s="23"/>
    </row>
    <row r="47" spans="1:52" ht="15.75" customHeight="1">
      <c r="A47" s="51">
        <v>2025</v>
      </c>
      <c r="C47" s="3">
        <v>-2.4501822896910386E-2</v>
      </c>
      <c r="D47" s="3">
        <v>-7.2338864756504861E-3</v>
      </c>
      <c r="F47" s="1">
        <v>470.86260585059978</v>
      </c>
      <c r="G47" s="1">
        <v>722.06629029379189</v>
      </c>
      <c r="I47" s="12">
        <v>0.69647247976763438</v>
      </c>
      <c r="J47" s="1">
        <f t="shared" si="16"/>
        <v>2376.1477698473304</v>
      </c>
      <c r="K47" s="1">
        <f t="shared" si="16"/>
        <v>2783.0761880387677</v>
      </c>
      <c r="M47" s="3">
        <v>0.73783783783783785</v>
      </c>
      <c r="R47" s="36">
        <v>0</v>
      </c>
      <c r="S47" s="3">
        <f t="shared" si="17"/>
        <v>1.0506350752049605</v>
      </c>
      <c r="T47" s="3">
        <v>0.94</v>
      </c>
      <c r="U47" s="53"/>
      <c r="V47" s="54"/>
      <c r="AL47" s="24"/>
      <c r="AZ47" s="23"/>
    </row>
    <row r="48" spans="1:52" ht="15.75" customHeight="1">
      <c r="A48" s="51">
        <v>2026</v>
      </c>
      <c r="C48" s="3">
        <v>-1.478509516801374E-2</v>
      </c>
      <c r="D48" s="3">
        <v>-1.9496597502718371E-3</v>
      </c>
      <c r="F48" s="1">
        <v>459.32561367327065</v>
      </c>
      <c r="G48" s="1">
        <v>717.00442356729889</v>
      </c>
      <c r="I48" s="12">
        <v>0.68317474768549602</v>
      </c>
      <c r="J48" s="1">
        <f t="shared" si="16"/>
        <v>2330.780038387873</v>
      </c>
      <c r="K48" s="1">
        <f t="shared" si="16"/>
        <v>2729.9389822082289</v>
      </c>
      <c r="M48" s="3">
        <v>0.70270270270270274</v>
      </c>
      <c r="R48" s="36">
        <v>0</v>
      </c>
      <c r="S48" s="3">
        <f t="shared" si="17"/>
        <v>1.0506350752049605</v>
      </c>
      <c r="T48" s="3">
        <v>0.91999999999999982</v>
      </c>
      <c r="U48" s="53"/>
      <c r="V48" s="54"/>
      <c r="AL48" s="24"/>
      <c r="AZ48" s="23"/>
    </row>
    <row r="49" spans="1:52" ht="15.75" customHeight="1">
      <c r="A49" s="51">
        <v>2027</v>
      </c>
      <c r="C49" s="1"/>
      <c r="F49" s="1">
        <v>452.53444076200503</v>
      </c>
      <c r="G49" s="1">
        <v>716.02935143159948</v>
      </c>
      <c r="I49" s="12">
        <v>0.66987701560335777</v>
      </c>
      <c r="J49" s="1">
        <f t="shared" si="16"/>
        <v>2285.412306928416</v>
      </c>
      <c r="K49" s="1">
        <f t="shared" si="16"/>
        <v>2676.8017763776907</v>
      </c>
      <c r="M49" s="3">
        <v>0.66756756756756752</v>
      </c>
      <c r="R49" s="36">
        <v>0</v>
      </c>
      <c r="S49" s="3">
        <f t="shared" si="17"/>
        <v>1.0506350752049605</v>
      </c>
      <c r="T49" s="3">
        <v>0.89999999999999969</v>
      </c>
      <c r="U49" s="53"/>
      <c r="V49" s="54"/>
      <c r="AL49" s="24"/>
      <c r="AZ49" s="23"/>
    </row>
    <row r="50" spans="1:52" ht="15.75" customHeight="1">
      <c r="A50" s="51">
        <v>2028</v>
      </c>
      <c r="C50" s="1"/>
      <c r="I50" s="12">
        <v>0.65657928352121953</v>
      </c>
      <c r="J50" s="1">
        <f t="shared" si="16"/>
        <v>2240.044575468959</v>
      </c>
      <c r="K50" s="1">
        <f t="shared" si="16"/>
        <v>2623.6645705471528</v>
      </c>
      <c r="M50" s="3">
        <v>0.63243243243243241</v>
      </c>
      <c r="R50" s="36">
        <v>0</v>
      </c>
      <c r="S50" s="3">
        <f t="shared" si="17"/>
        <v>1.0506350752049605</v>
      </c>
      <c r="T50" s="3">
        <v>0.87999999999999978</v>
      </c>
      <c r="U50" s="53"/>
      <c r="V50" s="54"/>
      <c r="AL50" s="24"/>
      <c r="AZ50" s="23"/>
    </row>
    <row r="51" spans="1:52" ht="15.75" customHeight="1">
      <c r="A51" s="24"/>
      <c r="C51" s="1"/>
      <c r="M51" s="3">
        <v>0.5972972972972973</v>
      </c>
      <c r="R51" s="36">
        <v>-3.4456778066315641E-2</v>
      </c>
      <c r="S51" s="3">
        <f t="shared" si="17"/>
        <v>1.0161782971386448</v>
      </c>
      <c r="T51" s="3">
        <v>0.85999999999999965</v>
      </c>
      <c r="U51" s="53"/>
      <c r="V51" s="54"/>
      <c r="AL51" s="24"/>
      <c r="AZ51" s="23"/>
    </row>
    <row r="52" spans="1:52" ht="15.75" customHeight="1">
      <c r="A52" s="24"/>
      <c r="C52" s="1"/>
      <c r="M52" s="3">
        <v>0.56216216216216219</v>
      </c>
      <c r="R52" s="36">
        <v>-3.5686417017468552E-2</v>
      </c>
      <c r="S52" s="3">
        <f t="shared" si="17"/>
        <v>0.98049188012117627</v>
      </c>
      <c r="T52" s="3">
        <v>0.83999999999999964</v>
      </c>
      <c r="U52" s="53"/>
      <c r="AL52" s="24"/>
      <c r="AZ52" s="23"/>
    </row>
    <row r="53" spans="1:52" ht="15.75" customHeight="1">
      <c r="A53" s="24"/>
      <c r="C53" s="1"/>
      <c r="R53" s="36">
        <v>-3.7007066629813234E-2</v>
      </c>
      <c r="S53" s="3">
        <f t="shared" si="17"/>
        <v>0.94348481349136304</v>
      </c>
      <c r="T53" s="3">
        <v>0.81999999999999962</v>
      </c>
      <c r="U53" s="23"/>
      <c r="AL53" s="24"/>
      <c r="AZ53" s="23"/>
    </row>
    <row r="54" spans="1:52" ht="15.75" customHeight="1">
      <c r="A54" s="24"/>
      <c r="C54" s="1"/>
      <c r="R54" s="36">
        <v>-3.8429219309325191E-2</v>
      </c>
      <c r="S54" s="3">
        <f t="shared" si="17"/>
        <v>0.90505559418203785</v>
      </c>
      <c r="T54" s="3">
        <v>0.7999999999999996</v>
      </c>
      <c r="U54" s="23"/>
      <c r="AL54" s="24"/>
      <c r="AZ54" s="23"/>
    </row>
    <row r="55" spans="1:52" ht="15.75" customHeight="1">
      <c r="A55" s="24"/>
      <c r="C55" s="1"/>
      <c r="R55" s="36">
        <v>1.7897879876343836E-2</v>
      </c>
      <c r="U55" s="23"/>
      <c r="AL55" s="24"/>
      <c r="AZ55" s="23"/>
    </row>
    <row r="56" spans="1:52" ht="15.75" customHeight="1">
      <c r="A56" s="24"/>
      <c r="C56" s="1"/>
      <c r="R56" s="36">
        <v>9.946166233392173E-3</v>
      </c>
      <c r="U56" s="23"/>
      <c r="AL56" s="24"/>
      <c r="AZ56" s="23"/>
    </row>
    <row r="57" spans="1:52" ht="15.75" customHeight="1">
      <c r="A57" s="24"/>
      <c r="C57" s="1"/>
      <c r="R57" s="36">
        <v>9.7814046153583689E-3</v>
      </c>
      <c r="U57" s="23"/>
      <c r="AL57" s="24"/>
      <c r="AZ57" s="23"/>
    </row>
    <row r="58" spans="1:52" ht="15.75" customHeight="1" thickBot="1">
      <c r="A58" s="24"/>
      <c r="C58" s="1"/>
      <c r="R58" s="36">
        <v>9.6123303060544618E-3</v>
      </c>
      <c r="U58" s="23"/>
      <c r="AL58" s="28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31"/>
    </row>
    <row r="59" spans="1:52" ht="15.75" customHeight="1">
      <c r="A59" s="24"/>
      <c r="C59" s="1"/>
      <c r="R59" s="36">
        <v>9.4387717307302665E-3</v>
      </c>
      <c r="U59" s="23"/>
    </row>
    <row r="60" spans="1:52" ht="15.75" customHeight="1">
      <c r="A60" s="24"/>
      <c r="C60" s="1"/>
      <c r="R60" s="36">
        <v>9.2605480911531757E-3</v>
      </c>
      <c r="U60" s="23"/>
    </row>
    <row r="61" spans="1:52" ht="15.75" customHeight="1">
      <c r="A61" s="24"/>
      <c r="C61" s="1"/>
      <c r="R61" s="36">
        <v>9.0774687373722518E-3</v>
      </c>
      <c r="U61" s="23"/>
    </row>
    <row r="62" spans="1:52" ht="15.75" customHeight="1">
      <c r="A62" s="24"/>
      <c r="C62" s="1"/>
      <c r="R62" s="36">
        <v>8.8893324874248503E-3</v>
      </c>
      <c r="U62" s="23"/>
    </row>
    <row r="63" spans="1:52" ht="15.75" customHeight="1">
      <c r="A63" s="24"/>
      <c r="C63" s="1"/>
      <c r="R63" s="36">
        <v>8.6959268898787467E-3</v>
      </c>
      <c r="U63" s="23"/>
    </row>
    <row r="64" spans="1:52" ht="15.75" customHeight="1">
      <c r="A64" s="24"/>
      <c r="C64" s="1"/>
      <c r="R64" s="36">
        <v>8.4970274235369736E-3</v>
      </c>
      <c r="U64" s="23"/>
    </row>
    <row r="65" spans="1:21" ht="15.75" customHeight="1" thickBot="1">
      <c r="A65" s="28"/>
      <c r="B65" s="29"/>
      <c r="C65" s="30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31"/>
    </row>
    <row r="66" spans="1:21" ht="15.75" customHeight="1">
      <c r="C66" s="1"/>
    </row>
    <row r="67" spans="1:21" ht="15.75" customHeight="1">
      <c r="C67" s="1"/>
    </row>
    <row r="68" spans="1:21" ht="15.75" customHeight="1">
      <c r="C68" s="1"/>
    </row>
    <row r="69" spans="1:21" ht="15.75" customHeight="1">
      <c r="C69" s="1"/>
    </row>
    <row r="70" spans="1:21" ht="15.75" customHeight="1">
      <c r="C70" s="1"/>
    </row>
    <row r="71" spans="1:21" ht="15.75" customHeight="1">
      <c r="C71" s="1"/>
    </row>
    <row r="72" spans="1:21" ht="15.75" customHeight="1">
      <c r="C72" s="1"/>
    </row>
    <row r="73" spans="1:21" ht="15.75" customHeight="1">
      <c r="C73" s="1"/>
    </row>
    <row r="74" spans="1:21" ht="15.75" customHeight="1">
      <c r="C74" s="1"/>
    </row>
    <row r="75" spans="1:21" ht="15.75" customHeight="1">
      <c r="C75" s="1"/>
    </row>
    <row r="76" spans="1:21" ht="15.75" customHeight="1">
      <c r="C76" s="1"/>
    </row>
    <row r="77" spans="1:21" ht="15.75" customHeight="1">
      <c r="C77" s="1"/>
    </row>
    <row r="78" spans="1:21" ht="15.75" customHeight="1">
      <c r="C78" s="1"/>
    </row>
    <row r="79" spans="1:21" ht="15.75" customHeight="1">
      <c r="C79" s="1"/>
    </row>
    <row r="80" spans="1:21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  <row r="1000" spans="3:3" ht="15.75" customHeight="1">
      <c r="C1000" s="1"/>
    </row>
  </sheetData>
  <mergeCells count="6">
    <mergeCell ref="B1:F1"/>
    <mergeCell ref="I6:K8"/>
    <mergeCell ref="AH13:AJ13"/>
    <mergeCell ref="AN2:AR3"/>
    <mergeCell ref="X12:AB13"/>
    <mergeCell ref="W5:AA6"/>
  </mergeCells>
  <hyperlinks>
    <hyperlink ref="AH13" r:id="rId1" xr:uid="{AAA13AA8-D4E1-4305-AD1B-E6F8EA0AF418}"/>
    <hyperlink ref="X14" r:id="rId2" xr:uid="{36F8B2A7-FE63-4C6D-8304-E2C70F5114EA}"/>
  </hyperlinks>
  <pageMargins left="0.7" right="0.7" top="0.75" bottom="0.75" header="0" footer="0"/>
  <pageSetup orientation="portrait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2024-08-21T07:00:00+00:00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08887D9-3125-45E9-901A-7896F1730B6F}"/>
</file>

<file path=customXml/itemProps2.xml><?xml version="1.0" encoding="utf-8"?>
<ds:datastoreItem xmlns:ds="http://schemas.openxmlformats.org/officeDocument/2006/customXml" ds:itemID="{2F90D77D-B728-48E5-8695-95127B7A7299}"/>
</file>

<file path=customXml/itemProps3.xml><?xml version="1.0" encoding="utf-8"?>
<ds:datastoreItem xmlns:ds="http://schemas.openxmlformats.org/officeDocument/2006/customXml" ds:itemID="{FD7A106A-4E2D-48E8-BA87-CF56ADBCA816}"/>
</file>

<file path=customXml/itemProps4.xml><?xml version="1.0" encoding="utf-8"?>
<ds:datastoreItem xmlns:ds="http://schemas.openxmlformats.org/officeDocument/2006/customXml" ds:itemID="{CAD9D83A-7505-47BB-9CE4-386946074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Barbara Chillcott</cp:lastModifiedBy>
  <cp:revision/>
  <dcterms:created xsi:type="dcterms:W3CDTF">2023-06-13T00:06:38Z</dcterms:created>
  <dcterms:modified xsi:type="dcterms:W3CDTF">2024-08-21T14:26:40Z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