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2.xml" ContentType="application/vnd.openxmlformats-officedocument.drawing+xml"/>
  <Override PartName="/xl/worksheets/sheet1.xml" ContentType="application/vnd.openxmlformats-officedocument.spreadsheetml.worksheet+xml"/>
  <Override PartName="/xl/worksheets/sheet23.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charts/colors1.xml" ContentType="application/vnd.ms-office.chartcolorstyle+xml"/>
  <Override PartName="/xl/worksheets/sheet13.xml" ContentType="application/vnd.openxmlformats-officedocument.spreadsheetml.worksheet+xml"/>
  <Override PartName="/xl/worksheets/sheet12.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24.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worksheets/sheet2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5.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035" tabRatio="897"/>
  </bookViews>
  <sheets>
    <sheet name="Outline and Notes" sheetId="39" r:id="rId1"/>
    <sheet name="1. Energy Efficiency" sheetId="32" r:id="rId2"/>
    <sheet name="2. Demand Response" sheetId="33" r:id="rId3"/>
    <sheet name="3. Resource Incremental Cost" sheetId="31" r:id="rId4"/>
    <sheet name="Incremental Cost Sum - test v2" sheetId="12" state="hidden" r:id="rId5"/>
    <sheet name="DER Resources" sheetId="5" state="hidden" r:id="rId6"/>
    <sheet name="Supporting - Grid Mod" sheetId="2" state="hidden" r:id="rId7"/>
    <sheet name="4A. Supp-DER Enab RR" sheetId="27" r:id="rId8"/>
    <sheet name="4B. Supp - GridMod RR" sheetId="13" r:id="rId9"/>
    <sheet name="Supporting - DERs" sheetId="7" state="hidden" r:id="rId10"/>
    <sheet name="Supporting - Education" sheetId="3" state="hidden" r:id="rId11"/>
    <sheet name="Supporting Administration" sheetId="4" state="hidden" r:id="rId12"/>
    <sheet name="4C. Enablement and Grid Mod Bud" sheetId="38" r:id="rId13"/>
    <sheet name="5. Comm and Education Costs" sheetId="28" r:id="rId14"/>
    <sheet name="6. Admin" sheetId="29" r:id="rId15"/>
    <sheet name="7. Incremental Cost" sheetId="9" r:id="rId16"/>
    <sheet name="8. 2020 CBR" sheetId="23" r:id="rId17"/>
    <sheet name="9. Bill Impact Estimate" sheetId="30" r:id="rId18"/>
    <sheet name="Chart and Display -&gt;" sheetId="40" r:id="rId19"/>
    <sheet name="Inc Cost Sum for Display" sheetId="37" r:id="rId20"/>
    <sheet name="2% Inc Cost Sum Charts" sheetId="16" r:id="rId21"/>
    <sheet name="IRP No-CETA Costs" sheetId="44" r:id="rId22"/>
    <sheet name="CEIP With-CETA Costs" sheetId="43" r:id="rId23"/>
    <sheet name="IRP No-CETA Energy" sheetId="45" r:id="rId24"/>
    <sheet name="CEIP With-CETA Energy" sheetId="46" r:id="rId25"/>
  </sheets>
  <externalReferences>
    <externalReference r:id="rId26"/>
    <externalReference r:id="rId27"/>
    <externalReference r:id="rId28"/>
    <externalReference r:id="rId29"/>
    <externalReference r:id="rId30"/>
  </externalReferences>
  <definedNames>
    <definedName name="_Fill" hidden="1">#REF!</definedName>
    <definedName name="_xlnm._FilterDatabase" localSheetId="12" hidden="1">'4C. Enablement and Grid Mod Bud'!$A$4:$V$257</definedName>
    <definedName name="_Order1">255</definedName>
    <definedName name="_Order2">255</definedName>
    <definedName name="AAAAAAAAAAAAAA" hidden="1">{#N/A,#N/A,FALSE,"Coversheet";#N/A,#N/A,FALSE,"QA"}</definedName>
    <definedName name="AccessDatabase">"I:\COMTREL\FINICLE\TradeSummary.mdb"</definedName>
    <definedName name="AfterTaxWACC">[1]Assumptions!$E$18</definedName>
    <definedName name="AS2DocOpenMode">"AS2DocumentEdit"</definedName>
    <definedName name="AuroraBaseYear">'[2]Aurora_New Resources'!$C$2</definedName>
    <definedName name="b" hidden="1">{#N/A,#N/A,FALSE,"Coversheet";#N/A,#N/A,FALSE,"QA"}</definedName>
    <definedName name="BaseYear">'[2]Thermal Options'!$H$2</definedName>
    <definedName name="BD">'8. 2020 CBR'!$DC$12</definedName>
    <definedName name="CBWorkbookPriority" hidden="1">-1894858854</definedName>
    <definedName name="ConversionFactor">[2]Assumptions!$B$13</definedName>
    <definedName name="DELETE01" hidden="1">{#N/A,#N/A,FALSE,"Coversheet";#N/A,#N/A,FALSE,"QA"}</definedName>
    <definedName name="DELETE02" hidden="1">{#N/A,#N/A,FALSE,"Schedule F";#N/A,#N/A,FALSE,"Schedule G"}</definedName>
    <definedName name="Delete06" hidden="1">{#N/A,#N/A,FALSE,"Coversheet";#N/A,#N/A,FALSE,"QA"}</definedName>
    <definedName name="Delete1" hidden="1">{#N/A,#N/A,FALSE,"Coversheet";#N/A,#N/A,FALSE,"QA"}</definedName>
    <definedName name="DOCKET">'8. 2020 CBR'!$A$7</definedName>
    <definedName name="FedTaxRate">[2]Assumptions!$B$15</definedName>
    <definedName name="FF">'8. 2020 CBR'!$DC$13</definedName>
    <definedName name="FIT">'8. 2020 CBR'!$DB$19</definedName>
    <definedName name="GTInsRate">[2]Assumptions!$B$17</definedName>
    <definedName name="HTML_CodePage">1252</definedName>
    <definedName name="HTML_Control">{"'3P'!$A$1:$L$58"}</definedName>
    <definedName name="HTML_Description">""</definedName>
    <definedName name="HTML_Email">""</definedName>
    <definedName name="HTML_Header">"Attachment 3P"</definedName>
    <definedName name="HTML_LastUpdate">"09/20/2000"</definedName>
    <definedName name="HTML_LineAfter">FALSE</definedName>
    <definedName name="HTML_LineBefore">FALSE</definedName>
    <definedName name="HTML_Name">"BV"</definedName>
    <definedName name="HTML_OBDlg2">TRUE</definedName>
    <definedName name="HTML_OBDlg4">TRUE</definedName>
    <definedName name="HTML_OS">0</definedName>
    <definedName name="HTML_PathFile">"E:\BV Users_D\a50 - Design Engineering\50.2000, Guidelines\MyHTML.htm"</definedName>
    <definedName name="HTML_Title">"51_2101, a3"</definedName>
    <definedName name="inctaxrate">0.4</definedName>
    <definedName name="InsRate">[2]Assumptions!$B$12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NvsASD">"V1999-02-28"</definedName>
    <definedName name="NvsAutoDrillOk">"VN"</definedName>
    <definedName name="NvsElapsedTime">0.00604305555316387</definedName>
    <definedName name="NvsEndTime">36245.5384840278</definedName>
    <definedName name="NvsInstSpec">"%,FPPL_SUPP_RES_CTR,TPPL_RPTD_SRC,NFOSSIL"</definedName>
    <definedName name="NvsLayoutType">"M3"</definedName>
    <definedName name="NvsNplSpec">"%,X,RNF..,CZF.."</definedName>
    <definedName name="NvsPanelEffdt">"V1900-01-01"</definedName>
    <definedName name="NvsPanelSetid">"VSHARE"</definedName>
    <definedName name="NvsReqBU">"V10000"</definedName>
    <definedName name="NvsReqBUOnly">"VN"</definedName>
    <definedName name="NvsTransLed">"VN"</definedName>
    <definedName name="NvsTreeASD">"V1999-02-28"</definedName>
    <definedName name="NvsValTbl.ACCOUNT">"GL_ACCOUNT_TBL"</definedName>
    <definedName name="NvsValTbl.BUSINESS_UNIT">"BUS_UNIT_TBL_GL"</definedName>
    <definedName name="NvsValTbl.PPL_ACTIVITY">"PPL_ACT_ALL_VW"</definedName>
    <definedName name="NvsValTbl.PPL_CONS_RES_CTR">"PPL_CRC_ALL_VW"</definedName>
    <definedName name="NvsValTbl.PRODUCT">"PROD_ALL_VW"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_xlnm.Print_Area" localSheetId="12">'4C. Enablement and Grid Mod Bud'!$A$1:$T$316</definedName>
    <definedName name="_xlnm.Print_Area" localSheetId="15">'7. Incremental Cost'!$A$1:$H$24</definedName>
    <definedName name="PropTaxRate">[2]Assumptions!$B$10</definedName>
    <definedName name="PropTaxRatio">[2]Assumptions!$B$11</definedName>
    <definedName name="PSPL">'8. 2020 CBR'!$A$4</definedName>
    <definedName name="RENAME" hidden="1">#REF!</definedName>
    <definedName name="RENAME2" hidden="1">#REF!</definedName>
    <definedName name="RevBaseYear">'[3]March Point2'!$M$9</definedName>
    <definedName name="RevBaseYear2">'[3]March Point2'!$M$10</definedName>
    <definedName name="RevBaseYear3">'[3]March Point2'!$M$11</definedName>
    <definedName name="solver_eval" hidden="1">0</definedName>
    <definedName name="solver_ntri" hidden="1">1000</definedName>
    <definedName name="solver_rsmp" hidden="1">1</definedName>
    <definedName name="solver_seed" hidden="1">0</definedName>
    <definedName name="StartDate">[1]Assumptions!$B$7</definedName>
    <definedName name="TEst" hidden="1">{#N/A,#N/A,FALSE,"Coversheet";#N/A,#N/A,FALSE,"QA"}</definedName>
    <definedName name="TESTYEAR">'8. 2020 CBR'!$A$6</definedName>
    <definedName name="TotalREC20">[4]LPProblem!$AA$32</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UTG">'8. 2020 CBR'!$DB$14</definedName>
    <definedName name="UTN">'8. 2020 CBR'!$DC$14</definedName>
    <definedName name="VOMesc">'[2]Aurora_New Resources'!$C$4</definedName>
    <definedName name="w" hidden="1">#REF!</definedName>
    <definedName name="wnp3ex_wkly_vect_input">[5]WNP3_BPA_Exchange!$D$75:$AR$243</definedName>
    <definedName name="wrn.Fundamental." hidden="1">{#N/A,#N/A,TRUE,"CoverPage";#N/A,#N/A,TRUE,"Gas";#N/A,#N/A,TRUE,"Power";#N/A,#N/A,TRUE,"Historical DJ Mthly Prices"}</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37" l="1"/>
  <c r="F41" i="37"/>
  <c r="F44" i="37" s="1"/>
  <c r="E41" i="37"/>
  <c r="E44" i="37" s="1"/>
  <c r="G8" i="9"/>
  <c r="G9" i="9"/>
  <c r="E40" i="37"/>
  <c r="G41" i="37"/>
  <c r="F45" i="37" l="1"/>
  <c r="G19" i="37"/>
  <c r="F19" i="37"/>
  <c r="E19" i="37"/>
  <c r="D19" i="37"/>
  <c r="E18" i="37"/>
  <c r="F18" i="37"/>
  <c r="G18" i="37"/>
  <c r="D18" i="37"/>
  <c r="T305" i="38"/>
  <c r="S305" i="38"/>
  <c r="R305" i="38"/>
  <c r="Q305" i="38"/>
  <c r="P305" i="38"/>
  <c r="M305" i="38"/>
  <c r="L305" i="38"/>
  <c r="K305" i="38"/>
  <c r="J305" i="38"/>
  <c r="I305" i="38"/>
  <c r="G305" i="38"/>
  <c r="D305" i="38"/>
  <c r="E305" i="38"/>
  <c r="F305" i="38"/>
  <c r="C305" i="38"/>
  <c r="G297" i="38" l="1"/>
  <c r="G292" i="38"/>
  <c r="J292" i="38" l="1"/>
  <c r="K292" i="38"/>
  <c r="L292" i="38"/>
  <c r="I292" i="38"/>
  <c r="L291" i="38"/>
  <c r="K291" i="38"/>
  <c r="J291" i="38"/>
  <c r="I291" i="38"/>
  <c r="J287" i="38"/>
  <c r="J303" i="38" s="1"/>
  <c r="K287" i="38"/>
  <c r="K303" i="38" s="1"/>
  <c r="L287" i="38"/>
  <c r="I287" i="38"/>
  <c r="I303" i="38" s="1"/>
  <c r="J282" i="38"/>
  <c r="K282" i="38"/>
  <c r="L282" i="38"/>
  <c r="I282" i="38"/>
  <c r="I281" i="38"/>
  <c r="L281" i="38"/>
  <c r="K281" i="38"/>
  <c r="J281" i="38"/>
  <c r="L271" i="38"/>
  <c r="K271" i="38"/>
  <c r="J271" i="38"/>
  <c r="I271" i="38"/>
  <c r="J262" i="38"/>
  <c r="J302" i="38" s="1"/>
  <c r="K262" i="38"/>
  <c r="L262" i="38"/>
  <c r="I262" i="38"/>
  <c r="L261" i="38"/>
  <c r="K261" i="38"/>
  <c r="J261" i="38"/>
  <c r="I261" i="38"/>
  <c r="L245" i="38"/>
  <c r="K245" i="38"/>
  <c r="J245" i="38"/>
  <c r="I245" i="38"/>
  <c r="J236" i="38"/>
  <c r="K236" i="38"/>
  <c r="L236" i="38"/>
  <c r="I236" i="38"/>
  <c r="L235" i="38"/>
  <c r="K235" i="38"/>
  <c r="J235" i="38"/>
  <c r="I235" i="38"/>
  <c r="L232" i="38"/>
  <c r="K232" i="38"/>
  <c r="J232" i="38"/>
  <c r="I232" i="38"/>
  <c r="L231" i="38"/>
  <c r="K231" i="38"/>
  <c r="J231" i="38"/>
  <c r="I231" i="38"/>
  <c r="L230" i="38"/>
  <c r="K230" i="38"/>
  <c r="J230" i="38"/>
  <c r="I230" i="38"/>
  <c r="L228" i="38"/>
  <c r="K228" i="38"/>
  <c r="J228" i="38"/>
  <c r="I228" i="38"/>
  <c r="L226" i="38"/>
  <c r="K226" i="38"/>
  <c r="J226" i="38"/>
  <c r="I226" i="38"/>
  <c r="J225" i="38"/>
  <c r="K225" i="38"/>
  <c r="L225" i="38"/>
  <c r="I225" i="38"/>
  <c r="L215" i="38"/>
  <c r="K215" i="38"/>
  <c r="J215" i="38"/>
  <c r="I215" i="38"/>
  <c r="J186" i="38"/>
  <c r="K186" i="38"/>
  <c r="L186" i="38"/>
  <c r="I186" i="38"/>
  <c r="J185" i="38"/>
  <c r="L185" i="38"/>
  <c r="K185" i="38"/>
  <c r="I185" i="38"/>
  <c r="L175" i="38"/>
  <c r="K175" i="38"/>
  <c r="J175" i="38"/>
  <c r="I175" i="38"/>
  <c r="L165" i="38"/>
  <c r="K165" i="38"/>
  <c r="J165" i="38"/>
  <c r="I165" i="38"/>
  <c r="L155" i="38"/>
  <c r="K155" i="38"/>
  <c r="J155" i="38"/>
  <c r="I155" i="38"/>
  <c r="L145" i="38"/>
  <c r="K145" i="38"/>
  <c r="J145" i="38"/>
  <c r="I145" i="38"/>
  <c r="L135" i="38"/>
  <c r="K135" i="38"/>
  <c r="J135" i="38"/>
  <c r="I135" i="38"/>
  <c r="L125" i="38"/>
  <c r="K125" i="38"/>
  <c r="J125" i="38"/>
  <c r="I125" i="38"/>
  <c r="L115" i="38"/>
  <c r="K115" i="38"/>
  <c r="J115" i="38"/>
  <c r="I115" i="38"/>
  <c r="L105" i="38"/>
  <c r="K105" i="38"/>
  <c r="J105" i="38"/>
  <c r="I105" i="38"/>
  <c r="L95" i="38"/>
  <c r="K95" i="38"/>
  <c r="J95" i="38"/>
  <c r="I95" i="38"/>
  <c r="L85" i="38"/>
  <c r="K85" i="38"/>
  <c r="J85" i="38"/>
  <c r="I85" i="38"/>
  <c r="I75" i="38"/>
  <c r="L75" i="38"/>
  <c r="K75" i="38"/>
  <c r="J75" i="38"/>
  <c r="J74" i="38"/>
  <c r="K74" i="38"/>
  <c r="L74" i="38"/>
  <c r="I74" i="38"/>
  <c r="J72" i="38"/>
  <c r="K72" i="38"/>
  <c r="L72" i="38"/>
  <c r="I72" i="38"/>
  <c r="J71" i="38"/>
  <c r="J257" i="38" s="1"/>
  <c r="K71" i="38"/>
  <c r="K257" i="38" s="1"/>
  <c r="L71" i="38"/>
  <c r="L257" i="38" s="1"/>
  <c r="I71" i="38"/>
  <c r="I257" i="38" s="1"/>
  <c r="L70" i="38"/>
  <c r="J70" i="38"/>
  <c r="K70" i="38"/>
  <c r="I70" i="38"/>
  <c r="J66" i="38"/>
  <c r="J55" i="38"/>
  <c r="K66" i="38"/>
  <c r="K256" i="38" s="1"/>
  <c r="L66" i="38"/>
  <c r="I66" i="38"/>
  <c r="L65" i="38"/>
  <c r="K65" i="38"/>
  <c r="J65" i="38"/>
  <c r="I65" i="38"/>
  <c r="L55" i="38"/>
  <c r="K55" i="38"/>
  <c r="I55" i="38"/>
  <c r="L45" i="38"/>
  <c r="K45" i="38"/>
  <c r="J45" i="38"/>
  <c r="I45" i="38"/>
  <c r="L35" i="38"/>
  <c r="K35" i="38"/>
  <c r="J35" i="38"/>
  <c r="I35" i="38"/>
  <c r="L25" i="38"/>
  <c r="K25" i="38"/>
  <c r="J25" i="38"/>
  <c r="I25" i="38"/>
  <c r="J15" i="38"/>
  <c r="L15" i="38"/>
  <c r="K15" i="38"/>
  <c r="I15" i="38"/>
  <c r="J5" i="38"/>
  <c r="K5" i="38"/>
  <c r="L5" i="38"/>
  <c r="I5" i="38"/>
  <c r="C40" i="32"/>
  <c r="D40" i="32"/>
  <c r="E40" i="32"/>
  <c r="F40" i="32"/>
  <c r="G40" i="32"/>
  <c r="H40" i="32"/>
  <c r="I40" i="32"/>
  <c r="J40" i="32"/>
  <c r="K40" i="32"/>
  <c r="B40" i="32"/>
  <c r="D39" i="32"/>
  <c r="E39" i="32"/>
  <c r="F39" i="32"/>
  <c r="G39" i="32"/>
  <c r="H39" i="32"/>
  <c r="I39" i="32"/>
  <c r="J39" i="32"/>
  <c r="K39" i="32"/>
  <c r="C39" i="32"/>
  <c r="B39" i="32"/>
  <c r="AA25" i="45"/>
  <c r="E25" i="45"/>
  <c r="F25" i="45"/>
  <c r="G25" i="45"/>
  <c r="H25" i="45"/>
  <c r="I25" i="45"/>
  <c r="J25" i="45"/>
  <c r="K25" i="45"/>
  <c r="L25" i="45"/>
  <c r="M25" i="45"/>
  <c r="N25" i="45"/>
  <c r="O25" i="45"/>
  <c r="P25" i="45"/>
  <c r="Q25" i="45"/>
  <c r="R25" i="45"/>
  <c r="S25" i="45"/>
  <c r="T25" i="45"/>
  <c r="U25" i="45"/>
  <c r="V25" i="45"/>
  <c r="W25" i="45"/>
  <c r="X25" i="45"/>
  <c r="Y25" i="45"/>
  <c r="Z25" i="45"/>
  <c r="D25" i="45"/>
  <c r="D32" i="46"/>
  <c r="M32" i="46"/>
  <c r="K255" i="38" l="1"/>
  <c r="M71" i="38"/>
  <c r="M72" i="38"/>
  <c r="M74" i="38"/>
  <c r="J301" i="38"/>
  <c r="I256" i="38"/>
  <c r="K301" i="38"/>
  <c r="K302" i="38"/>
  <c r="I302" i="38"/>
  <c r="L255" i="38"/>
  <c r="J255" i="38"/>
  <c r="M70" i="38"/>
  <c r="M281" i="38"/>
  <c r="L301" i="38"/>
  <c r="M5" i="38"/>
  <c r="L256" i="38"/>
  <c r="J256" i="38"/>
  <c r="M261" i="38"/>
  <c r="M271" i="38"/>
  <c r="M55" i="38"/>
  <c r="M66" i="38"/>
  <c r="M75" i="38"/>
  <c r="M85" i="38"/>
  <c r="M95" i="38"/>
  <c r="M105" i="38"/>
  <c r="M115" i="38"/>
  <c r="M125" i="38"/>
  <c r="M135" i="38"/>
  <c r="M145" i="38"/>
  <c r="M155" i="38"/>
  <c r="M165" i="38"/>
  <c r="M175" i="38"/>
  <c r="M185" i="38"/>
  <c r="M215" i="38"/>
  <c r="M226" i="38"/>
  <c r="M228" i="38"/>
  <c r="M230" i="38"/>
  <c r="M231" i="38"/>
  <c r="M257" i="38" s="1"/>
  <c r="M232" i="38"/>
  <c r="M235" i="38"/>
  <c r="M236" i="38"/>
  <c r="M186" i="38"/>
  <c r="M245" i="38"/>
  <c r="M262" i="38"/>
  <c r="M291" i="38"/>
  <c r="I301" i="38"/>
  <c r="M282" i="38"/>
  <c r="M287" i="38"/>
  <c r="M303" i="38" s="1"/>
  <c r="M292" i="38"/>
  <c r="L303" i="38"/>
  <c r="M225" i="38"/>
  <c r="I255" i="38"/>
  <c r="L302" i="38"/>
  <c r="M15" i="38"/>
  <c r="M25" i="38"/>
  <c r="M35" i="38"/>
  <c r="M45" i="38"/>
  <c r="M65" i="38"/>
  <c r="L32" i="46"/>
  <c r="E32" i="46"/>
  <c r="F32" i="46"/>
  <c r="G32" i="46"/>
  <c r="H32" i="46"/>
  <c r="I32" i="46"/>
  <c r="J32" i="46"/>
  <c r="K32" i="46"/>
  <c r="N32" i="46"/>
  <c r="O32" i="46"/>
  <c r="P32" i="46"/>
  <c r="Q32" i="46"/>
  <c r="R32" i="46"/>
  <c r="S32" i="46"/>
  <c r="T32" i="46"/>
  <c r="U32" i="46"/>
  <c r="V32" i="46"/>
  <c r="W32" i="46"/>
  <c r="X32" i="46"/>
  <c r="Y32" i="46"/>
  <c r="Z32" i="46"/>
  <c r="AA32" i="46"/>
  <c r="AB32" i="46"/>
  <c r="AC32" i="46"/>
  <c r="M301" i="38" l="1"/>
  <c r="M255" i="38"/>
  <c r="M256" i="38"/>
  <c r="M302" i="38"/>
  <c r="G107" i="33"/>
  <c r="F107" i="33"/>
  <c r="E107" i="33"/>
  <c r="G106" i="33"/>
  <c r="F106" i="33"/>
  <c r="E106" i="33"/>
  <c r="D107" i="33"/>
  <c r="D106" i="33"/>
  <c r="G96" i="33"/>
  <c r="F96" i="33"/>
  <c r="E96" i="33"/>
  <c r="G95" i="33"/>
  <c r="F95" i="33"/>
  <c r="E95" i="33"/>
  <c r="D96" i="33"/>
  <c r="D95" i="33"/>
  <c r="G85" i="33"/>
  <c r="E85" i="33"/>
  <c r="F85" i="33"/>
  <c r="D85" i="33"/>
  <c r="F84" i="33"/>
  <c r="E84" i="33"/>
  <c r="D84" i="33"/>
  <c r="G84" i="33"/>
  <c r="D73" i="33"/>
  <c r="D72" i="33"/>
  <c r="G73" i="33"/>
  <c r="F73" i="33"/>
  <c r="E73" i="33"/>
  <c r="G72" i="33"/>
  <c r="F72" i="33"/>
  <c r="E72" i="33"/>
  <c r="G62" i="33"/>
  <c r="G61" i="33"/>
  <c r="E61" i="33"/>
  <c r="F61" i="33"/>
  <c r="E62" i="33"/>
  <c r="F62" i="33"/>
  <c r="D61" i="33"/>
  <c r="D62" i="33"/>
  <c r="D51" i="33"/>
  <c r="D50" i="33"/>
  <c r="G51" i="33"/>
  <c r="F51" i="33"/>
  <c r="E51" i="33"/>
  <c r="G50" i="33"/>
  <c r="F50" i="33"/>
  <c r="E50" i="33"/>
  <c r="F39" i="33"/>
  <c r="G39" i="33"/>
  <c r="D39" i="33"/>
  <c r="E39" i="33"/>
  <c r="D40" i="33"/>
  <c r="G40" i="33"/>
  <c r="F40" i="33"/>
  <c r="E40" i="33"/>
  <c r="G28" i="33"/>
  <c r="E28" i="33"/>
  <c r="F28" i="33"/>
  <c r="D28" i="33"/>
  <c r="G27" i="33"/>
  <c r="E27" i="33"/>
  <c r="F27" i="33"/>
  <c r="D17" i="33"/>
  <c r="D27" i="33"/>
  <c r="D18" i="33"/>
  <c r="G18" i="33"/>
  <c r="F18" i="33"/>
  <c r="E18" i="33"/>
  <c r="E17" i="33"/>
  <c r="F17" i="33"/>
  <c r="G17" i="33"/>
  <c r="F7" i="33"/>
  <c r="G7" i="33"/>
  <c r="E6" i="33"/>
  <c r="F6" i="33"/>
  <c r="G6" i="33"/>
  <c r="D7" i="33"/>
  <c r="D6" i="33"/>
  <c r="E7" i="33"/>
  <c r="E4" i="31" l="1"/>
  <c r="D4" i="31"/>
  <c r="C4" i="31"/>
  <c r="B4" i="31"/>
  <c r="J4" i="31" l="1"/>
  <c r="I4" i="31"/>
  <c r="H4" i="31"/>
  <c r="G4" i="31"/>
  <c r="C1" i="43" l="1"/>
  <c r="D1" i="43" s="1"/>
  <c r="E1" i="43" s="1"/>
  <c r="F1" i="43" s="1"/>
  <c r="G1" i="43" s="1"/>
  <c r="H1" i="43" s="1"/>
  <c r="I1" i="43" s="1"/>
  <c r="J1" i="43" s="1"/>
  <c r="K1" i="43" s="1"/>
  <c r="L1" i="43" s="1"/>
  <c r="M1" i="43" s="1"/>
  <c r="N1" i="43" s="1"/>
  <c r="O1" i="43" s="1"/>
  <c r="P1" i="43" s="1"/>
  <c r="Q1" i="43" s="1"/>
  <c r="R1" i="43" s="1"/>
  <c r="S1" i="43" s="1"/>
  <c r="T1" i="43" s="1"/>
  <c r="U1" i="43" s="1"/>
  <c r="V1" i="43" s="1"/>
  <c r="W1" i="43" s="1"/>
  <c r="X1" i="43" s="1"/>
  <c r="Y1" i="43" s="1"/>
  <c r="Z1" i="43" s="1"/>
  <c r="I28" i="37" l="1"/>
  <c r="D302" i="38" l="1"/>
  <c r="E302" i="38"/>
  <c r="F302" i="38"/>
  <c r="P302" i="38"/>
  <c r="Q302" i="38"/>
  <c r="R302" i="38"/>
  <c r="S302" i="38"/>
  <c r="T302" i="38"/>
  <c r="D303" i="38"/>
  <c r="E303" i="38"/>
  <c r="F303" i="38"/>
  <c r="G303" i="38"/>
  <c r="P303" i="38"/>
  <c r="Q303" i="38"/>
  <c r="R303" i="38"/>
  <c r="S303" i="38"/>
  <c r="T303" i="38"/>
  <c r="C303" i="38"/>
  <c r="C302" i="38"/>
  <c r="C301" i="38"/>
  <c r="T301" i="38"/>
  <c r="D301" i="38"/>
  <c r="E301" i="38"/>
  <c r="F301" i="38"/>
  <c r="P256" i="38"/>
  <c r="B6" i="27" s="1"/>
  <c r="Q256" i="38"/>
  <c r="G257" i="38"/>
  <c r="P257" i="38"/>
  <c r="Q257" i="38"/>
  <c r="R257" i="38"/>
  <c r="S257" i="38"/>
  <c r="T257" i="38"/>
  <c r="C257" i="38"/>
  <c r="D257" i="38"/>
  <c r="E257" i="38"/>
  <c r="F257" i="38"/>
  <c r="R256" i="38"/>
  <c r="S256" i="38"/>
  <c r="T256" i="38"/>
  <c r="G256" i="38"/>
  <c r="F256" i="38"/>
  <c r="E256" i="38"/>
  <c r="D256" i="38"/>
  <c r="C256" i="38"/>
  <c r="D255" i="38"/>
  <c r="E255" i="38"/>
  <c r="F255" i="38"/>
  <c r="G255" i="38"/>
  <c r="P255" i="38"/>
  <c r="Q255" i="38"/>
  <c r="R255" i="38"/>
  <c r="S255" i="38"/>
  <c r="T255" i="38"/>
  <c r="C255" i="38"/>
  <c r="B20" i="27" l="1"/>
  <c r="B27" i="27"/>
  <c r="B13" i="27"/>
  <c r="F19" i="27"/>
  <c r="I19" i="27"/>
  <c r="J19" i="27" s="1"/>
  <c r="H19" i="27"/>
  <c r="G19" i="27"/>
  <c r="B27" i="13"/>
  <c r="B20" i="13"/>
  <c r="B6" i="13"/>
  <c r="B13" i="13"/>
  <c r="H7" i="27" l="1"/>
  <c r="G7" i="27"/>
  <c r="I7" i="27"/>
  <c r="J7" i="27" s="1"/>
  <c r="G117" i="33"/>
  <c r="E117" i="33"/>
  <c r="D116" i="33"/>
  <c r="E116" i="33"/>
  <c r="F116" i="33"/>
  <c r="G116" i="33"/>
  <c r="F117" i="33"/>
  <c r="D117" i="33"/>
  <c r="D112" i="33"/>
  <c r="E112" i="33"/>
  <c r="F112" i="33"/>
  <c r="G112" i="33"/>
  <c r="B10" i="37" s="1"/>
  <c r="E111" i="33"/>
  <c r="G74" i="33"/>
  <c r="F74" i="33"/>
  <c r="E74" i="33"/>
  <c r="D74" i="33"/>
  <c r="D63" i="33"/>
  <c r="E52" i="33"/>
  <c r="F52" i="33"/>
  <c r="G52" i="33"/>
  <c r="E41" i="33"/>
  <c r="F41" i="33"/>
  <c r="G41" i="33"/>
  <c r="G29" i="33"/>
  <c r="D29" i="33"/>
  <c r="F29" i="33"/>
  <c r="E29" i="33"/>
  <c r="E113" i="33" l="1"/>
  <c r="G118" i="33"/>
  <c r="C17" i="29"/>
  <c r="C15" i="29"/>
  <c r="C13" i="29"/>
  <c r="AD14" i="32"/>
  <c r="AC19" i="32"/>
  <c r="AB19" i="32"/>
  <c r="AC28" i="32"/>
  <c r="AB28" i="32"/>
  <c r="T28" i="37" l="1"/>
  <c r="P26" i="37"/>
  <c r="Q26" i="37"/>
  <c r="R26" i="37"/>
  <c r="P27" i="37"/>
  <c r="Q27" i="37"/>
  <c r="R27" i="37"/>
  <c r="P28" i="37"/>
  <c r="Q28" i="37"/>
  <c r="R28" i="37"/>
  <c r="O28" i="37"/>
  <c r="O26" i="37"/>
  <c r="P22" i="37"/>
  <c r="Q22" i="37"/>
  <c r="R22" i="37"/>
  <c r="P23" i="37"/>
  <c r="Q23" i="37"/>
  <c r="R23" i="37"/>
  <c r="P24" i="37"/>
  <c r="Q24" i="37"/>
  <c r="R24" i="37"/>
  <c r="O24" i="37"/>
  <c r="O22" i="37"/>
  <c r="G28" i="37"/>
  <c r="E28" i="37"/>
  <c r="F28" i="37"/>
  <c r="D28" i="37"/>
  <c r="E26" i="37"/>
  <c r="F26" i="37"/>
  <c r="G26" i="37"/>
  <c r="D26" i="37"/>
  <c r="I24" i="37"/>
  <c r="E24" i="37"/>
  <c r="F24" i="37"/>
  <c r="G24" i="37"/>
  <c r="D24" i="37"/>
  <c r="L28" i="37"/>
  <c r="L26" i="37"/>
  <c r="L24" i="37"/>
  <c r="L22" i="37"/>
  <c r="L18" i="37"/>
  <c r="N38" i="37" l="1"/>
  <c r="Q261" i="38" l="1"/>
  <c r="Q301" i="38" s="1"/>
  <c r="R261" i="38"/>
  <c r="R301" i="38" s="1"/>
  <c r="S261" i="38"/>
  <c r="S301" i="38" s="1"/>
  <c r="P261" i="38"/>
  <c r="P301" i="38" s="1"/>
  <c r="G262" i="38" l="1"/>
  <c r="G302" i="38" s="1"/>
  <c r="G261" i="38"/>
  <c r="G301" i="38" s="1"/>
  <c r="F111" i="33" l="1"/>
  <c r="F113" i="33" s="1"/>
  <c r="G111" i="33"/>
  <c r="D111" i="33"/>
  <c r="D113" i="33" s="1"/>
  <c r="F108" i="33"/>
  <c r="E108" i="33"/>
  <c r="D108" i="33"/>
  <c r="E97" i="33"/>
  <c r="F97" i="33"/>
  <c r="D97" i="33"/>
  <c r="G97" i="33"/>
  <c r="F86" i="33"/>
  <c r="E86" i="33"/>
  <c r="D86" i="33"/>
  <c r="G86" i="33"/>
  <c r="G19" i="33"/>
  <c r="F19" i="33"/>
  <c r="E19" i="33"/>
  <c r="D19" i="33"/>
  <c r="G113" i="33" l="1"/>
  <c r="B9" i="37"/>
  <c r="G122" i="33"/>
  <c r="J6" i="31" s="1"/>
  <c r="D52" i="33"/>
  <c r="F118" i="33"/>
  <c r="F122" i="33"/>
  <c r="F121" i="33" s="1"/>
  <c r="G108" i="33"/>
  <c r="E118" i="33"/>
  <c r="E122" i="33"/>
  <c r="E121" i="33" s="1"/>
  <c r="G121" i="33" l="1"/>
  <c r="E6" i="31" s="1"/>
  <c r="C6" i="31"/>
  <c r="H6" i="31"/>
  <c r="I6" i="31"/>
  <c r="E63" i="33"/>
  <c r="F63" i="33"/>
  <c r="G63" i="33"/>
  <c r="G123" i="33" l="1"/>
  <c r="H13" i="9" s="1"/>
  <c r="D41" i="33"/>
  <c r="E123" i="33"/>
  <c r="F13" i="9" s="1"/>
  <c r="F123" i="33"/>
  <c r="G13" i="9" s="1"/>
  <c r="D6" i="31"/>
  <c r="D8" i="33" l="1"/>
  <c r="G8" i="33"/>
  <c r="F8" i="33"/>
  <c r="E8" i="33"/>
  <c r="D122" i="33" l="1"/>
  <c r="D121" i="33" s="1"/>
  <c r="D118" i="33"/>
  <c r="EC15" i="23"/>
  <c r="EG15" i="23" s="1"/>
  <c r="EH15" i="23" s="1"/>
  <c r="EK15" i="23"/>
  <c r="G6" i="31" l="1"/>
  <c r="B6" i="31"/>
  <c r="L40" i="32"/>
  <c r="M40" i="32" s="1"/>
  <c r="L39" i="32"/>
  <c r="M39" i="32" s="1"/>
  <c r="D123" i="33" l="1"/>
  <c r="E13" i="9" s="1"/>
  <c r="E3" i="32"/>
  <c r="B3" i="32"/>
  <c r="C3" i="32"/>
  <c r="D3" i="32"/>
  <c r="J3" i="32"/>
  <c r="I3" i="32"/>
  <c r="G3" i="32"/>
  <c r="H3" i="32"/>
  <c r="AC24" i="32"/>
  <c r="AB24" i="32"/>
  <c r="AD7" i="32"/>
  <c r="AD8" i="32"/>
  <c r="AD9" i="32"/>
  <c r="AC11" i="32"/>
  <c r="AD5" i="32"/>
  <c r="AC29" i="32" l="1"/>
  <c r="AB11" i="32"/>
  <c r="AB29" i="32" s="1"/>
  <c r="B8" i="32" s="1"/>
  <c r="B13" i="31"/>
  <c r="C13" i="31"/>
  <c r="AD11" i="32" l="1"/>
  <c r="J22" i="32"/>
  <c r="H17" i="32"/>
  <c r="I6" i="32"/>
  <c r="G23" i="32"/>
  <c r="G22" i="32"/>
  <c r="I17" i="32"/>
  <c r="J6" i="32"/>
  <c r="H22" i="32"/>
  <c r="J17" i="32"/>
  <c r="G6" i="32"/>
  <c r="I22" i="32"/>
  <c r="G17" i="32"/>
  <c r="H6" i="32"/>
  <c r="B18" i="32"/>
  <c r="B7" i="32"/>
  <c r="C6" i="32"/>
  <c r="B5" i="32"/>
  <c r="L5" i="32" s="1"/>
  <c r="E6" i="32"/>
  <c r="E5" i="32"/>
  <c r="C5" i="32"/>
  <c r="D6" i="32"/>
  <c r="D5" i="32"/>
  <c r="B6" i="32"/>
  <c r="O41" i="37"/>
  <c r="L41" i="37"/>
  <c r="L40" i="37"/>
  <c r="L50" i="37"/>
  <c r="L49" i="37"/>
  <c r="L48" i="37"/>
  <c r="L42" i="37"/>
  <c r="L45" i="37"/>
  <c r="L44" i="37"/>
  <c r="M38" i="37"/>
  <c r="L38" i="37"/>
  <c r="L37" i="37"/>
  <c r="N14" i="37"/>
  <c r="M14" i="37"/>
  <c r="N13" i="37"/>
  <c r="N10" i="37"/>
  <c r="N9" i="37"/>
  <c r="N6" i="37"/>
  <c r="N5" i="37"/>
  <c r="T1" i="37"/>
  <c r="R1" i="37"/>
  <c r="Q1" i="37"/>
  <c r="P1" i="37"/>
  <c r="O1" i="37"/>
  <c r="L31" i="37"/>
  <c r="L30" i="37"/>
  <c r="L27" i="37"/>
  <c r="L25" i="37"/>
  <c r="L23" i="37"/>
  <c r="L21" i="37"/>
  <c r="L19" i="37"/>
  <c r="L17" i="37"/>
  <c r="L15" i="37"/>
  <c r="L14" i="37"/>
  <c r="L13" i="37"/>
  <c r="L12" i="37"/>
  <c r="L11" i="37"/>
  <c r="L10" i="37"/>
  <c r="L9" i="37"/>
  <c r="L8" i="37"/>
  <c r="L7" i="37"/>
  <c r="L6" i="37"/>
  <c r="L5" i="37"/>
  <c r="L4" i="37"/>
  <c r="M13" i="37"/>
  <c r="E14" i="37" l="1"/>
  <c r="F14" i="37"/>
  <c r="G14" i="37"/>
  <c r="D14" i="37"/>
  <c r="M9" i="37"/>
  <c r="R14" i="37" l="1"/>
  <c r="Q14" i="37"/>
  <c r="P14" i="37"/>
  <c r="O14" i="37"/>
  <c r="M10" i="37"/>
  <c r="AD6" i="32" l="1"/>
  <c r="R6" i="32" l="1"/>
  <c r="L6" i="32"/>
  <c r="P6" i="32"/>
  <c r="Q6" i="32"/>
  <c r="S6" i="32"/>
  <c r="E20" i="9"/>
  <c r="D27" i="37" s="1"/>
  <c r="U6" i="32" l="1"/>
  <c r="O27" i="37"/>
  <c r="F20" i="9"/>
  <c r="I40" i="27"/>
  <c r="H39" i="27"/>
  <c r="G38" i="27"/>
  <c r="I18" i="13"/>
  <c r="J18" i="13" s="1"/>
  <c r="K18" i="13" s="1"/>
  <c r="L18" i="13" s="1"/>
  <c r="M18" i="13" s="1"/>
  <c r="N18" i="13" s="1"/>
  <c r="H18" i="13"/>
  <c r="G18" i="13"/>
  <c r="F18" i="13"/>
  <c r="G37" i="13" l="1"/>
  <c r="I37" i="13"/>
  <c r="M37" i="13"/>
  <c r="J37" i="13"/>
  <c r="N37" i="13"/>
  <c r="K37" i="13"/>
  <c r="H37" i="13"/>
  <c r="L37" i="13"/>
  <c r="H38" i="27"/>
  <c r="I38" i="27" s="1"/>
  <c r="J38" i="27" s="1"/>
  <c r="K38" i="27" s="1"/>
  <c r="L38" i="13"/>
  <c r="I38" i="13"/>
  <c r="M38" i="13"/>
  <c r="J38" i="13"/>
  <c r="N38" i="13"/>
  <c r="H38" i="13"/>
  <c r="K38" i="13"/>
  <c r="I39" i="27"/>
  <c r="J39" i="27" s="1"/>
  <c r="K39" i="27" s="1"/>
  <c r="L39" i="27" s="1"/>
  <c r="K39" i="13"/>
  <c r="I39" i="13"/>
  <c r="L39" i="13"/>
  <c r="M39" i="13"/>
  <c r="J39" i="13"/>
  <c r="N39" i="13"/>
  <c r="J40" i="27"/>
  <c r="K40" i="27" s="1"/>
  <c r="L40" i="27" s="1"/>
  <c r="M40" i="27" s="1"/>
  <c r="H7" i="13"/>
  <c r="H35" i="13" s="1"/>
  <c r="I7" i="13"/>
  <c r="J7" i="13" s="1"/>
  <c r="F7" i="27"/>
  <c r="F36" i="27" s="1"/>
  <c r="E27" i="37"/>
  <c r="G20" i="9"/>
  <c r="G13" i="37"/>
  <c r="R13" i="37" s="1"/>
  <c r="F13" i="37"/>
  <c r="Q13" i="37" s="1"/>
  <c r="E13" i="37"/>
  <c r="P13" i="37" s="1"/>
  <c r="D13" i="37"/>
  <c r="O13" i="37" s="1"/>
  <c r="K8" i="27" l="1"/>
  <c r="F8" i="27"/>
  <c r="G37" i="27"/>
  <c r="H37" i="27" s="1"/>
  <c r="I37" i="27" s="1"/>
  <c r="J37" i="27" s="1"/>
  <c r="L8" i="27"/>
  <c r="I36" i="27"/>
  <c r="M8" i="27"/>
  <c r="F27" i="37"/>
  <c r="H20" i="9"/>
  <c r="G27" i="37" s="1"/>
  <c r="D15" i="37"/>
  <c r="E15" i="37"/>
  <c r="F15" i="37"/>
  <c r="G15" i="37"/>
  <c r="R15" i="37" l="1"/>
  <c r="P15" i="37"/>
  <c r="Q15" i="37"/>
  <c r="J36" i="27"/>
  <c r="K7" i="27"/>
  <c r="O15" i="37"/>
  <c r="I15" i="37"/>
  <c r="AD10" i="32"/>
  <c r="AD15" i="32"/>
  <c r="AD16" i="32"/>
  <c r="AD17" i="32"/>
  <c r="AD18" i="32"/>
  <c r="AD22" i="32"/>
  <c r="AD23" i="32"/>
  <c r="AD27" i="32"/>
  <c r="AD28" i="32"/>
  <c r="L7" i="27" l="1"/>
  <c r="K36" i="27"/>
  <c r="T15" i="37"/>
  <c r="M7" i="27" l="1"/>
  <c r="M36" i="27" s="1"/>
  <c r="L36" i="27"/>
  <c r="B5" i="37"/>
  <c r="M5" i="37" s="1"/>
  <c r="B6" i="37"/>
  <c r="M6" i="37" s="1"/>
  <c r="F14" i="9"/>
  <c r="D13" i="31"/>
  <c r="G14" i="9" s="1"/>
  <c r="E13" i="31"/>
  <c r="H14" i="9" s="1"/>
  <c r="AD24" i="32" l="1"/>
  <c r="AD19" i="32" l="1"/>
  <c r="E10" i="37" l="1"/>
  <c r="F10" i="37"/>
  <c r="I14" i="32"/>
  <c r="J18" i="32"/>
  <c r="S18" i="32" s="1"/>
  <c r="J16" i="32"/>
  <c r="S16" i="32" s="1"/>
  <c r="I15" i="32"/>
  <c r="R15" i="32" s="1"/>
  <c r="J27" i="32"/>
  <c r="J14" i="32"/>
  <c r="J10" i="32"/>
  <c r="S10" i="32" s="1"/>
  <c r="J7" i="32"/>
  <c r="S7" i="32" s="1"/>
  <c r="J15" i="32"/>
  <c r="S15" i="32" s="1"/>
  <c r="J9" i="32"/>
  <c r="S9" i="32" s="1"/>
  <c r="N6" i="32"/>
  <c r="W6" i="32" s="1"/>
  <c r="M6" i="32"/>
  <c r="V6" i="32" s="1"/>
  <c r="C16" i="32"/>
  <c r="M16" i="32" s="1"/>
  <c r="C18" i="32"/>
  <c r="M18" i="32" s="1"/>
  <c r="P22" i="32"/>
  <c r="I7" i="32"/>
  <c r="R7" i="32" s="1"/>
  <c r="D10" i="32"/>
  <c r="N10" i="32" s="1"/>
  <c r="D7" i="32"/>
  <c r="D8" i="32"/>
  <c r="N8" i="32" s="1"/>
  <c r="D14" i="32"/>
  <c r="D9" i="32"/>
  <c r="N9" i="32" s="1"/>
  <c r="I5" i="32"/>
  <c r="I10" i="32"/>
  <c r="R10" i="32" s="1"/>
  <c r="I27" i="32"/>
  <c r="C23" i="32"/>
  <c r="M23" i="32" s="1"/>
  <c r="G15" i="32"/>
  <c r="P15" i="32" s="1"/>
  <c r="J23" i="32"/>
  <c r="S23" i="32" s="1"/>
  <c r="D22" i="32"/>
  <c r="D23" i="32"/>
  <c r="N23" i="32" s="1"/>
  <c r="I16" i="32"/>
  <c r="R16" i="32" s="1"/>
  <c r="I9" i="32"/>
  <c r="R9" i="32" s="1"/>
  <c r="C7" i="32"/>
  <c r="C22" i="32"/>
  <c r="G9" i="32"/>
  <c r="P9" i="32" s="1"/>
  <c r="G16" i="32"/>
  <c r="P16" i="32" s="1"/>
  <c r="G8" i="32"/>
  <c r="P8" i="32" s="1"/>
  <c r="E18" i="32"/>
  <c r="O18" i="32" s="1"/>
  <c r="E10" i="32"/>
  <c r="O10" i="32" s="1"/>
  <c r="E14" i="32"/>
  <c r="H10" i="32"/>
  <c r="Q10" i="32" s="1"/>
  <c r="H8" i="32"/>
  <c r="Q8" i="32" s="1"/>
  <c r="H14" i="32"/>
  <c r="L8" i="32"/>
  <c r="J8" i="32"/>
  <c r="S8" i="32" s="1"/>
  <c r="D16" i="32"/>
  <c r="N16" i="32" s="1"/>
  <c r="D18" i="32"/>
  <c r="N18" i="32" s="1"/>
  <c r="C9" i="32"/>
  <c r="M9" i="32" s="1"/>
  <c r="G18" i="32"/>
  <c r="P18" i="32" s="1"/>
  <c r="E9" i="32"/>
  <c r="O9" i="32" s="1"/>
  <c r="H16" i="32"/>
  <c r="Q16" i="32" s="1"/>
  <c r="B16" i="32"/>
  <c r="L16" i="32" s="1"/>
  <c r="B23" i="32"/>
  <c r="L23" i="32" s="1"/>
  <c r="D15" i="32"/>
  <c r="N15" i="32" s="1"/>
  <c r="C15" i="32"/>
  <c r="M15" i="32" s="1"/>
  <c r="G14" i="32"/>
  <c r="E15" i="32"/>
  <c r="O15" i="32" s="1"/>
  <c r="E7" i="32"/>
  <c r="H18" i="32"/>
  <c r="Q18" i="32" s="1"/>
  <c r="B10" i="32"/>
  <c r="L10" i="32" s="1"/>
  <c r="B14" i="32"/>
  <c r="D27" i="32"/>
  <c r="I18" i="32"/>
  <c r="R18" i="32" s="1"/>
  <c r="C17" i="32"/>
  <c r="M17" i="32" s="1"/>
  <c r="C27" i="32"/>
  <c r="C8" i="32"/>
  <c r="M8" i="32" s="1"/>
  <c r="G27" i="32"/>
  <c r="P27" i="32" s="1"/>
  <c r="G10" i="32"/>
  <c r="P10" i="32" s="1"/>
  <c r="P23" i="32"/>
  <c r="E17" i="32"/>
  <c r="O17" i="32" s="1"/>
  <c r="E23" i="32"/>
  <c r="O23" i="32" s="1"/>
  <c r="E27" i="32"/>
  <c r="H9" i="32"/>
  <c r="Q9" i="32" s="1"/>
  <c r="H23" i="32"/>
  <c r="Q23" i="32" s="1"/>
  <c r="H15" i="32"/>
  <c r="Q15" i="32" s="1"/>
  <c r="H5" i="32"/>
  <c r="L7" i="32"/>
  <c r="B9" i="32"/>
  <c r="B27" i="32"/>
  <c r="B28" i="32" s="1"/>
  <c r="D17" i="32"/>
  <c r="N17" i="32" s="1"/>
  <c r="I8" i="32"/>
  <c r="R8" i="32" s="1"/>
  <c r="C10" i="32"/>
  <c r="M10" i="32" s="1"/>
  <c r="G7" i="32"/>
  <c r="P7" i="32" s="1"/>
  <c r="I23" i="32"/>
  <c r="R23" i="32" s="1"/>
  <c r="E8" i="32"/>
  <c r="O8" i="32" s="1"/>
  <c r="E22" i="32"/>
  <c r="H7" i="32"/>
  <c r="Q7" i="32" s="1"/>
  <c r="L18" i="32"/>
  <c r="B22" i="32"/>
  <c r="L22" i="32" s="1"/>
  <c r="L24" i="32" s="1"/>
  <c r="C14" i="32"/>
  <c r="G5" i="32"/>
  <c r="P5" i="32" s="1"/>
  <c r="E16" i="32"/>
  <c r="O16" i="32" s="1"/>
  <c r="O6" i="32"/>
  <c r="X6" i="32" s="1"/>
  <c r="H27" i="32"/>
  <c r="B17" i="32"/>
  <c r="L17" i="32" s="1"/>
  <c r="B15" i="32"/>
  <c r="L15" i="32" s="1"/>
  <c r="J5" i="32"/>
  <c r="U5" i="32" l="1"/>
  <c r="P11" i="32"/>
  <c r="P24" i="32"/>
  <c r="Q10" i="37"/>
  <c r="P10" i="37"/>
  <c r="Q5" i="32"/>
  <c r="H11" i="32"/>
  <c r="U18" i="32"/>
  <c r="P14" i="32"/>
  <c r="G19" i="32"/>
  <c r="R5" i="32"/>
  <c r="R11" i="32" s="1"/>
  <c r="I11" i="32"/>
  <c r="S5" i="32"/>
  <c r="S11" i="32" s="1"/>
  <c r="J11" i="32"/>
  <c r="G11" i="32"/>
  <c r="B19" i="32"/>
  <c r="M7" i="32"/>
  <c r="V7" i="32" s="1"/>
  <c r="C11" i="32"/>
  <c r="L9" i="32"/>
  <c r="U9" i="32" s="1"/>
  <c r="B11" i="32"/>
  <c r="O7" i="32"/>
  <c r="E11" i="32"/>
  <c r="N7" i="32"/>
  <c r="W7" i="32" s="1"/>
  <c r="D11" i="32"/>
  <c r="C15" i="31"/>
  <c r="E9" i="37"/>
  <c r="D15" i="31"/>
  <c r="F9" i="37"/>
  <c r="W8" i="32"/>
  <c r="U10" i="32"/>
  <c r="X8" i="32"/>
  <c r="V8" i="32"/>
  <c r="U8" i="32"/>
  <c r="E28" i="32"/>
  <c r="O27" i="32"/>
  <c r="O28" i="32" s="1"/>
  <c r="R17" i="32"/>
  <c r="Q27" i="32"/>
  <c r="Q28" i="32" s="1"/>
  <c r="H28" i="32"/>
  <c r="M14" i="32"/>
  <c r="M19" i="32" s="1"/>
  <c r="C19" i="32"/>
  <c r="E24" i="32"/>
  <c r="O22" i="32"/>
  <c r="O24" i="32" s="1"/>
  <c r="P28" i="32"/>
  <c r="Q11" i="32"/>
  <c r="U22" i="32"/>
  <c r="S14" i="32"/>
  <c r="M5" i="32"/>
  <c r="L27" i="32"/>
  <c r="L28" i="32" s="1"/>
  <c r="U23" i="32"/>
  <c r="C28" i="32"/>
  <c r="M27" i="32"/>
  <c r="M28" i="32" s="1"/>
  <c r="H24" i="32"/>
  <c r="Q22" i="32"/>
  <c r="Q24" i="32" s="1"/>
  <c r="M22" i="32"/>
  <c r="M24" i="32" s="1"/>
  <c r="C24" i="32"/>
  <c r="J24" i="32"/>
  <c r="S22" i="32"/>
  <c r="S24" i="32" s="1"/>
  <c r="R27" i="32"/>
  <c r="R28" i="32" s="1"/>
  <c r="I28" i="32"/>
  <c r="S27" i="32"/>
  <c r="S28" i="32" s="1"/>
  <c r="J28" i="32"/>
  <c r="R14" i="32"/>
  <c r="R22" i="32"/>
  <c r="R24" i="32" s="1"/>
  <c r="I24" i="32"/>
  <c r="N27" i="32"/>
  <c r="N28" i="32" s="1"/>
  <c r="D28" i="32"/>
  <c r="O5" i="32"/>
  <c r="S17" i="32"/>
  <c r="U15" i="32"/>
  <c r="N5" i="32"/>
  <c r="U7" i="32"/>
  <c r="U11" i="32" s="1"/>
  <c r="L14" i="32"/>
  <c r="L19" i="32" s="1"/>
  <c r="Q17" i="32"/>
  <c r="Q14" i="32"/>
  <c r="Q19" i="32" s="1"/>
  <c r="O14" i="32"/>
  <c r="O19" i="32" s="1"/>
  <c r="E19" i="32"/>
  <c r="U16" i="32"/>
  <c r="N22" i="32"/>
  <c r="N24" i="32" s="1"/>
  <c r="D24" i="32"/>
  <c r="N14" i="32"/>
  <c r="N19" i="32" s="1"/>
  <c r="D19" i="32"/>
  <c r="V9" i="32"/>
  <c r="E14" i="9"/>
  <c r="G28" i="32"/>
  <c r="G24" i="32"/>
  <c r="V16" i="32"/>
  <c r="V23" i="32"/>
  <c r="P17" i="32"/>
  <c r="B24" i="32"/>
  <c r="W10" i="32"/>
  <c r="V10" i="32"/>
  <c r="V15" i="32"/>
  <c r="W9" i="32"/>
  <c r="W16" i="32"/>
  <c r="W15" i="32"/>
  <c r="W23" i="32"/>
  <c r="R19" i="32" l="1"/>
  <c r="S19" i="32"/>
  <c r="P29" i="32"/>
  <c r="U24" i="32"/>
  <c r="P19" i="32"/>
  <c r="L11" i="32"/>
  <c r="L29" i="32" s="1"/>
  <c r="N11" i="32"/>
  <c r="N29" i="32" s="1"/>
  <c r="O11" i="32"/>
  <c r="O29" i="32" s="1"/>
  <c r="M11" i="32"/>
  <c r="M29" i="32" s="1"/>
  <c r="B29" i="32"/>
  <c r="U14" i="32"/>
  <c r="U19" i="32" s="1"/>
  <c r="D9" i="37"/>
  <c r="O9" i="37" s="1"/>
  <c r="E11" i="37"/>
  <c r="P9" i="37"/>
  <c r="F11" i="37"/>
  <c r="Q9" i="37"/>
  <c r="C29" i="32"/>
  <c r="V14" i="32"/>
  <c r="R29" i="32"/>
  <c r="I5" i="31" s="1"/>
  <c r="F6" i="37" s="1"/>
  <c r="Q6" i="37" s="1"/>
  <c r="H19" i="32"/>
  <c r="H29" i="32" s="1"/>
  <c r="W14" i="32"/>
  <c r="I19" i="32"/>
  <c r="I29" i="32" s="1"/>
  <c r="S29" i="32"/>
  <c r="J5" i="31" s="1"/>
  <c r="G6" i="37" s="1"/>
  <c r="R6" i="37" s="1"/>
  <c r="J19" i="32"/>
  <c r="J29" i="32" s="1"/>
  <c r="Q29" i="32"/>
  <c r="H5" i="31" s="1"/>
  <c r="E6" i="37" s="1"/>
  <c r="P6" i="37" s="1"/>
  <c r="D29" i="32"/>
  <c r="E29" i="32"/>
  <c r="U27" i="32"/>
  <c r="U28" i="32" s="1"/>
  <c r="U17" i="32"/>
  <c r="X15" i="32"/>
  <c r="W18" i="32"/>
  <c r="X14" i="32"/>
  <c r="X23" i="32"/>
  <c r="V5" i="32"/>
  <c r="V11" i="32" s="1"/>
  <c r="X9" i="32"/>
  <c r="X5" i="32"/>
  <c r="X22" i="32"/>
  <c r="X24" i="32" s="1"/>
  <c r="W5" i="32"/>
  <c r="W11" i="32" s="1"/>
  <c r="V27" i="32"/>
  <c r="V28" i="32" s="1"/>
  <c r="X10" i="32"/>
  <c r="V17" i="32"/>
  <c r="W27" i="32"/>
  <c r="W28" i="32" s="1"/>
  <c r="V18" i="32"/>
  <c r="X16" i="32"/>
  <c r="V22" i="32"/>
  <c r="V24" i="32" s="1"/>
  <c r="W22" i="32"/>
  <c r="W24" i="32" s="1"/>
  <c r="X27" i="32"/>
  <c r="X28" i="32" s="1"/>
  <c r="X18" i="32"/>
  <c r="X7" i="32"/>
  <c r="U29" i="32" l="1"/>
  <c r="V19" i="32"/>
  <c r="V29" i="32"/>
  <c r="X11" i="32"/>
  <c r="Q11" i="37"/>
  <c r="P11" i="37"/>
  <c r="D10" i="37"/>
  <c r="G29" i="32"/>
  <c r="W17" i="32"/>
  <c r="W19" i="32" s="1"/>
  <c r="W29" i="32" s="1"/>
  <c r="X17" i="32"/>
  <c r="X19" i="32" s="1"/>
  <c r="D5" i="31"/>
  <c r="F5" i="37" s="1"/>
  <c r="X29" i="32" l="1"/>
  <c r="O10" i="37"/>
  <c r="B15" i="31"/>
  <c r="G9" i="37"/>
  <c r="R9" i="37" s="1"/>
  <c r="F7" i="37"/>
  <c r="Q7" i="37" s="1"/>
  <c r="Q5" i="37"/>
  <c r="D11" i="37"/>
  <c r="B5" i="31"/>
  <c r="C5" i="31"/>
  <c r="E5" i="37" s="1"/>
  <c r="D14" i="31"/>
  <c r="G10" i="37" l="1"/>
  <c r="D5" i="37"/>
  <c r="O5" i="37" s="1"/>
  <c r="B7" i="31"/>
  <c r="O11" i="37"/>
  <c r="E7" i="37"/>
  <c r="P5" i="37"/>
  <c r="G5" i="31"/>
  <c r="C14" i="31"/>
  <c r="G12" i="9"/>
  <c r="D16" i="31"/>
  <c r="G11" i="37" l="1"/>
  <c r="R10" i="37"/>
  <c r="E15" i="31"/>
  <c r="I11" i="37"/>
  <c r="T11" i="37" s="1"/>
  <c r="D6" i="37"/>
  <c r="B14" i="31"/>
  <c r="G7" i="31"/>
  <c r="P7" i="37"/>
  <c r="C16" i="31"/>
  <c r="F12" i="9"/>
  <c r="E5" i="31"/>
  <c r="R11" i="37" l="1"/>
  <c r="E12" i="9"/>
  <c r="B16" i="31"/>
  <c r="O6" i="37"/>
  <c r="D7" i="37"/>
  <c r="E14" i="31"/>
  <c r="E16" i="31" s="1"/>
  <c r="G5" i="37"/>
  <c r="O7" i="37" l="1"/>
  <c r="H12" i="9"/>
  <c r="G7" i="37"/>
  <c r="R5" i="37"/>
  <c r="R7" i="37" l="1"/>
  <c r="I7" i="37"/>
  <c r="T7" i="37" l="1"/>
  <c r="G7" i="13" l="1"/>
  <c r="J7" i="31" l="1"/>
  <c r="I7" i="31"/>
  <c r="H7" i="31"/>
  <c r="F7" i="31"/>
  <c r="E7" i="31"/>
  <c r="D7" i="31"/>
  <c r="C7" i="31"/>
  <c r="G3" i="30" l="1"/>
  <c r="F3" i="30"/>
  <c r="E3" i="30"/>
  <c r="D3" i="30"/>
  <c r="H3" i="30" l="1"/>
  <c r="E4" i="30"/>
  <c r="E13" i="30" s="1"/>
  <c r="H27" i="30"/>
  <c r="H17" i="30"/>
  <c r="E28" i="30" l="1"/>
  <c r="E18" i="30"/>
  <c r="E22" i="30" s="1"/>
  <c r="F4" i="30" l="1"/>
  <c r="G4" i="30"/>
  <c r="G13" i="30" s="1"/>
  <c r="F13" i="30" l="1"/>
  <c r="F18" i="30" s="1"/>
  <c r="H4" i="30"/>
  <c r="G28" i="30"/>
  <c r="G18" i="30"/>
  <c r="F28" i="30" l="1"/>
  <c r="H13" i="30"/>
  <c r="G22" i="30" l="1"/>
  <c r="F22" i="30"/>
  <c r="G32" i="30"/>
  <c r="F32" i="30"/>
  <c r="E32" i="30"/>
  <c r="H28" i="30"/>
  <c r="H18" i="30"/>
  <c r="H19" i="9" l="1"/>
  <c r="G23" i="37" s="1"/>
  <c r="G19" i="9"/>
  <c r="F23" i="37" s="1"/>
  <c r="F19" i="9"/>
  <c r="E23" i="37" s="1"/>
  <c r="E19" i="9"/>
  <c r="D23" i="37" s="1"/>
  <c r="O23" i="37" l="1"/>
  <c r="T24" i="37"/>
  <c r="F18" i="27"/>
  <c r="G36" i="27"/>
  <c r="H36" i="27"/>
  <c r="K19" i="27"/>
  <c r="L19" i="27" s="1"/>
  <c r="M19" i="27" s="1"/>
  <c r="G8" i="27" l="1"/>
  <c r="H8" i="27" s="1"/>
  <c r="I8" i="27" s="1"/>
  <c r="J8" i="27" s="1"/>
  <c r="G18" i="27"/>
  <c r="I18" i="27"/>
  <c r="H18" i="27"/>
  <c r="F10" i="27" l="1"/>
  <c r="F12" i="27" s="1"/>
  <c r="F13" i="27" s="1"/>
  <c r="F20" i="27" s="1"/>
  <c r="J18" i="27"/>
  <c r="F14" i="27" l="1"/>
  <c r="F15" i="27" s="1"/>
  <c r="F21" i="27"/>
  <c r="G10" i="27"/>
  <c r="G12" i="27" s="1"/>
  <c r="G13" i="27" s="1"/>
  <c r="G20" i="27" s="1"/>
  <c r="K18" i="27"/>
  <c r="F24" i="27" l="1"/>
  <c r="F28" i="27" s="1"/>
  <c r="H10" i="27"/>
  <c r="H12" i="27" s="1"/>
  <c r="H13" i="27" s="1"/>
  <c r="G21" i="27"/>
  <c r="G14" i="27"/>
  <c r="G15" i="27" s="1"/>
  <c r="L18" i="27"/>
  <c r="H20" i="27" l="1"/>
  <c r="H21" i="27" s="1"/>
  <c r="G24" i="27"/>
  <c r="E17" i="9"/>
  <c r="H14" i="27"/>
  <c r="H15" i="27" s="1"/>
  <c r="M18" i="27"/>
  <c r="I10" i="27"/>
  <c r="I12" i="27" s="1"/>
  <c r="I13" i="27" s="1"/>
  <c r="I20" i="27" l="1"/>
  <c r="J20" i="27" s="1"/>
  <c r="K20" i="27" s="1"/>
  <c r="L20" i="27" s="1"/>
  <c r="M20" i="27" s="1"/>
  <c r="F17" i="9"/>
  <c r="G28" i="27"/>
  <c r="H24" i="27"/>
  <c r="H28" i="27" s="1"/>
  <c r="I14" i="27"/>
  <c r="I15" i="27" s="1"/>
  <c r="J10" i="27"/>
  <c r="J12" i="27" s="1"/>
  <c r="J13" i="27" s="1"/>
  <c r="J21" i="27" l="1"/>
  <c r="G17" i="9"/>
  <c r="I21" i="27"/>
  <c r="I24" i="27" s="1"/>
  <c r="J14" i="27"/>
  <c r="J15" i="27" s="1"/>
  <c r="K10" i="27"/>
  <c r="K12" i="27" s="1"/>
  <c r="K13" i="27" s="1"/>
  <c r="J24" i="27" l="1"/>
  <c r="I28" i="27"/>
  <c r="H17" i="9"/>
  <c r="L10" i="27"/>
  <c r="L12" i="27" s="1"/>
  <c r="L13" i="27" s="1"/>
  <c r="K21" i="27"/>
  <c r="K14" i="27"/>
  <c r="K15" i="27" s="1"/>
  <c r="K24" i="27" l="1"/>
  <c r="M10" i="27"/>
  <c r="L14" i="27"/>
  <c r="L15" i="27" s="1"/>
  <c r="L21" i="27"/>
  <c r="L24" i="27" l="1"/>
  <c r="M12" i="27"/>
  <c r="M13" i="27" s="1"/>
  <c r="M21" i="27" l="1"/>
  <c r="M14" i="27"/>
  <c r="M15" i="27" s="1"/>
  <c r="M24" i="27" l="1"/>
  <c r="DP72" i="23"/>
  <c r="EC70" i="23"/>
  <c r="DY69" i="23"/>
  <c r="DY72" i="23" s="1"/>
  <c r="DX69" i="23"/>
  <c r="DX72" i="23" s="1"/>
  <c r="DW69" i="23"/>
  <c r="DW72" i="23" s="1"/>
  <c r="DV69" i="23"/>
  <c r="DV72" i="23" s="1"/>
  <c r="DU69" i="23"/>
  <c r="DU72" i="23" s="1"/>
  <c r="DT69" i="23"/>
  <c r="DT72" i="23" s="1"/>
  <c r="DS69" i="23"/>
  <c r="DQ69" i="23"/>
  <c r="DQ72" i="23" s="1"/>
  <c r="DP69" i="23"/>
  <c r="DO69" i="23"/>
  <c r="DO72" i="23" s="1"/>
  <c r="DN69" i="23"/>
  <c r="DN72" i="23" s="1"/>
  <c r="DM69" i="23"/>
  <c r="DM72" i="23" s="1"/>
  <c r="DL69" i="23"/>
  <c r="DL72" i="23" s="1"/>
  <c r="DK69" i="23"/>
  <c r="DK72" i="23" s="1"/>
  <c r="DJ69" i="23"/>
  <c r="DJ72" i="23" s="1"/>
  <c r="DI69" i="23"/>
  <c r="DI72" i="23" s="1"/>
  <c r="DH69" i="23"/>
  <c r="DH72" i="23" s="1"/>
  <c r="DG69" i="23"/>
  <c r="DG72" i="23" s="1"/>
  <c r="DS68" i="23"/>
  <c r="EC67" i="23"/>
  <c r="EC63" i="23"/>
  <c r="DY62" i="23"/>
  <c r="DJ62" i="23"/>
  <c r="DG62" i="23"/>
  <c r="DL61" i="23"/>
  <c r="DY60" i="23"/>
  <c r="DY61" i="23" s="1"/>
  <c r="DX60" i="23"/>
  <c r="DX62" i="23" s="1"/>
  <c r="DW60" i="23"/>
  <c r="DW62" i="23" s="1"/>
  <c r="DV60" i="23"/>
  <c r="DV62" i="23" s="1"/>
  <c r="DU60" i="23"/>
  <c r="DU61" i="23" s="1"/>
  <c r="DT60" i="23"/>
  <c r="DT61" i="23" s="1"/>
  <c r="DQ60" i="23"/>
  <c r="DQ62" i="23" s="1"/>
  <c r="DP60" i="23"/>
  <c r="DP62" i="23" s="1"/>
  <c r="DO60" i="23"/>
  <c r="DO61" i="23" s="1"/>
  <c r="DN60" i="23"/>
  <c r="DN61" i="23" s="1"/>
  <c r="DM60" i="23"/>
  <c r="DM62" i="23" s="1"/>
  <c r="DL60" i="23"/>
  <c r="DL62" i="23" s="1"/>
  <c r="DK60" i="23"/>
  <c r="DK61" i="23" s="1"/>
  <c r="DJ60" i="23"/>
  <c r="DJ61" i="23" s="1"/>
  <c r="DI60" i="23"/>
  <c r="DI62" i="23" s="1"/>
  <c r="DH60" i="23"/>
  <c r="DH62" i="23" s="1"/>
  <c r="DG60" i="23"/>
  <c r="DG61" i="23" s="1"/>
  <c r="EF59" i="23"/>
  <c r="EF58" i="23"/>
  <c r="EF57" i="23"/>
  <c r="EF56" i="23"/>
  <c r="EF55" i="23"/>
  <c r="EF54" i="23"/>
  <c r="EE51" i="23"/>
  <c r="W51" i="23"/>
  <c r="EE49" i="23"/>
  <c r="EE69" i="23" s="1"/>
  <c r="E48" i="23"/>
  <c r="EE47" i="23"/>
  <c r="EE68" i="23" s="1"/>
  <c r="DJ44" i="23"/>
  <c r="EF44" i="23"/>
  <c r="EF43" i="23"/>
  <c r="EF42" i="23"/>
  <c r="DK25" i="23"/>
  <c r="EF41" i="23"/>
  <c r="DK40" i="23"/>
  <c r="EF40" i="23"/>
  <c r="EF39" i="23"/>
  <c r="EF38" i="23"/>
  <c r="J38" i="23"/>
  <c r="EF37" i="23"/>
  <c r="EF36" i="23"/>
  <c r="CC36" i="23"/>
  <c r="DK35" i="23"/>
  <c r="DG16" i="23"/>
  <c r="EF35" i="23"/>
  <c r="CC35" i="23"/>
  <c r="EF34" i="23"/>
  <c r="CC34" i="23"/>
  <c r="EF33" i="23"/>
  <c r="CC33" i="23"/>
  <c r="EF32" i="23"/>
  <c r="CD37" i="23"/>
  <c r="CD39" i="23" s="1"/>
  <c r="CD41" i="23" s="1"/>
  <c r="EF31" i="23"/>
  <c r="CC31" i="23"/>
  <c r="DX30" i="23"/>
  <c r="EF30" i="23"/>
  <c r="AA30" i="23"/>
  <c r="EB28" i="23"/>
  <c r="EA28" i="23"/>
  <c r="EA45" i="23" s="1"/>
  <c r="DZ28" i="23"/>
  <c r="DY28" i="23"/>
  <c r="DW28" i="23"/>
  <c r="DV28" i="23"/>
  <c r="DU28" i="23"/>
  <c r="DT28" i="23"/>
  <c r="DQ28" i="23"/>
  <c r="DP28" i="23"/>
  <c r="DO28" i="23"/>
  <c r="DN28" i="23"/>
  <c r="DM28" i="23"/>
  <c r="DJ28" i="23"/>
  <c r="DI28" i="23"/>
  <c r="DH28" i="23"/>
  <c r="DG28" i="23"/>
  <c r="BU28" i="23"/>
  <c r="AJ28" i="23"/>
  <c r="DK27" i="23"/>
  <c r="EF27" i="23"/>
  <c r="EF26" i="23"/>
  <c r="EF25" i="23"/>
  <c r="DX24" i="23"/>
  <c r="CG24" i="23"/>
  <c r="AS24" i="23"/>
  <c r="CW23" i="23"/>
  <c r="CM23" i="23"/>
  <c r="CB23" i="23"/>
  <c r="R22" i="23"/>
  <c r="CW21" i="23"/>
  <c r="CM21" i="23"/>
  <c r="AA23" i="23"/>
  <c r="CZ20" i="23"/>
  <c r="CX20" i="23"/>
  <c r="CX21" i="23" s="1"/>
  <c r="CL21" i="23"/>
  <c r="EB19" i="23"/>
  <c r="EA19" i="23"/>
  <c r="DZ19" i="23"/>
  <c r="DY19" i="23"/>
  <c r="DW19" i="23"/>
  <c r="DV19" i="23"/>
  <c r="DU19" i="23"/>
  <c r="DT19" i="23"/>
  <c r="DQ19" i="23"/>
  <c r="DP19" i="23"/>
  <c r="DO19" i="23"/>
  <c r="DM19" i="23"/>
  <c r="DJ19" i="23"/>
  <c r="DI19" i="23"/>
  <c r="CZ19" i="23"/>
  <c r="DH18" i="23"/>
  <c r="EF18" i="23"/>
  <c r="CZ18" i="23"/>
  <c r="CC18" i="23"/>
  <c r="BP18" i="23"/>
  <c r="AX18" i="23"/>
  <c r="AO18" i="23"/>
  <c r="DX17" i="23"/>
  <c r="EF17" i="23"/>
  <c r="CW17" i="23"/>
  <c r="CM17" i="23"/>
  <c r="CC17" i="23"/>
  <c r="BL17" i="23"/>
  <c r="BG17" i="23"/>
  <c r="DR16" i="23"/>
  <c r="DR17" i="23" s="1"/>
  <c r="EF16" i="23"/>
  <c r="CX16" i="23"/>
  <c r="EB57" i="23" s="1"/>
  <c r="CN16" i="23"/>
  <c r="DZ57" i="23" s="1"/>
  <c r="CC16" i="23"/>
  <c r="ED15" i="23"/>
  <c r="ED16" i="23" s="1"/>
  <c r="ED17" i="23" s="1"/>
  <c r="ED18" i="23" s="1"/>
  <c r="ED19" i="23" s="1"/>
  <c r="ED20" i="23" s="1"/>
  <c r="ED21" i="23" s="1"/>
  <c r="ED22" i="23" s="1"/>
  <c r="ED23" i="23" s="1"/>
  <c r="ED24" i="23" s="1"/>
  <c r="ED25" i="23" s="1"/>
  <c r="ED26" i="23" s="1"/>
  <c r="ED27" i="23" s="1"/>
  <c r="ED28" i="23" s="1"/>
  <c r="ED29" i="23" s="1"/>
  <c r="ED30" i="23" s="1"/>
  <c r="ED31" i="23" s="1"/>
  <c r="ED32" i="23" s="1"/>
  <c r="ED33" i="23" s="1"/>
  <c r="ED34" i="23" s="1"/>
  <c r="ED35" i="23" s="1"/>
  <c r="ED36" i="23" s="1"/>
  <c r="ED37" i="23" s="1"/>
  <c r="ED38" i="23" s="1"/>
  <c r="ED39" i="23" s="1"/>
  <c r="ED40" i="23" s="1"/>
  <c r="ED41" i="23" s="1"/>
  <c r="ED42" i="23" s="1"/>
  <c r="ED43" i="23" s="1"/>
  <c r="ED44" i="23" s="1"/>
  <c r="ED45" i="23" s="1"/>
  <c r="ED46" i="23" s="1"/>
  <c r="ED47" i="23" s="1"/>
  <c r="ED48" i="23" s="1"/>
  <c r="ED49" i="23" s="1"/>
  <c r="ED50" i="23" s="1"/>
  <c r="ED51" i="23" s="1"/>
  <c r="ED52" i="23" s="1"/>
  <c r="ED53" i="23" s="1"/>
  <c r="ED54" i="23" s="1"/>
  <c r="ED55" i="23" s="1"/>
  <c r="ED56" i="23" s="1"/>
  <c r="ED57" i="23" s="1"/>
  <c r="ED58" i="23" s="1"/>
  <c r="ED59" i="23" s="1"/>
  <c r="ED60" i="23" s="1"/>
  <c r="DR15" i="23"/>
  <c r="DD15" i="23"/>
  <c r="DD16" i="23" s="1"/>
  <c r="DD17" i="23" s="1"/>
  <c r="DD18" i="23" s="1"/>
  <c r="DD19" i="23" s="1"/>
  <c r="DD20" i="23" s="1"/>
  <c r="DD21" i="23" s="1"/>
  <c r="DD22" i="23" s="1"/>
  <c r="DD23" i="23" s="1"/>
  <c r="DD24" i="23" s="1"/>
  <c r="DD25" i="23" s="1"/>
  <c r="DD26" i="23" s="1"/>
  <c r="DD27" i="23" s="1"/>
  <c r="DD28" i="23" s="1"/>
  <c r="DD29" i="23" s="1"/>
  <c r="DD30" i="23" s="1"/>
  <c r="DD31" i="23" s="1"/>
  <c r="DD32" i="23" s="1"/>
  <c r="DD33" i="23" s="1"/>
  <c r="DD34" i="23" s="1"/>
  <c r="DD35" i="23" s="1"/>
  <c r="DD36" i="23" s="1"/>
  <c r="DD37" i="23" s="1"/>
  <c r="DD38" i="23" s="1"/>
  <c r="DD39" i="23" s="1"/>
  <c r="DD40" i="23" s="1"/>
  <c r="DD41" i="23" s="1"/>
  <c r="DD42" i="23" s="1"/>
  <c r="DD43" i="23" s="1"/>
  <c r="DD44" i="23" s="1"/>
  <c r="DD45" i="23" s="1"/>
  <c r="DD46" i="23" s="1"/>
  <c r="DD47" i="23" s="1"/>
  <c r="DD48" i="23" s="1"/>
  <c r="DD49" i="23" s="1"/>
  <c r="DD50" i="23" s="1"/>
  <c r="DD51" i="23" s="1"/>
  <c r="DD52" i="23" s="1"/>
  <c r="DD53" i="23" s="1"/>
  <c r="DD54" i="23" s="1"/>
  <c r="DD55" i="23" s="1"/>
  <c r="DD56" i="23" s="1"/>
  <c r="DD57" i="23" s="1"/>
  <c r="DD58" i="23" s="1"/>
  <c r="DD59" i="23" s="1"/>
  <c r="DD60" i="23" s="1"/>
  <c r="CX15" i="23"/>
  <c r="EB55" i="23" s="1"/>
  <c r="CN15" i="23"/>
  <c r="DZ55" i="23" s="1"/>
  <c r="CC15" i="23"/>
  <c r="AA17" i="23"/>
  <c r="CZ14" i="23"/>
  <c r="CN14" i="23"/>
  <c r="DX25" i="23"/>
  <c r="BQ14" i="23"/>
  <c r="BN14" i="23"/>
  <c r="BN15" i="23" s="1"/>
  <c r="BN16" i="23" s="1"/>
  <c r="BN17" i="23" s="1"/>
  <c r="BN18" i="23" s="1"/>
  <c r="BN19" i="23" s="1"/>
  <c r="BN20" i="23" s="1"/>
  <c r="BM16" i="23"/>
  <c r="BD14" i="23"/>
  <c r="BD15" i="23" s="1"/>
  <c r="BD16" i="23" s="1"/>
  <c r="BD17" i="23" s="1"/>
  <c r="BD18" i="23" s="1"/>
  <c r="BD19" i="23" s="1"/>
  <c r="O15" i="23"/>
  <c r="CT13" i="23"/>
  <c r="CT14" i="23" s="1"/>
  <c r="CT15" i="23" s="1"/>
  <c r="CT16" i="23" s="1"/>
  <c r="CT17" i="23" s="1"/>
  <c r="CT18" i="23" s="1"/>
  <c r="CT19" i="23" s="1"/>
  <c r="CT20" i="23" s="1"/>
  <c r="CT21" i="23" s="1"/>
  <c r="CT22" i="23" s="1"/>
  <c r="CT23" i="23" s="1"/>
  <c r="CT24" i="23" s="1"/>
  <c r="CO13" i="23"/>
  <c r="CO14" i="23" s="1"/>
  <c r="CO15" i="23" s="1"/>
  <c r="CO16" i="23" s="1"/>
  <c r="CO17" i="23" s="1"/>
  <c r="CJ13" i="23"/>
  <c r="CJ14" i="23" s="1"/>
  <c r="CJ15" i="23" s="1"/>
  <c r="CJ16" i="23" s="1"/>
  <c r="CJ17" i="23" s="1"/>
  <c r="CJ18" i="23" s="1"/>
  <c r="CJ19" i="23" s="1"/>
  <c r="CJ20" i="23" s="1"/>
  <c r="CJ21" i="23" s="1"/>
  <c r="CJ22" i="23" s="1"/>
  <c r="CJ23" i="23" s="1"/>
  <c r="CJ24" i="23" s="1"/>
  <c r="CC13" i="23"/>
  <c r="BZ13" i="23"/>
  <c r="BZ14" i="23" s="1"/>
  <c r="BZ15" i="23" s="1"/>
  <c r="BZ16" i="23" s="1"/>
  <c r="BZ17" i="23" s="1"/>
  <c r="BZ18" i="23" s="1"/>
  <c r="BZ19" i="23" s="1"/>
  <c r="BZ20" i="23" s="1"/>
  <c r="BZ21" i="23" s="1"/>
  <c r="BZ22" i="23" s="1"/>
  <c r="BZ23" i="23" s="1"/>
  <c r="BZ24" i="23" s="1"/>
  <c r="BZ25" i="23" s="1"/>
  <c r="BZ26" i="23" s="1"/>
  <c r="BZ27" i="23" s="1"/>
  <c r="BZ28" i="23" s="1"/>
  <c r="BZ29" i="23" s="1"/>
  <c r="BZ30" i="23" s="1"/>
  <c r="BZ31" i="23" s="1"/>
  <c r="BZ32" i="23" s="1"/>
  <c r="BZ33" i="23" s="1"/>
  <c r="BZ34" i="23" s="1"/>
  <c r="BZ35" i="23" s="1"/>
  <c r="BZ36" i="23" s="1"/>
  <c r="BZ37" i="23" s="1"/>
  <c r="BZ38" i="23" s="1"/>
  <c r="BZ39" i="23" s="1"/>
  <c r="BZ40" i="23" s="1"/>
  <c r="BZ41" i="23" s="1"/>
  <c r="BZ42" i="23" s="1"/>
  <c r="BZ43" i="23" s="1"/>
  <c r="BZ44" i="23" s="1"/>
  <c r="BS13" i="23"/>
  <c r="BS14" i="23" s="1"/>
  <c r="BS15" i="23" s="1"/>
  <c r="BS16" i="23" s="1"/>
  <c r="BS17" i="23" s="1"/>
  <c r="BS18" i="23" s="1"/>
  <c r="BS19" i="23" s="1"/>
  <c r="BS20" i="23" s="1"/>
  <c r="BS21" i="23" s="1"/>
  <c r="BS22" i="23" s="1"/>
  <c r="BS23" i="23" s="1"/>
  <c r="BS24" i="23" s="1"/>
  <c r="BS25" i="23" s="1"/>
  <c r="BS26" i="23" s="1"/>
  <c r="BS27" i="23" s="1"/>
  <c r="BS28" i="23" s="1"/>
  <c r="BS29" i="23" s="1"/>
  <c r="BS30" i="23" s="1"/>
  <c r="BN13" i="23"/>
  <c r="BI13" i="23"/>
  <c r="BI14" i="23" s="1"/>
  <c r="BI15" i="23" s="1"/>
  <c r="BI16" i="23" s="1"/>
  <c r="BI17" i="23" s="1"/>
  <c r="BI18" i="23" s="1"/>
  <c r="BI19" i="23" s="1"/>
  <c r="BD13" i="23"/>
  <c r="AZ13" i="23"/>
  <c r="AZ14" i="23" s="1"/>
  <c r="AZ15" i="23" s="1"/>
  <c r="AU13" i="23"/>
  <c r="AU14" i="23" s="1"/>
  <c r="AU15" i="23" s="1"/>
  <c r="AU16" i="23" s="1"/>
  <c r="AU17" i="23" s="1"/>
  <c r="AU18" i="23" s="1"/>
  <c r="AU19" i="23" s="1"/>
  <c r="AU20" i="23" s="1"/>
  <c r="AL13" i="23"/>
  <c r="AL14" i="23" s="1"/>
  <c r="AL15" i="23" s="1"/>
  <c r="AL16" i="23" s="1"/>
  <c r="AL17" i="23" s="1"/>
  <c r="AL18" i="23" s="1"/>
  <c r="AL19" i="23" s="1"/>
  <c r="AL20" i="23" s="1"/>
  <c r="AC13" i="23"/>
  <c r="AC14" i="23" s="1"/>
  <c r="AC15" i="23" s="1"/>
  <c r="AC16" i="23" s="1"/>
  <c r="AC17" i="23" s="1"/>
  <c r="AC18" i="23" s="1"/>
  <c r="AC19" i="23" s="1"/>
  <c r="AC20" i="23" s="1"/>
  <c r="AC21" i="23" s="1"/>
  <c r="AC22" i="23" s="1"/>
  <c r="AC23" i="23" s="1"/>
  <c r="AC24" i="23" s="1"/>
  <c r="AC25" i="23" s="1"/>
  <c r="AC26" i="23" s="1"/>
  <c r="AC27" i="23" s="1"/>
  <c r="AC28" i="23" s="1"/>
  <c r="AC29" i="23" s="1"/>
  <c r="P13" i="23"/>
  <c r="P14" i="23" s="1"/>
  <c r="P15" i="23" s="1"/>
  <c r="P16" i="23" s="1"/>
  <c r="P17" i="23" s="1"/>
  <c r="P18" i="23" s="1"/>
  <c r="P19" i="23" s="1"/>
  <c r="P20" i="23" s="1"/>
  <c r="P21" i="23" s="1"/>
  <c r="P22" i="23" s="1"/>
  <c r="P23" i="23" s="1"/>
  <c r="P24" i="23" s="1"/>
  <c r="M13" i="23"/>
  <c r="M14" i="23" s="1"/>
  <c r="M15" i="23" s="1"/>
  <c r="M16" i="23" s="1"/>
  <c r="M17" i="23" s="1"/>
  <c r="M18" i="23" s="1"/>
  <c r="M19" i="23" s="1"/>
  <c r="M20" i="23" s="1"/>
  <c r="M21" i="23" s="1"/>
  <c r="M22" i="23" s="1"/>
  <c r="M23" i="23" s="1"/>
  <c r="M24" i="23" s="1"/>
  <c r="M25" i="23" s="1"/>
  <c r="M26" i="23" s="1"/>
  <c r="M27" i="23" s="1"/>
  <c r="M28" i="23" s="1"/>
  <c r="M29" i="23" s="1"/>
  <c r="DH12" i="23"/>
  <c r="DI12" i="23" s="1"/>
  <c r="CE12" i="23"/>
  <c r="CE13" i="23" s="1"/>
  <c r="CE14" i="23" s="1"/>
  <c r="CE15" i="23" s="1"/>
  <c r="CE16" i="23" s="1"/>
  <c r="CE17" i="23" s="1"/>
  <c r="CE18" i="23" s="1"/>
  <c r="CE19" i="23" s="1"/>
  <c r="CE20" i="23" s="1"/>
  <c r="CE21" i="23" s="1"/>
  <c r="CE22" i="23" s="1"/>
  <c r="CE23" i="23" s="1"/>
  <c r="CE24" i="23" s="1"/>
  <c r="CE25" i="23" s="1"/>
  <c r="BP12" i="23"/>
  <c r="BR12" i="23" s="1"/>
  <c r="BG14" i="23"/>
  <c r="BF14" i="23"/>
  <c r="DQ33" i="23"/>
  <c r="AX14" i="23"/>
  <c r="AW14" i="23"/>
  <c r="AN15" i="23"/>
  <c r="H12" i="23"/>
  <c r="H13" i="23" s="1"/>
  <c r="H14" i="23" s="1"/>
  <c r="H15" i="23" s="1"/>
  <c r="H17" i="23" s="1"/>
  <c r="H18" i="23" s="1"/>
  <c r="H19" i="23" s="1"/>
  <c r="H20" i="23" s="1"/>
  <c r="H21" i="23" s="1"/>
  <c r="H22" i="23" s="1"/>
  <c r="H23" i="23" s="1"/>
  <c r="H24" i="23" s="1"/>
  <c r="H25" i="23" s="1"/>
  <c r="H26" i="23" s="1"/>
  <c r="H27" i="23" s="1"/>
  <c r="H28" i="23" s="1"/>
  <c r="H29" i="23" s="1"/>
  <c r="H30" i="23" s="1"/>
  <c r="H31" i="23" s="1"/>
  <c r="H32" i="23" s="1"/>
  <c r="H33" i="23" s="1"/>
  <c r="H34" i="23" s="1"/>
  <c r="H35" i="23" s="1"/>
  <c r="H36" i="23" s="1"/>
  <c r="H37" i="23" s="1"/>
  <c r="H38" i="23" s="1"/>
  <c r="H39" i="23" s="1"/>
  <c r="H40" i="23" s="1"/>
  <c r="H41" i="23" s="1"/>
  <c r="H42" i="23" s="1"/>
  <c r="A12" i="23"/>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ED8" i="23"/>
  <c r="ED7" i="23"/>
  <c r="DR7" i="23"/>
  <c r="DD7" i="23"/>
  <c r="CY7" i="23"/>
  <c r="CT7" i="23"/>
  <c r="CO7" i="23"/>
  <c r="CJ7" i="23"/>
  <c r="CE7" i="23"/>
  <c r="BZ7" i="23"/>
  <c r="BS7" i="23"/>
  <c r="BN7" i="23"/>
  <c r="BI7" i="23"/>
  <c r="BD7" i="23"/>
  <c r="AZ7" i="23"/>
  <c r="AU7" i="23"/>
  <c r="AQ7" i="23"/>
  <c r="AL7" i="23"/>
  <c r="AC7" i="23"/>
  <c r="Y7" i="23"/>
  <c r="T7" i="23"/>
  <c r="P7" i="23"/>
  <c r="M7" i="23"/>
  <c r="DR6" i="23"/>
  <c r="DD6" i="23"/>
  <c r="CY6" i="23"/>
  <c r="CT6" i="23"/>
  <c r="CO6" i="23"/>
  <c r="CJ6" i="23"/>
  <c r="CE6" i="23"/>
  <c r="BZ6" i="23"/>
  <c r="BS6" i="23"/>
  <c r="BN6" i="23"/>
  <c r="BI6" i="23"/>
  <c r="BD6" i="23"/>
  <c r="AZ6" i="23"/>
  <c r="AU6" i="23"/>
  <c r="AQ6" i="23"/>
  <c r="AL6" i="23"/>
  <c r="AC6" i="23"/>
  <c r="Y6" i="23"/>
  <c r="T6" i="23"/>
  <c r="P6" i="23"/>
  <c r="M6" i="23"/>
  <c r="H6" i="23"/>
  <c r="ED5" i="23"/>
  <c r="DR4" i="23"/>
  <c r="DD4" i="23"/>
  <c r="CY4" i="23"/>
  <c r="CT4" i="23"/>
  <c r="CO4" i="23"/>
  <c r="CJ4" i="23"/>
  <c r="CE4" i="23"/>
  <c r="BZ4" i="23"/>
  <c r="BS4" i="23"/>
  <c r="BN4" i="23"/>
  <c r="BI4" i="23"/>
  <c r="BD4" i="23"/>
  <c r="AZ4" i="23"/>
  <c r="AU4" i="23"/>
  <c r="AQ4" i="23"/>
  <c r="AL4" i="23"/>
  <c r="AC4" i="23"/>
  <c r="Y4" i="23"/>
  <c r="T4" i="23"/>
  <c r="P4" i="23"/>
  <c r="M4" i="23"/>
  <c r="G3" i="23"/>
  <c r="DJ12" i="23" l="1"/>
  <c r="S3" i="23" s="1"/>
  <c r="O3" i="23"/>
  <c r="EA47" i="23"/>
  <c r="DM61" i="23"/>
  <c r="DQ61" i="23"/>
  <c r="DV61" i="23"/>
  <c r="L3" i="23"/>
  <c r="DN62" i="23"/>
  <c r="DI61" i="23"/>
  <c r="DO62" i="23"/>
  <c r="L35" i="23"/>
  <c r="DH40" i="23" s="1"/>
  <c r="E25" i="23"/>
  <c r="E23" i="23"/>
  <c r="AP14" i="23"/>
  <c r="DN42" i="23" s="1"/>
  <c r="CQ17" i="23"/>
  <c r="AA19" i="23"/>
  <c r="AB19" i="23" s="1"/>
  <c r="BV19" i="23"/>
  <c r="BV21" i="23" s="1"/>
  <c r="BV26" i="23" s="1"/>
  <c r="DW32" i="23" s="1"/>
  <c r="CR17" i="23"/>
  <c r="CV17" i="23"/>
  <c r="CS16" i="23"/>
  <c r="EA57" i="23" s="1"/>
  <c r="DF19" i="23"/>
  <c r="DK18" i="23"/>
  <c r="E17" i="23"/>
  <c r="E16" i="23"/>
  <c r="E21" i="23"/>
  <c r="DK28" i="23"/>
  <c r="E15" i="23"/>
  <c r="CS15" i="23"/>
  <c r="EA55" i="23" s="1"/>
  <c r="AT14" i="23"/>
  <c r="DO42" i="23" s="1"/>
  <c r="BU19" i="23"/>
  <c r="BU21" i="23" s="1"/>
  <c r="BU26" i="23" s="1"/>
  <c r="DW31" i="23" s="1"/>
  <c r="C26" i="23"/>
  <c r="BY15" i="23"/>
  <c r="DK34" i="23"/>
  <c r="CC14" i="23"/>
  <c r="CC19" i="23" s="1"/>
  <c r="E18" i="23"/>
  <c r="E24" i="23"/>
  <c r="CC32" i="23"/>
  <c r="CC37" i="23" s="1"/>
  <c r="AJ13" i="23"/>
  <c r="AK13" i="23" s="1"/>
  <c r="BY14" i="23"/>
  <c r="O28" i="23"/>
  <c r="DI44" i="23" s="1"/>
  <c r="BY18" i="23"/>
  <c r="CN20" i="23"/>
  <c r="DZ37" i="23" s="1"/>
  <c r="BY24" i="23"/>
  <c r="BY16" i="23"/>
  <c r="BY17" i="23"/>
  <c r="AJ18" i="23"/>
  <c r="E20" i="23"/>
  <c r="E22" i="23"/>
  <c r="DF28" i="23"/>
  <c r="DF45" i="23" s="1"/>
  <c r="E37" i="23"/>
  <c r="AJ12" i="23"/>
  <c r="AK12" i="23" s="1"/>
  <c r="K17" i="23"/>
  <c r="DH15" i="23" s="1"/>
  <c r="DH19" i="23" s="1"/>
  <c r="AP12" i="23"/>
  <c r="DN36" i="23" s="1"/>
  <c r="CI15" i="23"/>
  <c r="BX19" i="23"/>
  <c r="BX21" i="23" s="1"/>
  <c r="BX26" i="23" s="1"/>
  <c r="DW36" i="23" s="1"/>
  <c r="AJ14" i="23"/>
  <c r="AK14" i="23" s="1"/>
  <c r="DC14" i="23"/>
  <c r="DC16" i="23" s="1"/>
  <c r="BC15" i="23"/>
  <c r="EF15" i="23"/>
  <c r="EF19" i="23" s="1"/>
  <c r="AT18" i="23"/>
  <c r="DO36" i="23" s="1"/>
  <c r="CI18" i="23"/>
  <c r="O25" i="23"/>
  <c r="X48" i="23"/>
  <c r="DX19" i="23"/>
  <c r="DU36" i="23"/>
  <c r="BM17" i="23"/>
  <c r="DU43" i="23" s="1"/>
  <c r="DZ54" i="23"/>
  <c r="DZ60" i="23" s="1"/>
  <c r="CN17" i="23"/>
  <c r="DZ49" i="23" s="1"/>
  <c r="DZ69" i="23" s="1"/>
  <c r="DV41" i="23"/>
  <c r="BR14" i="23"/>
  <c r="BR16" i="23" s="1"/>
  <c r="DR18" i="23"/>
  <c r="EC17" i="23"/>
  <c r="EG17" i="23" s="1"/>
  <c r="EH17" i="23" s="1"/>
  <c r="O27" i="23"/>
  <c r="O19" i="23"/>
  <c r="AO15" i="23"/>
  <c r="AY12" i="23"/>
  <c r="AY14" i="23" s="1"/>
  <c r="BH12" i="23"/>
  <c r="BH14" i="23" s="1"/>
  <c r="E39" i="23"/>
  <c r="W30" i="23"/>
  <c r="X30" i="23" s="1"/>
  <c r="J21" i="23"/>
  <c r="DK12" i="23"/>
  <c r="X27" i="23"/>
  <c r="BY13" i="23"/>
  <c r="D26" i="23"/>
  <c r="BP14" i="23"/>
  <c r="CX14" i="23"/>
  <c r="DK15" i="23"/>
  <c r="EC16" i="23"/>
  <c r="EG16" i="23" s="1"/>
  <c r="EH16" i="23" s="1"/>
  <c r="CL17" i="23"/>
  <c r="EB37" i="23"/>
  <c r="CX23" i="23"/>
  <c r="EB43" i="23" s="1"/>
  <c r="DX28" i="23"/>
  <c r="E40" i="23"/>
  <c r="W31" i="23"/>
  <c r="X31" i="23" s="1"/>
  <c r="DK36" i="23" s="1"/>
  <c r="E14" i="23"/>
  <c r="CS14" i="23"/>
  <c r="E19" i="23"/>
  <c r="BW19" i="23"/>
  <c r="BW21" i="23" s="1"/>
  <c r="BW26" i="23" s="1"/>
  <c r="DW42" i="23" s="1"/>
  <c r="CB19" i="23"/>
  <c r="CD19" i="23"/>
  <c r="CD21" i="23" s="1"/>
  <c r="AA25" i="23"/>
  <c r="AB25" i="23" s="1"/>
  <c r="J22" i="23"/>
  <c r="CV21" i="23"/>
  <c r="DQ45" i="23"/>
  <c r="DQ47" i="23" s="1"/>
  <c r="EF24" i="23"/>
  <c r="G37" i="23"/>
  <c r="F37" i="23"/>
  <c r="CD42" i="23"/>
  <c r="CB37" i="23"/>
  <c r="DT62" i="23"/>
  <c r="DX61" i="23"/>
  <c r="DK62" i="23"/>
  <c r="DU62" i="23"/>
  <c r="DF60" i="23"/>
  <c r="EF60" i="23"/>
  <c r="DH61" i="23"/>
  <c r="DP61" i="23"/>
  <c r="J25" i="23" l="1"/>
  <c r="EC61" i="23"/>
  <c r="EB45" i="23"/>
  <c r="EB47" i="23" s="1"/>
  <c r="EB68" i="23" s="1"/>
  <c r="EB71" i="23" s="1"/>
  <c r="EA68" i="23"/>
  <c r="EA71" i="23" s="1"/>
  <c r="CS1" i="23"/>
  <c r="AB28" i="23"/>
  <c r="AB30" i="23" s="1"/>
  <c r="DL43" i="23" s="1"/>
  <c r="L20" i="23"/>
  <c r="DK19" i="23"/>
  <c r="DF47" i="23"/>
  <c r="DF68" i="23" s="1"/>
  <c r="DF71" i="23" s="1"/>
  <c r="AT22" i="23"/>
  <c r="AT24" i="23" s="1"/>
  <c r="DO43" i="23" s="1"/>
  <c r="DO45" i="23" s="1"/>
  <c r="DO47" i="23" s="1"/>
  <c r="AT20" i="23"/>
  <c r="E26" i="23"/>
  <c r="DZ62" i="23"/>
  <c r="CN21" i="23"/>
  <c r="CN23" i="23" s="1"/>
  <c r="DZ43" i="23" s="1"/>
  <c r="DZ45" i="23" s="1"/>
  <c r="DZ47" i="23" s="1"/>
  <c r="BY19" i="23"/>
  <c r="DU45" i="23"/>
  <c r="DU47" i="23" s="1"/>
  <c r="DU68" i="23" s="1"/>
  <c r="DU71" i="23" s="1"/>
  <c r="E43" i="23"/>
  <c r="F43" i="23" s="1"/>
  <c r="G44" i="23" s="1"/>
  <c r="DG42" i="23" s="1"/>
  <c r="CX24" i="23"/>
  <c r="AK16" i="23"/>
  <c r="AJ21" i="23" s="1"/>
  <c r="AJ22" i="23" s="1"/>
  <c r="AK25" i="23" s="1"/>
  <c r="BM19" i="23"/>
  <c r="W32" i="23"/>
  <c r="X32" i="23" s="1"/>
  <c r="DK42" i="23" s="1"/>
  <c r="AP15" i="23"/>
  <c r="AP17" i="23" s="1"/>
  <c r="AP18" i="23" s="1"/>
  <c r="CI20" i="23"/>
  <c r="CI22" i="23" s="1"/>
  <c r="DY42" i="23" s="1"/>
  <c r="DL36" i="23"/>
  <c r="EF49" i="23"/>
  <c r="EF62" i="23" s="1"/>
  <c r="BY21" i="23"/>
  <c r="BY26" i="23" s="1"/>
  <c r="DF49" i="23"/>
  <c r="DF69" i="23" s="1"/>
  <c r="DF72" i="23" s="1"/>
  <c r="F40" i="23"/>
  <c r="DG36" i="23" s="1"/>
  <c r="DG15" i="23"/>
  <c r="EJ15" i="23" s="1"/>
  <c r="F39" i="23"/>
  <c r="CD23" i="23"/>
  <c r="DX43" i="23" s="1"/>
  <c r="DX45" i="23" s="1"/>
  <c r="DX47" i="23" s="1"/>
  <c r="EA54" i="23"/>
  <c r="EA60" i="23" s="1"/>
  <c r="CS17" i="23"/>
  <c r="EA49" i="23" s="1"/>
  <c r="EA69" i="23" s="1"/>
  <c r="EA72" i="23" s="1"/>
  <c r="DP36" i="23"/>
  <c r="AY16" i="23"/>
  <c r="DI43" i="23"/>
  <c r="DI45" i="23" s="1"/>
  <c r="DI47" i="23" s="1"/>
  <c r="O29" i="23"/>
  <c r="BR18" i="23"/>
  <c r="DV44" i="23" s="1"/>
  <c r="DV45" i="23" s="1"/>
  <c r="DV47" i="23" s="1"/>
  <c r="DL12" i="23"/>
  <c r="X3" i="23"/>
  <c r="EF28" i="23"/>
  <c r="EF45" i="23" s="1"/>
  <c r="EF47" i="23" s="1"/>
  <c r="DC18" i="23"/>
  <c r="DC19" i="23"/>
  <c r="DC20" i="23" s="1"/>
  <c r="DK33" i="23"/>
  <c r="DQ68" i="23"/>
  <c r="DQ71" i="23" s="1"/>
  <c r="BC1" i="23"/>
  <c r="DT36" i="23"/>
  <c r="BH16" i="23"/>
  <c r="EC18" i="23"/>
  <c r="EG18" i="23" s="1"/>
  <c r="EH18" i="23" s="1"/>
  <c r="DR19" i="23"/>
  <c r="BH51" i="23"/>
  <c r="EB54" i="23"/>
  <c r="EB60" i="23" s="1"/>
  <c r="CX17" i="23"/>
  <c r="EB49" i="23" s="1"/>
  <c r="EB69" i="23" s="1"/>
  <c r="EB72" i="23" s="1"/>
  <c r="K25" i="23"/>
  <c r="L27" i="23" s="1"/>
  <c r="DH42" i="23" s="1"/>
  <c r="K21" i="23"/>
  <c r="K22" i="23"/>
  <c r="DH36" i="23" s="1"/>
  <c r="DZ72" i="23"/>
  <c r="CX1" i="23" l="1"/>
  <c r="DF61" i="23"/>
  <c r="X33" i="23"/>
  <c r="X50" i="23" s="1"/>
  <c r="X51" i="23" s="1"/>
  <c r="DK43" i="23" s="1"/>
  <c r="DK45" i="23" s="1"/>
  <c r="DK47" i="23" s="1"/>
  <c r="EC69" i="23"/>
  <c r="BM1" i="23"/>
  <c r="EB62" i="23"/>
  <c r="EC72" i="23"/>
  <c r="EA62" i="23"/>
  <c r="AK27" i="23"/>
  <c r="AK28" i="23"/>
  <c r="DM43" i="23" s="1"/>
  <c r="DM33" i="23"/>
  <c r="DN43" i="23"/>
  <c r="DN45" i="23" s="1"/>
  <c r="DN47" i="23" s="1"/>
  <c r="DN68" i="23" s="1"/>
  <c r="DN71" i="23" s="1"/>
  <c r="AP20" i="23"/>
  <c r="CI24" i="23"/>
  <c r="DY43" i="23" s="1"/>
  <c r="DY45" i="23" s="1"/>
  <c r="DY47" i="23" s="1"/>
  <c r="DX68" i="23"/>
  <c r="DX71" i="23" s="1"/>
  <c r="DR20" i="23"/>
  <c r="DR21" i="23" s="1"/>
  <c r="DR22" i="23" s="1"/>
  <c r="DR23" i="23" s="1"/>
  <c r="DR24" i="23" s="1"/>
  <c r="DZ68" i="23"/>
  <c r="DZ71" i="23" s="1"/>
  <c r="BR20" i="23"/>
  <c r="BM51" i="23" s="1"/>
  <c r="AY18" i="23"/>
  <c r="DP43" i="23" s="1"/>
  <c r="DP45" i="23" s="1"/>
  <c r="DP47" i="23" s="1"/>
  <c r="CD24" i="23"/>
  <c r="CD44" i="23" s="1"/>
  <c r="EF69" i="23"/>
  <c r="EF72" i="23" s="1"/>
  <c r="AB31" i="23"/>
  <c r="DI68" i="23"/>
  <c r="DI71" i="23" s="1"/>
  <c r="O1" i="23"/>
  <c r="BH17" i="23"/>
  <c r="DT43" i="23" s="1"/>
  <c r="DT45" i="23" s="1"/>
  <c r="DT47" i="23" s="1"/>
  <c r="DM12" i="23"/>
  <c r="AB3" i="23"/>
  <c r="DV68" i="23"/>
  <c r="DV71" i="23" s="1"/>
  <c r="G41" i="23"/>
  <c r="G46" i="23" s="1"/>
  <c r="DG33" i="23"/>
  <c r="BY28" i="23"/>
  <c r="DW43" i="23" s="1"/>
  <c r="DW45" i="23" s="1"/>
  <c r="DW47" i="23" s="1"/>
  <c r="DF51" i="23"/>
  <c r="DL45" i="23"/>
  <c r="DL47" i="23" s="1"/>
  <c r="EF68" i="23"/>
  <c r="EF71" i="23" s="1"/>
  <c r="EF51" i="23"/>
  <c r="DO68" i="23"/>
  <c r="DO71" i="23" s="1"/>
  <c r="DH33" i="23"/>
  <c r="L24" i="23"/>
  <c r="L37" i="23" s="1"/>
  <c r="AT26" i="23"/>
  <c r="AT51" i="23" s="1"/>
  <c r="CN24" i="23"/>
  <c r="CN1" i="23" s="1"/>
  <c r="DG19" i="23"/>
  <c r="EC19" i="23" s="1"/>
  <c r="B37" i="37"/>
  <c r="DF62" i="23"/>
  <c r="C38" i="37" l="1"/>
  <c r="M37" i="37"/>
  <c r="AT1" i="23"/>
  <c r="EC62" i="23"/>
  <c r="CI25" i="23"/>
  <c r="BD51" i="23" s="1"/>
  <c r="DM45" i="23"/>
  <c r="DM47" i="23" s="1"/>
  <c r="DM68" i="23" s="1"/>
  <c r="DM71" i="23" s="1"/>
  <c r="AK29" i="23"/>
  <c r="AP1" i="23"/>
  <c r="BH19" i="23"/>
  <c r="BH1" i="23" s="1"/>
  <c r="DK68" i="23"/>
  <c r="DK71" i="23" s="1"/>
  <c r="DT68" i="23"/>
  <c r="DT71" i="23" s="1"/>
  <c r="G48" i="23"/>
  <c r="DG43" i="23" s="1"/>
  <c r="DG45" i="23" s="1"/>
  <c r="DG47" i="23" s="1"/>
  <c r="DR25" i="23"/>
  <c r="EC24" i="23"/>
  <c r="EG24" i="23" s="1"/>
  <c r="DY68" i="23"/>
  <c r="DY71" i="23" s="1"/>
  <c r="L39" i="23"/>
  <c r="DH43" i="23" s="1"/>
  <c r="DH45" i="23" s="1"/>
  <c r="DH47" i="23" s="1"/>
  <c r="DW68" i="23"/>
  <c r="DW71" i="23" s="1"/>
  <c r="DP68" i="23"/>
  <c r="DP71" i="23" s="1"/>
  <c r="DN12" i="23"/>
  <c r="AK3" i="23"/>
  <c r="X52" i="23"/>
  <c r="X1" i="23" s="1"/>
  <c r="CD1" i="23"/>
  <c r="DL68" i="23"/>
  <c r="DL71" i="23" s="1"/>
  <c r="AB1" i="23"/>
  <c r="EG19" i="23"/>
  <c r="BY30" i="23"/>
  <c r="BY1" i="23" s="1"/>
  <c r="BR1" i="23"/>
  <c r="AY20" i="23"/>
  <c r="AY51" i="23" s="1"/>
  <c r="D38" i="37" l="1"/>
  <c r="D40" i="37"/>
  <c r="P40" i="37"/>
  <c r="CI1" i="23"/>
  <c r="BY50" i="23"/>
  <c r="L41" i="23"/>
  <c r="L1" i="23" s="1"/>
  <c r="AK1" i="23"/>
  <c r="EH19" i="23"/>
  <c r="A4" i="9"/>
  <c r="C4" i="9" s="1"/>
  <c r="C5" i="9" s="1"/>
  <c r="AY1" i="23"/>
  <c r="DG68" i="23"/>
  <c r="EH24" i="23"/>
  <c r="DR26" i="23"/>
  <c r="EC25" i="23"/>
  <c r="EG25" i="23" s="1"/>
  <c r="EH25" i="23" s="1"/>
  <c r="AP3" i="23"/>
  <c r="DO12" i="23"/>
  <c r="DH68" i="23"/>
  <c r="DH71" i="23" s="1"/>
  <c r="G49" i="23"/>
  <c r="G1" i="23" s="1"/>
  <c r="D44" i="37" l="1"/>
  <c r="D45" i="37" s="1"/>
  <c r="O45" i="37" s="1"/>
  <c r="O40" i="37"/>
  <c r="D42" i="37"/>
  <c r="O42" i="37" s="1"/>
  <c r="E38" i="37"/>
  <c r="P38" i="37" s="1"/>
  <c r="O38" i="37"/>
  <c r="D4" i="9"/>
  <c r="D5" i="9" s="1"/>
  <c r="DR27" i="23"/>
  <c r="EC26" i="23"/>
  <c r="EG26" i="23" s="1"/>
  <c r="EH26" i="23" s="1"/>
  <c r="DP12" i="23"/>
  <c r="AT3" i="23"/>
  <c r="DG71" i="23"/>
  <c r="O44" i="37" l="1"/>
  <c r="F38" i="37"/>
  <c r="Q38" i="37" s="1"/>
  <c r="Q40" i="37"/>
  <c r="G40" i="37"/>
  <c r="R40" i="37" s="1"/>
  <c r="DQ12" i="23"/>
  <c r="AY3" i="23"/>
  <c r="EC27" i="23"/>
  <c r="EG27" i="23" s="1"/>
  <c r="EH27" i="23" s="1"/>
  <c r="EH28" i="23" s="1"/>
  <c r="DR28" i="23"/>
  <c r="G38" i="37" l="1"/>
  <c r="R38" i="37" s="1"/>
  <c r="EG28" i="23"/>
  <c r="DR29" i="23"/>
  <c r="DR30" i="23" s="1"/>
  <c r="EC28" i="23"/>
  <c r="BC3" i="23"/>
  <c r="DT12" i="23"/>
  <c r="BH3" i="23" l="1"/>
  <c r="DU12" i="23"/>
  <c r="DR31" i="23"/>
  <c r="EC30" i="23"/>
  <c r="EG30" i="23" s="1"/>
  <c r="EH30" i="23" l="1"/>
  <c r="DR32" i="23"/>
  <c r="EC31" i="23"/>
  <c r="EG31" i="23" s="1"/>
  <c r="EH31" i="23" s="1"/>
  <c r="DV12" i="23"/>
  <c r="BM3" i="23"/>
  <c r="DW12" i="23" l="1"/>
  <c r="BR3" i="23"/>
  <c r="DR33" i="23"/>
  <c r="EC32" i="23"/>
  <c r="EG32" i="23" s="1"/>
  <c r="DR34" i="23" l="1"/>
  <c r="EC33" i="23"/>
  <c r="EG33" i="23" s="1"/>
  <c r="EH33" i="23" s="1"/>
  <c r="EH32" i="23"/>
  <c r="BY3" i="23"/>
  <c r="DX12" i="23"/>
  <c r="CD3" i="23" l="1"/>
  <c r="DY12" i="23"/>
  <c r="EC34" i="23"/>
  <c r="EG34" i="23" s="1"/>
  <c r="DR35" i="23"/>
  <c r="DR36" i="23" l="1"/>
  <c r="EC35" i="23"/>
  <c r="EG35" i="23" s="1"/>
  <c r="EH35" i="23" s="1"/>
  <c r="EH34" i="23"/>
  <c r="DZ12" i="23"/>
  <c r="CI3" i="23"/>
  <c r="EA12" i="23" l="1"/>
  <c r="CN3" i="23"/>
  <c r="EC36" i="23"/>
  <c r="EG36" i="23" s="1"/>
  <c r="EH36" i="23" s="1"/>
  <c r="DR37" i="23"/>
  <c r="DR38" i="23" l="1"/>
  <c r="EC37" i="23"/>
  <c r="EG37" i="23" s="1"/>
  <c r="EH37" i="23" s="1"/>
  <c r="CS3" i="23"/>
  <c r="EB12" i="23"/>
  <c r="CX3" i="23" s="1"/>
  <c r="EC38" i="23" l="1"/>
  <c r="EG38" i="23" s="1"/>
  <c r="EH38" i="23" s="1"/>
  <c r="DR39" i="23"/>
  <c r="EC39" i="23" l="1"/>
  <c r="EG39" i="23" s="1"/>
  <c r="EH39" i="23" s="1"/>
  <c r="DR40" i="23"/>
  <c r="DR41" i="23" l="1"/>
  <c r="EC40" i="23"/>
  <c r="EG40" i="23" s="1"/>
  <c r="EH40" i="23" s="1"/>
  <c r="DR42" i="23" l="1"/>
  <c r="EC41" i="23"/>
  <c r="EG41" i="23" s="1"/>
  <c r="EH41" i="23" s="1"/>
  <c r="DR43" i="23" l="1"/>
  <c r="EC42" i="23"/>
  <c r="EG42" i="23" s="1"/>
  <c r="EH42" i="23" s="1"/>
  <c r="DR44" i="23" l="1"/>
  <c r="EC44" i="23" l="1"/>
  <c r="EG44" i="23" s="1"/>
  <c r="DR45" i="23"/>
  <c r="DR46" i="23" l="1"/>
  <c r="DR47" i="23" s="1"/>
  <c r="EH44" i="23"/>
  <c r="DR48" i="23" l="1"/>
  <c r="DR49" i="23" s="1"/>
  <c r="EC49" i="23" l="1"/>
  <c r="EG49" i="23" s="1"/>
  <c r="DR50" i="23"/>
  <c r="DR51" i="23" s="1"/>
  <c r="DR52" i="23" s="1"/>
  <c r="DR53" i="23" s="1"/>
  <c r="DR54" i="23" s="1"/>
  <c r="EC54" i="23" l="1"/>
  <c r="EG54" i="23" s="1"/>
  <c r="DR55" i="23"/>
  <c r="EG69" i="23"/>
  <c r="EG72" i="23" s="1"/>
  <c r="EH49" i="23"/>
  <c r="EH69" i="23" l="1"/>
  <c r="EH72" i="23" s="1"/>
  <c r="R12" i="23"/>
  <c r="S15" i="23" s="1"/>
  <c r="S20" i="23" s="1"/>
  <c r="S22" i="23" s="1"/>
  <c r="EC55" i="23"/>
  <c r="EG55" i="23" s="1"/>
  <c r="EH55" i="23" s="1"/>
  <c r="DR56" i="23"/>
  <c r="EH54" i="23"/>
  <c r="EC56" i="23" l="1"/>
  <c r="EG56" i="23" s="1"/>
  <c r="EH56" i="23" s="1"/>
  <c r="DR57" i="23"/>
  <c r="DJ43" i="23"/>
  <c r="S24" i="23"/>
  <c r="DR58" i="23" l="1"/>
  <c r="EC57" i="23"/>
  <c r="EG57" i="23" s="1"/>
  <c r="DJ45" i="23"/>
  <c r="EC43" i="23"/>
  <c r="EG43" i="23" s="1"/>
  <c r="EH43" i="23" l="1"/>
  <c r="EH45" i="23" s="1"/>
  <c r="EH47" i="23" s="1"/>
  <c r="EG45" i="23"/>
  <c r="EG47" i="23" s="1"/>
  <c r="EG68" i="23" s="1"/>
  <c r="EG71" i="23" s="1"/>
  <c r="DJ47" i="23"/>
  <c r="EC45" i="23"/>
  <c r="EH57" i="23"/>
  <c r="DR59" i="23"/>
  <c r="EC58" i="23"/>
  <c r="EG58" i="23" s="1"/>
  <c r="EH58" i="23" s="1"/>
  <c r="DR60" i="23" l="1"/>
  <c r="EC60" i="23" s="1"/>
  <c r="EC59" i="23"/>
  <c r="EG59" i="23" s="1"/>
  <c r="EH59" i="23" s="1"/>
  <c r="DJ68" i="23"/>
  <c r="S1" i="23"/>
  <c r="EC47" i="23"/>
  <c r="EC51" i="23" s="1"/>
  <c r="EG60" i="23"/>
  <c r="EG62" i="23" s="1"/>
  <c r="EH60" i="23"/>
  <c r="EH62" i="23" s="1"/>
  <c r="EH51" i="23"/>
  <c r="EH68" i="23"/>
  <c r="EH71" i="23" s="1"/>
  <c r="DJ71" i="23" l="1"/>
  <c r="EC71" i="23" s="1"/>
  <c r="EC68" i="23"/>
  <c r="F7" i="13" l="1"/>
  <c r="G2" i="2"/>
  <c r="G35" i="13" l="1"/>
  <c r="I35" i="13"/>
  <c r="I17" i="13" s="1"/>
  <c r="F35" i="13"/>
  <c r="J35" i="13"/>
  <c r="J17" i="13" s="1"/>
  <c r="K7" i="13"/>
  <c r="M53" i="12"/>
  <c r="L53" i="12"/>
  <c r="K53" i="12"/>
  <c r="J53" i="12"/>
  <c r="I53" i="12"/>
  <c r="H53" i="12"/>
  <c r="G53" i="12"/>
  <c r="F53" i="12"/>
  <c r="E53" i="12"/>
  <c r="G36" i="13" l="1"/>
  <c r="H36" i="13" s="1"/>
  <c r="I36" i="13" s="1"/>
  <c r="J36" i="13" s="1"/>
  <c r="K36" i="13" s="1"/>
  <c r="L36" i="13" s="1"/>
  <c r="M36" i="13" s="1"/>
  <c r="N36" i="13" s="1"/>
  <c r="F8" i="13"/>
  <c r="G8" i="13" s="1"/>
  <c r="H17" i="13"/>
  <c r="F17" i="13"/>
  <c r="G17" i="13"/>
  <c r="L7" i="13"/>
  <c r="K35" i="13"/>
  <c r="K17" i="13" s="1"/>
  <c r="H87" i="12"/>
  <c r="I87" i="12" s="1"/>
  <c r="J87" i="12" s="1"/>
  <c r="K87" i="12" s="1"/>
  <c r="L87" i="12" s="1"/>
  <c r="M87" i="12" s="1"/>
  <c r="G87" i="12"/>
  <c r="F87" i="12"/>
  <c r="E87" i="12"/>
  <c r="E85" i="12"/>
  <c r="M83" i="12"/>
  <c r="M82" i="12"/>
  <c r="L82" i="12"/>
  <c r="K82" i="12"/>
  <c r="J82" i="12"/>
  <c r="I82" i="12"/>
  <c r="H82" i="12"/>
  <c r="G82" i="12"/>
  <c r="F82" i="12"/>
  <c r="E82" i="12"/>
  <c r="M81" i="12"/>
  <c r="L81" i="12"/>
  <c r="K81" i="12"/>
  <c r="J81" i="12"/>
  <c r="I81" i="12"/>
  <c r="H81" i="12"/>
  <c r="G81" i="12"/>
  <c r="F81" i="12"/>
  <c r="E81" i="12"/>
  <c r="M80" i="12"/>
  <c r="L80" i="12"/>
  <c r="K80" i="12"/>
  <c r="J80" i="12"/>
  <c r="I80" i="12"/>
  <c r="H80" i="12"/>
  <c r="G80" i="12"/>
  <c r="F80" i="12"/>
  <c r="E80" i="12"/>
  <c r="C71" i="12"/>
  <c r="C73" i="12" s="1"/>
  <c r="D70" i="12"/>
  <c r="E70" i="12" s="1"/>
  <c r="F70" i="12" s="1"/>
  <c r="G70" i="12" s="1"/>
  <c r="H70" i="12" s="1"/>
  <c r="I70" i="12" s="1"/>
  <c r="J70" i="12" s="1"/>
  <c r="K70" i="12" s="1"/>
  <c r="L70" i="12" s="1"/>
  <c r="M70" i="12" s="1"/>
  <c r="H58" i="12"/>
  <c r="I58" i="12" s="1"/>
  <c r="J58" i="12" s="1"/>
  <c r="K58" i="12" s="1"/>
  <c r="L58" i="12" s="1"/>
  <c r="M58" i="12" s="1"/>
  <c r="G58" i="12"/>
  <c r="F58" i="12"/>
  <c r="E58" i="12"/>
  <c r="E56" i="12"/>
  <c r="M54" i="12"/>
  <c r="M52" i="12"/>
  <c r="L52" i="12"/>
  <c r="K52" i="12"/>
  <c r="J52" i="12"/>
  <c r="I52" i="12"/>
  <c r="H52" i="12"/>
  <c r="G52" i="12"/>
  <c r="F52" i="12"/>
  <c r="E52" i="12"/>
  <c r="M51" i="12"/>
  <c r="L51" i="12"/>
  <c r="K51" i="12"/>
  <c r="J51" i="12"/>
  <c r="I51" i="12"/>
  <c r="H51" i="12"/>
  <c r="G51" i="12"/>
  <c r="F51" i="12"/>
  <c r="E51" i="12"/>
  <c r="C44" i="12"/>
  <c r="D42" i="12"/>
  <c r="C42" i="12"/>
  <c r="D41" i="12"/>
  <c r="E41" i="12" s="1"/>
  <c r="F41" i="12" s="1"/>
  <c r="G41" i="12" s="1"/>
  <c r="H41" i="12" s="1"/>
  <c r="I41" i="12" s="1"/>
  <c r="J41" i="12" s="1"/>
  <c r="K41" i="12" s="1"/>
  <c r="L41" i="12" s="1"/>
  <c r="M41" i="12" s="1"/>
  <c r="H24" i="12"/>
  <c r="I24" i="12" s="1"/>
  <c r="J24" i="12" s="1"/>
  <c r="K24" i="12" s="1"/>
  <c r="L24" i="12" s="1"/>
  <c r="M24" i="12" s="1"/>
  <c r="G24" i="12"/>
  <c r="F24" i="12"/>
  <c r="E24" i="12"/>
  <c r="E22" i="12"/>
  <c r="M18" i="12"/>
  <c r="L18" i="12"/>
  <c r="K18" i="12"/>
  <c r="J18" i="12"/>
  <c r="I18" i="12"/>
  <c r="H18" i="12"/>
  <c r="G18" i="12"/>
  <c r="F18" i="12"/>
  <c r="E18" i="12"/>
  <c r="M17" i="12"/>
  <c r="L17" i="12"/>
  <c r="K17" i="12"/>
  <c r="J17" i="12"/>
  <c r="I17" i="12"/>
  <c r="H17" i="12"/>
  <c r="G17" i="12"/>
  <c r="F17" i="12"/>
  <c r="E17" i="12"/>
  <c r="M16" i="12"/>
  <c r="L16" i="12"/>
  <c r="K16" i="12"/>
  <c r="J16" i="12"/>
  <c r="I16" i="12"/>
  <c r="H16" i="12"/>
  <c r="G16" i="12"/>
  <c r="F16" i="12"/>
  <c r="E16" i="12"/>
  <c r="C6" i="12"/>
  <c r="C8" i="12" s="1"/>
  <c r="D5" i="12"/>
  <c r="E5" i="12" s="1"/>
  <c r="F5" i="12" s="1"/>
  <c r="G5" i="12" s="1"/>
  <c r="H5" i="12" s="1"/>
  <c r="I5" i="12" s="1"/>
  <c r="J5" i="12" s="1"/>
  <c r="K5" i="12" s="1"/>
  <c r="L5" i="12" s="1"/>
  <c r="M5" i="12" s="1"/>
  <c r="F9" i="13" l="1"/>
  <c r="F11" i="13" s="1"/>
  <c r="D6" i="12"/>
  <c r="D71" i="12"/>
  <c r="D73" i="12" s="1"/>
  <c r="E76" i="12" s="1"/>
  <c r="G9" i="13"/>
  <c r="E27" i="12"/>
  <c r="E28" i="12" s="1"/>
  <c r="E90" i="12"/>
  <c r="E91" i="12" s="1"/>
  <c r="L35" i="13"/>
  <c r="L17" i="13" s="1"/>
  <c r="M7" i="13"/>
  <c r="D8" i="12"/>
  <c r="E11" i="12" s="1"/>
  <c r="E6" i="12"/>
  <c r="D44" i="12"/>
  <c r="E47" i="12" s="1"/>
  <c r="E42" i="12"/>
  <c r="E61" i="12"/>
  <c r="E71" i="12"/>
  <c r="G11" i="13" l="1"/>
  <c r="G12" i="13" s="1"/>
  <c r="G13" i="13" s="1"/>
  <c r="F12" i="13"/>
  <c r="F13" i="13" s="1"/>
  <c r="H8" i="13"/>
  <c r="I8" i="13" s="1"/>
  <c r="G19" i="13"/>
  <c r="G20" i="13" s="1"/>
  <c r="G14" i="13"/>
  <c r="M35" i="13"/>
  <c r="M17" i="13" s="1"/>
  <c r="N7" i="13"/>
  <c r="E12" i="12"/>
  <c r="F71" i="12"/>
  <c r="E73" i="12"/>
  <c r="E44" i="12"/>
  <c r="F42" i="12"/>
  <c r="E77" i="12"/>
  <c r="E62" i="12"/>
  <c r="E63" i="12" s="1"/>
  <c r="E48" i="12"/>
  <c r="E8" i="12"/>
  <c r="E9" i="12" s="1"/>
  <c r="F6" i="12"/>
  <c r="F14" i="13" l="1"/>
  <c r="F19" i="13"/>
  <c r="F20" i="13" s="1"/>
  <c r="H9" i="13"/>
  <c r="H11" i="13" s="1"/>
  <c r="H12" i="13" s="1"/>
  <c r="G23" i="13"/>
  <c r="E20" i="37" s="1"/>
  <c r="P18" i="37" s="1"/>
  <c r="N35" i="13"/>
  <c r="N17" i="13" s="1"/>
  <c r="J8" i="13"/>
  <c r="I9" i="13"/>
  <c r="G71" i="12"/>
  <c r="F73" i="12"/>
  <c r="F76" i="12" s="1"/>
  <c r="G6" i="12"/>
  <c r="F8" i="12"/>
  <c r="G42" i="12"/>
  <c r="F44" i="12"/>
  <c r="F47" i="12" s="1"/>
  <c r="E13" i="12"/>
  <c r="F23" i="13" l="1"/>
  <c r="D20" i="37" s="1"/>
  <c r="O18" i="37" s="1"/>
  <c r="F18" i="9"/>
  <c r="E30" i="37" s="1"/>
  <c r="E18" i="9"/>
  <c r="D30" i="37" s="1"/>
  <c r="H19" i="13"/>
  <c r="H20" i="13" s="1"/>
  <c r="H13" i="13"/>
  <c r="H14" i="13" s="1"/>
  <c r="K8" i="13"/>
  <c r="J9" i="13"/>
  <c r="I11" i="13"/>
  <c r="I12" i="13" s="1"/>
  <c r="G8" i="12"/>
  <c r="G9" i="12" s="1"/>
  <c r="H6" i="12"/>
  <c r="G73" i="12"/>
  <c r="G76" i="12" s="1"/>
  <c r="H71" i="12"/>
  <c r="F48" i="12"/>
  <c r="H42" i="12"/>
  <c r="G44" i="12"/>
  <c r="G47" i="12" s="1"/>
  <c r="F9" i="12"/>
  <c r="F11" i="12"/>
  <c r="F77" i="12"/>
  <c r="H23" i="13" l="1"/>
  <c r="E22" i="9"/>
  <c r="E23" i="9" s="1"/>
  <c r="F22" i="9"/>
  <c r="E6" i="30" s="1"/>
  <c r="E9" i="30" s="1"/>
  <c r="L8" i="13"/>
  <c r="K9" i="13"/>
  <c r="K11" i="13" s="1"/>
  <c r="I19" i="13"/>
  <c r="I20" i="13" s="1"/>
  <c r="I13" i="13"/>
  <c r="I14" i="13" s="1"/>
  <c r="J11" i="13"/>
  <c r="J12" i="13" s="1"/>
  <c r="G48" i="12"/>
  <c r="G77" i="12"/>
  <c r="H73" i="12"/>
  <c r="H76" i="12" s="1"/>
  <c r="I71" i="12"/>
  <c r="F12" i="12"/>
  <c r="G11" i="12"/>
  <c r="H44" i="12"/>
  <c r="H47" i="12" s="1"/>
  <c r="I42" i="12"/>
  <c r="H8" i="12"/>
  <c r="H9" i="12" s="1"/>
  <c r="I6" i="12"/>
  <c r="G18" i="9" l="1"/>
  <c r="F30" i="37" s="1"/>
  <c r="F20" i="37"/>
  <c r="Q18" i="37" s="1"/>
  <c r="D31" i="37"/>
  <c r="D48" i="37" s="1"/>
  <c r="O48" i="37" s="1"/>
  <c r="O30" i="37"/>
  <c r="P19" i="37"/>
  <c r="B15" i="16"/>
  <c r="B16" i="16" s="1"/>
  <c r="D6" i="30"/>
  <c r="D9" i="30" s="1"/>
  <c r="G22" i="9"/>
  <c r="O19" i="37"/>
  <c r="I23" i="13"/>
  <c r="G20" i="37" s="1"/>
  <c r="R18" i="37" s="1"/>
  <c r="J19" i="13"/>
  <c r="J20" i="13" s="1"/>
  <c r="J13" i="13"/>
  <c r="J14" i="13" s="1"/>
  <c r="K12" i="13"/>
  <c r="M8" i="13"/>
  <c r="L9" i="13"/>
  <c r="H48" i="12"/>
  <c r="H77" i="12"/>
  <c r="F13" i="12"/>
  <c r="I44" i="12"/>
  <c r="I47" i="12" s="1"/>
  <c r="J42" i="12"/>
  <c r="I73" i="12"/>
  <c r="I76" i="12" s="1"/>
  <c r="J71" i="12"/>
  <c r="J6" i="12"/>
  <c r="I8" i="12"/>
  <c r="I9" i="12" s="1"/>
  <c r="G12" i="12"/>
  <c r="G13" i="12" s="1"/>
  <c r="H11" i="12"/>
  <c r="P20" i="37" l="1"/>
  <c r="E31" i="37"/>
  <c r="E48" i="37" s="1"/>
  <c r="P48" i="37" s="1"/>
  <c r="Q19" i="37"/>
  <c r="O20" i="37"/>
  <c r="E7" i="30"/>
  <c r="E14" i="30" s="1"/>
  <c r="E19" i="30" s="1"/>
  <c r="O31" i="37"/>
  <c r="J23" i="13"/>
  <c r="D49" i="37"/>
  <c r="O49" i="37" s="1"/>
  <c r="P41" i="37"/>
  <c r="H18" i="9"/>
  <c r="G30" i="37" s="1"/>
  <c r="P30" i="37"/>
  <c r="K19" i="13"/>
  <c r="K20" i="13" s="1"/>
  <c r="K13" i="13"/>
  <c r="K14" i="13" s="1"/>
  <c r="N8" i="13"/>
  <c r="N9" i="13" s="1"/>
  <c r="M9" i="13"/>
  <c r="M11" i="13" s="1"/>
  <c r="M12" i="13" s="1"/>
  <c r="L11" i="13"/>
  <c r="L12" i="13" s="1"/>
  <c r="I77" i="12"/>
  <c r="I48" i="12"/>
  <c r="K42" i="12"/>
  <c r="J44" i="12"/>
  <c r="J47" i="12" s="1"/>
  <c r="K6" i="12"/>
  <c r="J8" i="12"/>
  <c r="J9" i="12" s="1"/>
  <c r="H12" i="12"/>
  <c r="O12" i="12" s="1"/>
  <c r="I11" i="12"/>
  <c r="K71" i="12"/>
  <c r="J73" i="12"/>
  <c r="J76" i="12" s="1"/>
  <c r="O77" i="12"/>
  <c r="O48" i="12"/>
  <c r="Q41" i="37" l="1"/>
  <c r="P31" i="37"/>
  <c r="Q20" i="37"/>
  <c r="F31" i="37"/>
  <c r="E20" i="30"/>
  <c r="E29" i="30"/>
  <c r="E30" i="30" s="1"/>
  <c r="E33" i="30" s="1"/>
  <c r="E34" i="30" s="1"/>
  <c r="E15" i="30"/>
  <c r="H22" i="9"/>
  <c r="P44" i="37"/>
  <c r="E42" i="37"/>
  <c r="P42" i="37" s="1"/>
  <c r="D50" i="37"/>
  <c r="O50" i="37" s="1"/>
  <c r="K23" i="13"/>
  <c r="N11" i="13"/>
  <c r="N12" i="13" s="1"/>
  <c r="N13" i="13" s="1"/>
  <c r="N14" i="13" s="1"/>
  <c r="M19" i="13"/>
  <c r="M20" i="13" s="1"/>
  <c r="M13" i="13"/>
  <c r="M14" i="13" s="1"/>
  <c r="L13" i="13"/>
  <c r="L14" i="13" s="1"/>
  <c r="L19" i="13"/>
  <c r="L20" i="13" s="1"/>
  <c r="J77" i="12"/>
  <c r="K76" i="12"/>
  <c r="J48" i="12"/>
  <c r="I12" i="12"/>
  <c r="J11" i="12"/>
  <c r="H13" i="12"/>
  <c r="K44" i="12"/>
  <c r="K47" i="12" s="1"/>
  <c r="L42" i="12"/>
  <c r="O98" i="12"/>
  <c r="L71" i="12"/>
  <c r="K73" i="12"/>
  <c r="L6" i="12"/>
  <c r="K8" i="12"/>
  <c r="K9" i="12" s="1"/>
  <c r="F42" i="37" l="1"/>
  <c r="Q42" i="37" s="1"/>
  <c r="Q44" i="37"/>
  <c r="E23" i="30"/>
  <c r="E24" i="30" s="1"/>
  <c r="R19" i="37"/>
  <c r="G31" i="37"/>
  <c r="I31" i="37" s="1"/>
  <c r="T31" i="37" s="1"/>
  <c r="E45" i="37"/>
  <c r="E49" i="37" s="1"/>
  <c r="R30" i="37"/>
  <c r="Q30" i="37"/>
  <c r="F48" i="37"/>
  <c r="Q48" i="37" s="1"/>
  <c r="N19" i="13"/>
  <c r="N20" i="13" s="1"/>
  <c r="N23" i="13" s="1"/>
  <c r="L23" i="13"/>
  <c r="M23" i="13"/>
  <c r="L73" i="12"/>
  <c r="M71" i="12"/>
  <c r="M73" i="12" s="1"/>
  <c r="L44" i="12"/>
  <c r="L47" i="12" s="1"/>
  <c r="M42" i="12"/>
  <c r="M44" i="12" s="1"/>
  <c r="K48" i="12"/>
  <c r="J12" i="12"/>
  <c r="K11" i="12"/>
  <c r="L8" i="12"/>
  <c r="L9" i="12" s="1"/>
  <c r="M6" i="12"/>
  <c r="M8" i="12" s="1"/>
  <c r="M9" i="12" s="1"/>
  <c r="I13" i="12"/>
  <c r="K77" i="12"/>
  <c r="L76" i="12"/>
  <c r="Q45" i="37" l="1"/>
  <c r="R20" i="37"/>
  <c r="I20" i="37"/>
  <c r="T20" i="37" s="1"/>
  <c r="P45" i="37"/>
  <c r="E50" i="37"/>
  <c r="P50" i="37" s="1"/>
  <c r="P49" i="37"/>
  <c r="R31" i="37"/>
  <c r="G48" i="37"/>
  <c r="R48" i="37" s="1"/>
  <c r="R41" i="37"/>
  <c r="Q31" i="37"/>
  <c r="F49" i="37"/>
  <c r="L48" i="12"/>
  <c r="P48" i="12" s="1"/>
  <c r="M47" i="12"/>
  <c r="J13" i="12"/>
  <c r="L77" i="12"/>
  <c r="P77" i="12" s="1"/>
  <c r="M76" i="12"/>
  <c r="M77" i="12" s="1"/>
  <c r="K12" i="12"/>
  <c r="K13" i="12" s="1"/>
  <c r="L11" i="12"/>
  <c r="J24" i="37" l="1"/>
  <c r="U24" i="37" s="1"/>
  <c r="J20" i="37"/>
  <c r="U20" i="37" s="1"/>
  <c r="J28" i="37"/>
  <c r="U28" i="37" s="1"/>
  <c r="Q77" i="12"/>
  <c r="F50" i="37"/>
  <c r="Q50" i="37" s="1"/>
  <c r="Q49" i="37"/>
  <c r="G44" i="37"/>
  <c r="G42" i="37"/>
  <c r="R42" i="37" s="1"/>
  <c r="J31" i="37"/>
  <c r="U31" i="37" s="1"/>
  <c r="J15" i="37"/>
  <c r="U15" i="37" s="1"/>
  <c r="J11" i="37"/>
  <c r="U11" i="37" s="1"/>
  <c r="J7" i="37"/>
  <c r="U7" i="37" s="1"/>
  <c r="L12" i="12"/>
  <c r="L13" i="12" s="1"/>
  <c r="M11" i="12"/>
  <c r="M12" i="12" s="1"/>
  <c r="M13" i="12" s="1"/>
  <c r="M48" i="12"/>
  <c r="Q48" i="12" s="1"/>
  <c r="P98" i="12"/>
  <c r="Q12" i="12" l="1"/>
  <c r="P12" i="12"/>
  <c r="G45" i="37"/>
  <c r="R44" i="37"/>
  <c r="Q98" i="12"/>
  <c r="G49" i="37" l="1"/>
  <c r="R45" i="37"/>
  <c r="D3" i="9"/>
  <c r="E3" i="9" s="1"/>
  <c r="F3" i="9" s="1"/>
  <c r="G3" i="9" s="1"/>
  <c r="H3" i="9" s="1"/>
  <c r="G50" i="37" l="1"/>
  <c r="R50" i="37" s="1"/>
  <c r="R49" i="37"/>
  <c r="E4" i="9"/>
  <c r="E5" i="9" s="1"/>
  <c r="E8" i="9" l="1"/>
  <c r="E9" i="9"/>
  <c r="B13" i="16" s="1"/>
  <c r="E6" i="9"/>
  <c r="F4" i="9"/>
  <c r="F5" i="9" s="1"/>
  <c r="F8" i="9" l="1"/>
  <c r="F9" i="9" s="1"/>
  <c r="E24" i="9"/>
  <c r="B2" i="16" s="1"/>
  <c r="B7" i="16" s="1"/>
  <c r="B8" i="16"/>
  <c r="B11" i="16" s="1"/>
  <c r="B14" i="16"/>
  <c r="G4" i="9"/>
  <c r="G5" i="9" s="1"/>
  <c r="C8" i="16" l="1"/>
  <c r="F6" i="9"/>
  <c r="H4" i="9"/>
  <c r="H5" i="9" s="1"/>
  <c r="G6" i="9"/>
  <c r="H8" i="9" l="1"/>
  <c r="C11" i="16"/>
  <c r="C13" i="16"/>
  <c r="H6" i="9"/>
  <c r="D13" i="16" l="1"/>
  <c r="D14" i="16" s="1"/>
  <c r="D8" i="16"/>
  <c r="C14" i="16"/>
  <c r="H9" i="9" l="1"/>
  <c r="E13" i="16" s="1"/>
  <c r="E8" i="16"/>
  <c r="E11" i="16" s="1"/>
  <c r="D11" i="16"/>
  <c r="E14" i="16" l="1"/>
  <c r="B89" i="16" s="1"/>
  <c r="C89" i="16" l="1"/>
  <c r="H56" i="12"/>
  <c r="F56" i="12"/>
  <c r="F61" i="12" s="1"/>
  <c r="G56" i="12"/>
  <c r="G61" i="12" s="1"/>
  <c r="G62" i="12" s="1"/>
  <c r="G63" i="12" s="1"/>
  <c r="F62" i="12" l="1"/>
  <c r="F63" i="12" s="1"/>
  <c r="I56" i="12"/>
  <c r="H61" i="12"/>
  <c r="H62" i="12" s="1"/>
  <c r="H63" i="12" s="1"/>
  <c r="O61" i="12" l="1"/>
  <c r="J56" i="12"/>
  <c r="I61" i="12"/>
  <c r="O100" i="12"/>
  <c r="O63" i="12"/>
  <c r="O64" i="12" s="1"/>
  <c r="O101" i="12" s="1"/>
  <c r="F85" i="12" l="1"/>
  <c r="F90" i="12" s="1"/>
  <c r="F22" i="12"/>
  <c r="F27" i="12" s="1"/>
  <c r="C15" i="16"/>
  <c r="I62" i="12"/>
  <c r="I63" i="12" s="1"/>
  <c r="K56" i="12"/>
  <c r="J61" i="12"/>
  <c r="J62" i="12" s="1"/>
  <c r="J63" i="12" s="1"/>
  <c r="C16" i="16" l="1"/>
  <c r="G85" i="12"/>
  <c r="G90" i="12" s="1"/>
  <c r="G91" i="12" s="1"/>
  <c r="G22" i="12"/>
  <c r="G27" i="12" s="1"/>
  <c r="G28" i="12" s="1"/>
  <c r="F6" i="30"/>
  <c r="L56" i="12"/>
  <c r="K61" i="12"/>
  <c r="F23" i="9"/>
  <c r="F28" i="12"/>
  <c r="F91" i="12"/>
  <c r="F9" i="30" l="1"/>
  <c r="F7" i="30"/>
  <c r="G23" i="9"/>
  <c r="G24" i="9" s="1"/>
  <c r="D2" i="16" s="1"/>
  <c r="D15" i="16"/>
  <c r="F24" i="9"/>
  <c r="C2" i="16" s="1"/>
  <c r="M56" i="12"/>
  <c r="M61" i="12" s="1"/>
  <c r="M62" i="12" s="1"/>
  <c r="M63" i="12" s="1"/>
  <c r="L61" i="12"/>
  <c r="L62" i="12" s="1"/>
  <c r="L63" i="12" s="1"/>
  <c r="H85" i="12"/>
  <c r="H22" i="12"/>
  <c r="K62" i="12"/>
  <c r="K63" i="12" s="1"/>
  <c r="P61" i="12"/>
  <c r="F14" i="30" l="1"/>
  <c r="D16" i="16"/>
  <c r="C7" i="16"/>
  <c r="D7" i="16"/>
  <c r="P100" i="12"/>
  <c r="P63" i="12"/>
  <c r="P64" i="12" s="1"/>
  <c r="P101" i="12" s="1"/>
  <c r="I22" i="12"/>
  <c r="H27" i="12"/>
  <c r="I85" i="12"/>
  <c r="H90" i="12"/>
  <c r="Q61" i="12"/>
  <c r="E15" i="16" l="1"/>
  <c r="E16" i="16" s="1"/>
  <c r="B90" i="16" s="1"/>
  <c r="B92" i="16" s="1"/>
  <c r="G6" i="30"/>
  <c r="F15" i="30"/>
  <c r="F29" i="30"/>
  <c r="F19" i="30"/>
  <c r="H23" i="9"/>
  <c r="H28" i="12"/>
  <c r="O27" i="12"/>
  <c r="H91" i="12"/>
  <c r="O90" i="12"/>
  <c r="J22" i="12"/>
  <c r="I27" i="12"/>
  <c r="Q100" i="12"/>
  <c r="Q63" i="12"/>
  <c r="Q64" i="12" s="1"/>
  <c r="Q101" i="12" s="1"/>
  <c r="J85" i="12"/>
  <c r="I90" i="12"/>
  <c r="F30" i="30" l="1"/>
  <c r="G7" i="30"/>
  <c r="G9" i="30"/>
  <c r="F20" i="30"/>
  <c r="H24" i="9"/>
  <c r="E2" i="16" s="1"/>
  <c r="O103" i="12"/>
  <c r="O92" i="12"/>
  <c r="O93" i="12" s="1"/>
  <c r="O104" i="12" s="1"/>
  <c r="O106" i="12"/>
  <c r="O30" i="12"/>
  <c r="O31" i="12" s="1"/>
  <c r="O107" i="12" s="1"/>
  <c r="I91" i="12"/>
  <c r="I28" i="12"/>
  <c r="K85" i="12"/>
  <c r="J90" i="12"/>
  <c r="J91" i="12" s="1"/>
  <c r="K22" i="12"/>
  <c r="J27" i="12"/>
  <c r="J28" i="12" s="1"/>
  <c r="F23" i="30" l="1"/>
  <c r="F24" i="30" s="1"/>
  <c r="F33" i="30"/>
  <c r="F34" i="30" s="1"/>
  <c r="G14" i="30"/>
  <c r="F2" i="16"/>
  <c r="G2" i="16" s="1"/>
  <c r="E7" i="16"/>
  <c r="L22" i="12"/>
  <c r="K27" i="12"/>
  <c r="L85" i="12"/>
  <c r="K90" i="12"/>
  <c r="G19" i="30" l="1"/>
  <c r="G29" i="30"/>
  <c r="G15" i="30"/>
  <c r="K28" i="12"/>
  <c r="M22" i="12"/>
  <c r="M27" i="12" s="1"/>
  <c r="M28" i="12" s="1"/>
  <c r="L27" i="12"/>
  <c r="L28" i="12" s="1"/>
  <c r="K91" i="12"/>
  <c r="M85" i="12"/>
  <c r="M90" i="12" s="1"/>
  <c r="M91" i="12" s="1"/>
  <c r="L90" i="12"/>
  <c r="L91" i="12" s="1"/>
  <c r="G30" i="30" l="1"/>
  <c r="G20" i="30"/>
  <c r="G23" i="30" s="1"/>
  <c r="G24" i="30" s="1"/>
  <c r="H6" i="30"/>
  <c r="P27" i="12"/>
  <c r="P106" i="12" s="1"/>
  <c r="Q27" i="12"/>
  <c r="P90" i="12"/>
  <c r="Q90" i="12"/>
  <c r="P30" i="12" l="1"/>
  <c r="P31" i="12" s="1"/>
  <c r="P107" i="12" s="1"/>
  <c r="G33" i="30"/>
  <c r="G34" i="30" s="1"/>
  <c r="H7" i="30"/>
  <c r="C90" i="16"/>
  <c r="C92" i="16" s="1"/>
  <c r="Q106" i="12"/>
  <c r="Q30" i="12"/>
  <c r="Q31" i="12" s="1"/>
  <c r="Q107" i="12" s="1"/>
  <c r="Q103" i="12"/>
  <c r="Q92" i="12"/>
  <c r="Q93" i="12" s="1"/>
  <c r="Q104" i="12" s="1"/>
  <c r="P103" i="12"/>
  <c r="P92" i="12"/>
  <c r="P93" i="12" s="1"/>
  <c r="P104" i="12" s="1"/>
  <c r="H15" i="30" l="1"/>
  <c r="H14" i="30"/>
  <c r="H188" i="7"/>
  <c r="H29" i="30" l="1"/>
  <c r="H19" i="30"/>
  <c r="I21" i="4"/>
  <c r="L10" i="4"/>
  <c r="K10" i="4"/>
  <c r="J10" i="4"/>
  <c r="I10" i="4"/>
  <c r="L9" i="4"/>
  <c r="K9" i="4"/>
  <c r="J9" i="4"/>
  <c r="I9" i="4"/>
  <c r="L8" i="4"/>
  <c r="K8" i="4"/>
  <c r="J8" i="4"/>
  <c r="I8" i="4"/>
  <c r="L7" i="4"/>
  <c r="L21" i="4" s="1"/>
  <c r="K7" i="4"/>
  <c r="K21" i="4" s="1"/>
  <c r="J7" i="4"/>
  <c r="J21" i="4" s="1"/>
  <c r="I7" i="4"/>
  <c r="H10" i="4"/>
  <c r="H9" i="4"/>
  <c r="H8" i="4"/>
  <c r="H7" i="4"/>
  <c r="H21" i="4" s="1"/>
  <c r="G88" i="12" l="1"/>
  <c r="G59" i="12"/>
  <c r="G25" i="12"/>
  <c r="H25" i="12"/>
  <c r="I25" i="12" s="1"/>
  <c r="J25" i="12" s="1"/>
  <c r="K25" i="12" s="1"/>
  <c r="L25" i="12" s="1"/>
  <c r="M25" i="12" s="1"/>
  <c r="H59" i="12"/>
  <c r="I59" i="12" s="1"/>
  <c r="J59" i="12" s="1"/>
  <c r="K59" i="12" s="1"/>
  <c r="L59" i="12" s="1"/>
  <c r="M59" i="12" s="1"/>
  <c r="H88" i="12"/>
  <c r="I88" i="12" s="1"/>
  <c r="J88" i="12" s="1"/>
  <c r="K88" i="12" s="1"/>
  <c r="L88" i="12" s="1"/>
  <c r="M88" i="12" s="1"/>
  <c r="E25" i="12"/>
  <c r="E88" i="12"/>
  <c r="E59" i="12"/>
  <c r="F88" i="12"/>
  <c r="F25" i="12"/>
  <c r="F59" i="12"/>
  <c r="H20" i="30"/>
  <c r="H30" i="30"/>
  <c r="K267" i="7"/>
  <c r="J267" i="7"/>
  <c r="I267" i="7"/>
  <c r="K266" i="7"/>
  <c r="J266" i="7"/>
  <c r="I266" i="7"/>
  <c r="H267" i="7"/>
  <c r="H266" i="7"/>
  <c r="U39" i="5" l="1"/>
  <c r="U38" i="5"/>
  <c r="U20" i="5"/>
  <c r="T20" i="5"/>
  <c r="T21" i="5" s="1"/>
  <c r="S20" i="5"/>
  <c r="S21" i="5" s="1"/>
  <c r="R20" i="5"/>
  <c r="R21" i="5" s="1"/>
  <c r="Q20" i="5"/>
  <c r="Q21" i="5" s="1"/>
  <c r="U19" i="5"/>
  <c r="U18" i="5"/>
  <c r="D40" i="5"/>
  <c r="D47" i="5" s="1"/>
  <c r="G39" i="5"/>
  <c r="G38" i="5"/>
  <c r="G20" i="5"/>
  <c r="F20" i="5"/>
  <c r="F21" i="5" s="1"/>
  <c r="E20" i="5"/>
  <c r="E21" i="5" s="1"/>
  <c r="D20" i="5"/>
  <c r="D21" i="5" s="1"/>
  <c r="C20" i="5"/>
  <c r="C21" i="5" s="1"/>
  <c r="G19" i="5"/>
  <c r="G18" i="5"/>
  <c r="G21" i="5" l="1"/>
  <c r="U21" i="5"/>
  <c r="Q40" i="5"/>
  <c r="Q47" i="5" s="1"/>
  <c r="R40" i="5"/>
  <c r="R47" i="5" s="1"/>
  <c r="U40" i="5"/>
  <c r="U47" i="5" s="1"/>
  <c r="S40" i="5"/>
  <c r="S47" i="5" s="1"/>
  <c r="E40" i="5"/>
  <c r="E47" i="5" s="1"/>
  <c r="T40" i="5"/>
  <c r="T47" i="5" s="1"/>
  <c r="T28" i="5"/>
  <c r="T29" i="5"/>
  <c r="R28" i="5"/>
  <c r="R29" i="5" s="1"/>
  <c r="S28" i="5"/>
  <c r="S29" i="5" s="1"/>
  <c r="Q28" i="5"/>
  <c r="Q29" i="5" s="1"/>
  <c r="U28" i="5"/>
  <c r="U29" i="5" s="1"/>
  <c r="F28" i="5"/>
  <c r="F29" i="5" s="1"/>
  <c r="D28" i="5"/>
  <c r="D29" i="5" s="1"/>
  <c r="E28" i="5"/>
  <c r="E29" i="5" s="1"/>
  <c r="C28" i="5"/>
  <c r="C29" i="5" s="1"/>
  <c r="G28" i="5"/>
  <c r="G29" i="5" s="1"/>
  <c r="F40" i="5"/>
  <c r="F47" i="5" s="1"/>
  <c r="C40" i="5"/>
  <c r="C47" i="5" s="1"/>
  <c r="G40" i="5"/>
  <c r="G47" i="5" s="1"/>
</calcChain>
</file>

<file path=xl/sharedStrings.xml><?xml version="1.0" encoding="utf-8"?>
<sst xmlns="http://schemas.openxmlformats.org/spreadsheetml/2006/main" count="2627" uniqueCount="837">
  <si>
    <t>Suite 1</t>
  </si>
  <si>
    <t>Suite 5</t>
  </si>
  <si>
    <t>CSA Estimate</t>
  </si>
  <si>
    <t>2022 - 2025 CEIP Period</t>
  </si>
  <si>
    <t>Source</t>
  </si>
  <si>
    <t>Capacity (MW)</t>
  </si>
  <si>
    <t>Battery Energy Storage</t>
  </si>
  <si>
    <t>BCA Output</t>
  </si>
  <si>
    <t>Solar - Ground and Rooftop</t>
  </si>
  <si>
    <t>Demand Response</t>
  </si>
  <si>
    <t>2021 IRP Preferred Portfolio</t>
  </si>
  <si>
    <t>Capital Costs ($ M)</t>
  </si>
  <si>
    <t>$/kW</t>
  </si>
  <si>
    <t>$ M</t>
  </si>
  <si>
    <t>Estimate under review</t>
  </si>
  <si>
    <t>Total</t>
  </si>
  <si>
    <t>Additional Capex Costs ($ M)</t>
  </si>
  <si>
    <t>Estimate to continue current beta testing program</t>
  </si>
  <si>
    <t>Beta Testing</t>
  </si>
  <si>
    <t>Contingency @ 20%</t>
  </si>
  <si>
    <t>TOTAL CAPITAL ESTIMATE</t>
  </si>
  <si>
    <t>Opex (Power Cost) Estimates</t>
  </si>
  <si>
    <t>Resource Only Costs</t>
  </si>
  <si>
    <t>$/kW-year</t>
  </si>
  <si>
    <t>Fixed / variable O&amp;M associated with the resource</t>
  </si>
  <si>
    <t>Weighted Average of IRP Active DR Programs</t>
  </si>
  <si>
    <t>Additional Opex Costs - Program Startup</t>
  </si>
  <si>
    <t xml:space="preserve">Programmatic spending </t>
  </si>
  <si>
    <t>Estimate</t>
  </si>
  <si>
    <t>TOTAL OPEX ESTIMATE</t>
  </si>
  <si>
    <t>Exclusions Not Yet Estimated</t>
  </si>
  <si>
    <t>Impacts on 24/7 Operations</t>
  </si>
  <si>
    <t>Additional Customer Program Operations Costs for Fully Functional Programs (assumed to be included in Resource Only Costs)</t>
  </si>
  <si>
    <t>Annual Costs (from Connor) - Suite 6</t>
  </si>
  <si>
    <t>Annual Costs (from Connor) - Suite 5</t>
  </si>
  <si>
    <t>Customer Education, Community Outreach, and EAG Support Totals</t>
  </si>
  <si>
    <t>CEIP Customer Education and Information</t>
  </si>
  <si>
    <t>Community Outreach</t>
  </si>
  <si>
    <t>EAG Support</t>
  </si>
  <si>
    <t>Source:  6/30/21 Spreadsheet Summary</t>
  </si>
  <si>
    <t>INPUT</t>
  </si>
  <si>
    <t>CEIP DER Enablement Budget</t>
  </si>
  <si>
    <t>CEIP Enablement Milestone</t>
  </si>
  <si>
    <t>Swimlane</t>
  </si>
  <si>
    <t>Existing CSA?</t>
  </si>
  <si>
    <t>CSA</t>
  </si>
  <si>
    <t>CSA Status</t>
  </si>
  <si>
    <t>Notes / Source</t>
  </si>
  <si>
    <t>Budget Owner</t>
  </si>
  <si>
    <t>Enablement Allocation %</t>
  </si>
  <si>
    <t>DER Enablement Milestones</t>
  </si>
  <si>
    <t>Procurement &amp; Vendor Management Strategy</t>
  </si>
  <si>
    <t>Procurement</t>
  </si>
  <si>
    <t>N/A</t>
  </si>
  <si>
    <t>Incremental labor (see Incremental Staffing Needs)</t>
  </si>
  <si>
    <t>Ben Farrow</t>
  </si>
  <si>
    <t>Capital</t>
  </si>
  <si>
    <t>Labor</t>
  </si>
  <si>
    <t>Services</t>
  </si>
  <si>
    <t>Materials</t>
  </si>
  <si>
    <t>IT</t>
  </si>
  <si>
    <t>Expense</t>
  </si>
  <si>
    <t>Market Engagement &amp; Benchmarking</t>
  </si>
  <si>
    <t>No incremental expense needs if framework exists today. However, may involve vendors.</t>
  </si>
  <si>
    <t>Will Einstein</t>
  </si>
  <si>
    <t>Regulatory &amp; Stakeholder Engagement Strategy</t>
  </si>
  <si>
    <t>Strategy &amp; Planning</t>
  </si>
  <si>
    <t>No incremental headcount expected</t>
  </si>
  <si>
    <t>Portfolio Customer Care Strategy</t>
  </si>
  <si>
    <t>Customer</t>
  </si>
  <si>
    <t>Initial upfront strategy + potential incremental customer care FTE</t>
  </si>
  <si>
    <t>Carol Wallace</t>
  </si>
  <si>
    <t>Portfolio Marketing Strategy</t>
  </si>
  <si>
    <t>Any incremental labor need</t>
  </si>
  <si>
    <t>Christina Donegan</t>
  </si>
  <si>
    <t>DER Customer Experience Strategy</t>
  </si>
  <si>
    <t>Customer Relationship Management (CRM) Platform</t>
  </si>
  <si>
    <t>No</t>
  </si>
  <si>
    <t>SAP is developing cost prior to CSA. Get updates from next CSA update file</t>
  </si>
  <si>
    <t>Theresa Burch</t>
  </si>
  <si>
    <t>Customer Enrollment &amp; Education Portal</t>
  </si>
  <si>
    <t>No incremental staff necessary; incremental GRC marketing spend</t>
  </si>
  <si>
    <t>Customer Notification Platform</t>
  </si>
  <si>
    <t>TBD</t>
  </si>
  <si>
    <t>Existing notification platform exists; supposed to get in update</t>
  </si>
  <si>
    <t>Complex Billing Functionality</t>
  </si>
  <si>
    <t>Supposed to get in update CSA file</t>
  </si>
  <si>
    <t>Device Marketplace</t>
  </si>
  <si>
    <t>Potentially expand EE platform; currently 3rd party application</t>
  </si>
  <si>
    <t>Marketing Platform</t>
  </si>
  <si>
    <t>Portfolio &amp; Product Management Strategy</t>
  </si>
  <si>
    <t>Innovation Project / Emerging Technology Process</t>
  </si>
  <si>
    <t>Was in last year's CSA possibly, but not funded right now</t>
  </si>
  <si>
    <t>Asset Management Strategy &amp; Planning</t>
  </si>
  <si>
    <t>Operations</t>
  </si>
  <si>
    <t>Cathy Koch</t>
  </si>
  <si>
    <t>Dispatch &amp; Operations Strategy</t>
  </si>
  <si>
    <t>Paul Wetherbee</t>
  </si>
  <si>
    <t>DER IT/OT Strategy</t>
  </si>
  <si>
    <t>Brian Fellon</t>
  </si>
  <si>
    <t>Virtual Power Plant (VPP)</t>
  </si>
  <si>
    <t>Yes</t>
  </si>
  <si>
    <t>Elaine Markham</t>
  </si>
  <si>
    <t>Capital budget from CSA</t>
  </si>
  <si>
    <t>Total Enablement</t>
  </si>
  <si>
    <t>Grid Modernization</t>
  </si>
  <si>
    <t>NWA Evaluation Tool &amp; Methodology</t>
  </si>
  <si>
    <t>CSA Budget file notes: "very small tool to have its own CSA". Probably rolled into broader Grid Mod CSA. If including, figure out what allocation to use from larger Grid Mod CSA. May be zero.</t>
  </si>
  <si>
    <t>Feeder-level Forecasting Tool</t>
  </si>
  <si>
    <t xml:space="preserve">Existing CSA, in-flight project. Can talk about it in narrative, but not include in enabling budget. May lump grid mod milestones. </t>
  </si>
  <si>
    <t>Hosting Capacity Analysis</t>
  </si>
  <si>
    <t>Locational Pricing &amp; Valuation Tool</t>
  </si>
  <si>
    <t>Jens may be the decision maker; do not have b-case for it. That will be developed next year</t>
  </si>
  <si>
    <t>Advanced Distribution Management System (ADMS)</t>
  </si>
  <si>
    <t>Interconnection Portal Enhancements</t>
  </si>
  <si>
    <t>determine whether included in hosting capacity CSA</t>
  </si>
  <si>
    <t>Heather Mulligan</t>
  </si>
  <si>
    <t>ADMS-integrated DER Management System (DERMS)</t>
  </si>
  <si>
    <t>Have some prefunding for scoping and development but do not have funding for implementation. Prefunding from grid mod catch-all buckets</t>
  </si>
  <si>
    <t>From Shelly Hagerman, 7/9/21</t>
  </si>
  <si>
    <t>Summary of non-Grid Modernization Costs</t>
  </si>
  <si>
    <t>Staffing</t>
  </si>
  <si>
    <t>Outside Services</t>
  </si>
  <si>
    <t>Management</t>
  </si>
  <si>
    <t>Program Management</t>
  </si>
  <si>
    <t>CBI Data Collection</t>
  </si>
  <si>
    <t>Unit Cost</t>
  </si>
  <si>
    <t>Overhead</t>
  </si>
  <si>
    <t>Escalation</t>
  </si>
  <si>
    <t>Report Development</t>
  </si>
  <si>
    <t>Additional Resource Analytics</t>
  </si>
  <si>
    <t>Analysts</t>
  </si>
  <si>
    <t>TOTAL through 2030</t>
  </si>
  <si>
    <t>PSE 2019 Electric Sales to Customers (UE-200294 -2.01), escalated at 2.5%</t>
  </si>
  <si>
    <t>Added EE gross-up %, discounted by 50% for actual PSE Cost</t>
  </si>
  <si>
    <t>Electric Sales Grossed up by EE %</t>
  </si>
  <si>
    <t>Suite 6</t>
  </si>
  <si>
    <t>Estimated 2% Annual Increase ($000)</t>
  </si>
  <si>
    <t>Energy Efficiency Incremental Cost</t>
  </si>
  <si>
    <t>Demand Response Incremental Cost</t>
  </si>
  <si>
    <t>Generation Portfolio Incremental Cost</t>
  </si>
  <si>
    <t xml:space="preserve">Generation Portfolio </t>
  </si>
  <si>
    <t>Energy Efficency</t>
  </si>
  <si>
    <t>Res DLC Heat-Switch</t>
  </si>
  <si>
    <t>Res DLC Heat-BYOT</t>
  </si>
  <si>
    <t>Res DLC ERWH-Switch</t>
  </si>
  <si>
    <t>Res DLC ERWH-Grid-Enabled</t>
  </si>
  <si>
    <t>Res DLC HPWH-Grid-Enabled</t>
  </si>
  <si>
    <t>Small Com DLC Heat-Switch</t>
  </si>
  <si>
    <t>Medium Com DLC Heat-Switch</t>
  </si>
  <si>
    <t>C&amp;I Curtailment-Manual</t>
  </si>
  <si>
    <t>C&amp;I Curtailment-AutoDR</t>
  </si>
  <si>
    <t>Res Behavior DR-Winter</t>
  </si>
  <si>
    <t>Estimated 2% Annual Increase ($)</t>
  </si>
  <si>
    <t>Enabling Costs - Distributed Resources</t>
  </si>
  <si>
    <t>Enabling Costs - Grid Modernization to support distributed resources</t>
  </si>
  <si>
    <t>Customer - Multilingual community engagement, Outreach, and communication</t>
  </si>
  <si>
    <t>Administration</t>
  </si>
  <si>
    <t>Capital Investment</t>
  </si>
  <si>
    <t>Rate Base:</t>
  </si>
  <si>
    <t>Economic Life</t>
  </si>
  <si>
    <t>Gross Plant</t>
  </si>
  <si>
    <t xml:space="preserve">After Tax WACC </t>
  </si>
  <si>
    <t>Accumulated Depreciation</t>
  </si>
  <si>
    <t>Federal Tax Rate</t>
  </si>
  <si>
    <t>Accumulated Deferred Tax</t>
  </si>
  <si>
    <t>Total Rate Base</t>
  </si>
  <si>
    <t>Average Rate Base</t>
  </si>
  <si>
    <t>After-Tax Return</t>
  </si>
  <si>
    <t>Gross up for Federal Tax</t>
  </si>
  <si>
    <t>Grossed-Up Return on Rate Base</t>
  </si>
  <si>
    <t>Expense:</t>
  </si>
  <si>
    <t>Depreciation</t>
  </si>
  <si>
    <t>Total Operating Expense</t>
  </si>
  <si>
    <t>Revenue Requirement</t>
  </si>
  <si>
    <t>Book Depreciation</t>
  </si>
  <si>
    <t>Total Estimated Incremental Cost</t>
  </si>
  <si>
    <t>Total - 2022-2025 CEIP Period</t>
  </si>
  <si>
    <t>Total - 2026-2029 CEIP Period</t>
  </si>
  <si>
    <t>Total 2% Estimate</t>
  </si>
  <si>
    <t>Suite 6 (Preferred)</t>
  </si>
  <si>
    <t>Suite 5 (Maximum Customer Benefit)</t>
  </si>
  <si>
    <t>comparison to 2%</t>
  </si>
  <si>
    <t>CEIP Period 1
(2022-2025)</t>
  </si>
  <si>
    <t>CEIP Period 2
(2026-2029)</t>
  </si>
  <si>
    <t>Total
Through 2030</t>
  </si>
  <si>
    <t>Suite1 (Lowest Cost)</t>
  </si>
  <si>
    <t>Alternative Compliance Cost</t>
  </si>
  <si>
    <t>$ 000</t>
  </si>
  <si>
    <t>Difference</t>
  </si>
  <si>
    <t>Allocated Grid Mod Total</t>
  </si>
  <si>
    <t>WA Revenue Tax (WAR)</t>
  </si>
  <si>
    <t>Gross up for WA Revenue Tax</t>
  </si>
  <si>
    <t>Low Income Weatherization</t>
  </si>
  <si>
    <t>Single Family Existing Subtotal</t>
  </si>
  <si>
    <t>Single Family New Construction</t>
  </si>
  <si>
    <t>Multifamily Retrofit</t>
  </si>
  <si>
    <t>Multifamily New Construction</t>
  </si>
  <si>
    <t>Commercial / Industrial Retrofit</t>
  </si>
  <si>
    <t>Commercial/Industrial New Construction</t>
  </si>
  <si>
    <t>Commercial Strategic Energy Management</t>
  </si>
  <si>
    <t>Large Power User - Self Directed Program - Subtotal</t>
  </si>
  <si>
    <t>Commercial Rebates</t>
  </si>
  <si>
    <t xml:space="preserve"> </t>
  </si>
  <si>
    <t>Substation SCADA</t>
  </si>
  <si>
    <t>Adj. 4.01</t>
  </si>
  <si>
    <t>Summary-2</t>
  </si>
  <si>
    <t>Summary-3</t>
  </si>
  <si>
    <t>Summary-1</t>
  </si>
  <si>
    <t>PUGET SOUND ENERGY-ELECTRIC</t>
  </si>
  <si>
    <t/>
  </si>
  <si>
    <t>TEMPERATURE NORMALIZATION</t>
  </si>
  <si>
    <t>REVENUE &amp; EXPENSE RESTATING</t>
  </si>
  <si>
    <t>FEDERAL INCOME TAX</t>
  </si>
  <si>
    <t>TAX BENEFIT OF RESTATED INTEREST</t>
  </si>
  <si>
    <t>PASS-THROUGH REVENUE &amp; EXPENSE</t>
  </si>
  <si>
    <t>RATE CASE EXPENSES</t>
  </si>
  <si>
    <t>BAD DEBTS</t>
  </si>
  <si>
    <t>INCENTIVE PLAN</t>
  </si>
  <si>
    <t>EXCISE TAX &amp; FILING FEE</t>
  </si>
  <si>
    <t>D&amp;O INSURANCE</t>
  </si>
  <si>
    <t>INTEREST ON CUSTOMER DEPOSITS</t>
  </si>
  <si>
    <t>PENSION PLAN</t>
  </si>
  <si>
    <t>INJURIES AND DAMAGES</t>
  </si>
  <si>
    <t>ASC 815</t>
  </si>
  <si>
    <t>STORM NORMALIZATION</t>
  </si>
  <si>
    <t>POWER COSTS</t>
  </si>
  <si>
    <t>MONTANA ENERGY TAX</t>
  </si>
  <si>
    <t>WILD HORSE SOLAR</t>
  </si>
  <si>
    <t>REMOVE AMI RATEBASE</t>
  </si>
  <si>
    <t>REMOVE COLSTRIP 3&amp;4 SMARTBURN</t>
  </si>
  <si>
    <t>CONVERSION FACTOR</t>
  </si>
  <si>
    <t>STATEMENT OF OPERATING INCOME AND ADJUSTMENTS</t>
  </si>
  <si>
    <t>FOR THE TWELVE MONTHS ENDED DECEMBER 31, 2020</t>
  </si>
  <si>
    <t>RESULTS OF OPERATIONS</t>
  </si>
  <si>
    <t>COMMISSION BASIS REPORT</t>
  </si>
  <si>
    <t>OTHER</t>
  </si>
  <si>
    <t xml:space="preserve">PERCENT </t>
  </si>
  <si>
    <t>LINE</t>
  </si>
  <si>
    <t>NET</t>
  </si>
  <si>
    <t>GROSS</t>
  </si>
  <si>
    <t>SALES FOR</t>
  </si>
  <si>
    <t>OPERATING</t>
  </si>
  <si>
    <t>WRITEOFFS</t>
  </si>
  <si>
    <t xml:space="preserve">LINE </t>
  </si>
  <si>
    <t>INCREASE</t>
  </si>
  <si>
    <t>&gt;</t>
  </si>
  <si>
    <t>NO.</t>
  </si>
  <si>
    <t>DESCRIPTION</t>
  </si>
  <si>
    <t>AMOUNT</t>
  </si>
  <si>
    <t>ADJUSTMENT</t>
  </si>
  <si>
    <t>YEAR</t>
  </si>
  <si>
    <t>WRITEOFF'S</t>
  </si>
  <si>
    <t>REVENUES</t>
  </si>
  <si>
    <t>RESALE OTHER</t>
  </si>
  <si>
    <t>REVENUE</t>
  </si>
  <si>
    <t>RESALE FIRM</t>
  </si>
  <si>
    <t>TO REVENUE</t>
  </si>
  <si>
    <t>ACTUAL</t>
  </si>
  <si>
    <t>RESTATED</t>
  </si>
  <si>
    <t>TEST YEAR</t>
  </si>
  <si>
    <t>Transmission</t>
  </si>
  <si>
    <t>Distribution</t>
  </si>
  <si>
    <t>Payroll Tax</t>
  </si>
  <si>
    <t>Benefits</t>
  </si>
  <si>
    <t>(DECREASE)</t>
  </si>
  <si>
    <t>RATE</t>
  </si>
  <si>
    <t>ACTUAL RESULTS</t>
  </si>
  <si>
    <t>TEMPERATURE</t>
  </si>
  <si>
    <t>FEDERAL</t>
  </si>
  <si>
    <t xml:space="preserve">TAX BENEFIT OF </t>
  </si>
  <si>
    <t>PASS-THROUGH</t>
  </si>
  <si>
    <t>RATE CASE</t>
  </si>
  <si>
    <t>BAD</t>
  </si>
  <si>
    <t>INCENTIVE</t>
  </si>
  <si>
    <t>EXCISE TAX &amp;</t>
  </si>
  <si>
    <t>D&amp;O</t>
  </si>
  <si>
    <t xml:space="preserve">INTEREST ON </t>
  </si>
  <si>
    <t xml:space="preserve">PENSION </t>
  </si>
  <si>
    <t>INJURIES &amp;</t>
  </si>
  <si>
    <t xml:space="preserve">STORM </t>
  </si>
  <si>
    <t>POWER</t>
  </si>
  <si>
    <t>MONTANA</t>
  </si>
  <si>
    <t>WILD HORSE</t>
  </si>
  <si>
    <t>REMOVE AMI</t>
  </si>
  <si>
    <t>REMOVE COLSTRIP</t>
  </si>
  <si>
    <t>TOTAL</t>
  </si>
  <si>
    <t>TEMPERATURE NORMALIZATION ADJUSTMENT:</t>
  </si>
  <si>
    <t>SALES TO CUSTOMERS:</t>
  </si>
  <si>
    <t>December</t>
  </si>
  <si>
    <t>August</t>
  </si>
  <si>
    <t>OF OPERATIONS</t>
  </si>
  <si>
    <t>NORMALIZATION</t>
  </si>
  <si>
    <t>&amp; EXPENSE</t>
  </si>
  <si>
    <t>INCOME TAX</t>
  </si>
  <si>
    <t>RESTATED INTEREST</t>
  </si>
  <si>
    <t>REV &amp; EXP</t>
  </si>
  <si>
    <t>EXPENSES</t>
  </si>
  <si>
    <t>DEBTS</t>
  </si>
  <si>
    <t>PAY</t>
  </si>
  <si>
    <t>FILING FEE</t>
  </si>
  <si>
    <t>INSURANCE</t>
  </si>
  <si>
    <t>CUST DEPOSITS</t>
  </si>
  <si>
    <t>PLAN</t>
  </si>
  <si>
    <t>DAMAGES</t>
  </si>
  <si>
    <t>COSTS</t>
  </si>
  <si>
    <t>ENERGY TAX</t>
  </si>
  <si>
    <t>SOLAR</t>
  </si>
  <si>
    <t>RATEBASE</t>
  </si>
  <si>
    <t>3&amp;4 SMARTBURN</t>
  </si>
  <si>
    <t>ADJUSTMENTS</t>
  </si>
  <si>
    <t>RESULTS OF</t>
  </si>
  <si>
    <t>TEMP ADJ</t>
  </si>
  <si>
    <t>KWH</t>
  </si>
  <si>
    <t>REMOVE MERGER RATE CREDIT SCH 132</t>
  </si>
  <si>
    <t xml:space="preserve">TAXABLE INCOME  </t>
  </si>
  <si>
    <t>RATE BASE</t>
  </si>
  <si>
    <t>REMOVE REVENUES ASSOCIATED WITH RIDERS:</t>
  </si>
  <si>
    <t>EXPENSES TO BE NORMALIZED</t>
  </si>
  <si>
    <t>12 ME 12/01/2016 AND 8/31/2016</t>
  </si>
  <si>
    <t>TOTAL INCENTIVE / MERIT PAY</t>
  </si>
  <si>
    <t>RESTATED EXCISE TAXES</t>
  </si>
  <si>
    <t>D &amp; O INS. CHG  EXPENSE</t>
  </si>
  <si>
    <t>1</t>
  </si>
  <si>
    <t>INTEREST EXPENSE FOR TEST YEAR</t>
  </si>
  <si>
    <t>QUALIFIED RETIREMENT FUND</t>
  </si>
  <si>
    <t>INJURIES &amp; DAMAGES ACCRUALS</t>
  </si>
  <si>
    <t>ASC 815 OPERATING EXPENSE</t>
  </si>
  <si>
    <t>ACTUAL O&amp;M:</t>
  </si>
  <si>
    <t>PRODUCTION EXPENSES:</t>
  </si>
  <si>
    <t>ACTUAL KWH</t>
  </si>
  <si>
    <t>WILD HORSE SOLAR RATEBASE (AMA)</t>
  </si>
  <si>
    <t>12 ME Dec 31, 2020</t>
  </si>
  <si>
    <t>OPERATIONS</t>
  </si>
  <si>
    <t>GPI KWH</t>
  </si>
  <si>
    <t>CHANGE</t>
  </si>
  <si>
    <t>REMOVE TEST YEAR EARNINGS SHARING ACCRUAL</t>
  </si>
  <si>
    <t>REMOVE CONSERVATION RIDER - SCHEDULE 120</t>
  </si>
  <si>
    <t>12 ME 12/01/2017 AND 8/31/2017</t>
  </si>
  <si>
    <t>CHARGED TO EXPENSE FOR TEST YEAR</t>
  </si>
  <si>
    <t>INJURIES &amp; DAMAGES PAYMENTS IN EXCESS OF ACCRUALS</t>
  </si>
  <si>
    <t xml:space="preserve">  TWELVE MONTHS ENDED 12/31/15</t>
  </si>
  <si>
    <t>FUEL (501, 547)</t>
  </si>
  <si>
    <t>TRANSMISSION LINE LOSS % FOR WECC</t>
  </si>
  <si>
    <t>UTILITY PLANT RATEBASE</t>
  </si>
  <si>
    <t>ANNUAL FILING FEE</t>
  </si>
  <si>
    <t>-</t>
  </si>
  <si>
    <t>REMOVE SCHEDULE 95A TREASURY GRANTS</t>
  </si>
  <si>
    <t>FEDERAL INCOME TAX @</t>
  </si>
  <si>
    <t>WEIGHTED COST OF DEBT</t>
  </si>
  <si>
    <t>REMOVE PROPERTY TAX TRACKER - SCHEDULE 140</t>
  </si>
  <si>
    <t>12 ME 12/01/2015 AND 8/31/2015</t>
  </si>
  <si>
    <t>PAYROLL TAXES ASSOCI WITH MERIT PAY</t>
  </si>
  <si>
    <t>INCREASE(DECREASE) EXCISE TAX</t>
  </si>
  <si>
    <t>INCREASE (DECREASE) IN EXPENSE</t>
  </si>
  <si>
    <t>INCREASE (DECREASE ) IN EXPENSE</t>
  </si>
  <si>
    <t>INCREASE/(DECREASE) IN EXPENSE</t>
  </si>
  <si>
    <t xml:space="preserve">  TWELVE MONTHS ENDED 12/31/16</t>
  </si>
  <si>
    <t>PURCH &amp; INT +ALL OTHER (555, 447)</t>
  </si>
  <si>
    <t>WETT TAX RATE</t>
  </si>
  <si>
    <t>PLANT BALANCE</t>
  </si>
  <si>
    <t>PLANT BALANCE (AMA)</t>
  </si>
  <si>
    <t>OPERATING REVENUES</t>
  </si>
  <si>
    <t>OPERATING REVENUES:</t>
  </si>
  <si>
    <t>REMOVE SCHEDULE 141X PROTECTED EDIT (OFFSET IN FIT %)</t>
  </si>
  <si>
    <t>CURRENTLY PAYABLE</t>
  </si>
  <si>
    <t>REMOVE MUNICIPAL TAXES - SCHEDULE 81</t>
  </si>
  <si>
    <t xml:space="preserve">      2017 AND 2019 GRC EXPENSES TO BE NORMALIZED</t>
  </si>
  <si>
    <t>INCREASE(DECREASE ) IN EXPENSE</t>
  </si>
  <si>
    <t>INCREASE (DECREASE) NOI</t>
  </si>
  <si>
    <t xml:space="preserve">  TWELVE MONTHS ENDED 12/31/17 </t>
  </si>
  <si>
    <t xml:space="preserve">OTHER PWR COSTS (557) </t>
  </si>
  <si>
    <t xml:space="preserve">     WETT TAX</t>
  </si>
  <si>
    <t xml:space="preserve">ACCUM DEPRECIATION </t>
  </si>
  <si>
    <t>ACCUM DEPRECIATION (AMA)</t>
  </si>
  <si>
    <t>SALES TO CUSTOMERS</t>
  </si>
  <si>
    <t>REMOVE SCHEDULE 141Z UNPROTECTED EDIT (OFFSET IN FIT %)</t>
  </si>
  <si>
    <t>REMOVE LOW INCOME RIDER - SCHEDULE 129</t>
  </si>
  <si>
    <t>3-YR AVERAGE OF NET WRITE OFF RATE</t>
  </si>
  <si>
    <t>RESTATED WUTC FILING FEE</t>
  </si>
  <si>
    <t>INCREASE (DECREASE) OPERATING INCOME</t>
  </si>
  <si>
    <t>INCREASE (DECREASE) INCOME</t>
  </si>
  <si>
    <t>INCREASE/(DECREASE) IN OPERATING EXPENSE (LINE 3)</t>
  </si>
  <si>
    <t xml:space="preserve">  TWELVE MONTHS ENDED 12/31/18</t>
  </si>
  <si>
    <t>WHEELING (565)</t>
  </si>
  <si>
    <t>DEFERRED INCOME TAX LIABILITY</t>
  </si>
  <si>
    <t>DEFERRED INCOME TAX LIABILITY (AMA)</t>
  </si>
  <si>
    <t>SUM OF TAXES OTHER</t>
  </si>
  <si>
    <t>SALES FROM RESALE-FIRM</t>
  </si>
  <si>
    <t>INCREASE (DECREASE) SALES TO CUSTOMERS</t>
  </si>
  <si>
    <t>DEFERRED FIT - DEBIT / (CREDIT)</t>
  </si>
  <si>
    <t>REMOVE RESIDENTIAL EXCHANGE - SCH 194</t>
  </si>
  <si>
    <t>INCREASE (DECREASE) FIT @</t>
  </si>
  <si>
    <t xml:space="preserve">  TWELVE MONTHS ENDED 12/31/19</t>
  </si>
  <si>
    <t>SALES TO OTHER UTILITIES (447)</t>
  </si>
  <si>
    <t>EEELT TAX RATE</t>
  </si>
  <si>
    <t>NET WH SOLAR PLANT RATEBASE</t>
  </si>
  <si>
    <t>NET  PLANT RATEBASE (AMA)</t>
  </si>
  <si>
    <t>NET  PLANT RATEBASE</t>
  </si>
  <si>
    <t>SALES TO OTHER UTILITIES</t>
  </si>
  <si>
    <t>DEFERRED FIT - OTHER</t>
  </si>
  <si>
    <t>REMOVE REC PROCEEDS - SCH 137</t>
  </si>
  <si>
    <t>LESS TEST YEAR EXPENSE</t>
  </si>
  <si>
    <t>REPORTING PERIOD REVENUES</t>
  </si>
  <si>
    <t>INCREASE(DECREASE) WUTC FILING FEE</t>
  </si>
  <si>
    <t xml:space="preserve">INCREASE (DECREASE) DEFERRED FIT @ </t>
  </si>
  <si>
    <t xml:space="preserve">  TWELVE MONTHS ENDED 12/31/20</t>
  </si>
  <si>
    <t>PURCH/SALES OF NON-CORE GAS (456)</t>
  </si>
  <si>
    <t xml:space="preserve">     EEELT TAX</t>
  </si>
  <si>
    <t>OTHER OPERATING REVENUES</t>
  </si>
  <si>
    <t>INCREASE (DECREASE) REVENUES</t>
  </si>
  <si>
    <t>TOTAL RESTATED FIT</t>
  </si>
  <si>
    <t>REMOVE EXPENSES ASSOCIATED WITH SCH 137 REC PROCEEDS</t>
  </si>
  <si>
    <t>INCREASE (DECREASE) EXPENSE</t>
  </si>
  <si>
    <t>TOTAL NORMAL STORMS</t>
  </si>
  <si>
    <t>SUBTOTAL - POWER COSTS TO BE ADJUSTED</t>
  </si>
  <si>
    <t>WILD HORSE SOLAR OPERATING EXPENSE</t>
  </si>
  <si>
    <t xml:space="preserve"> OPERATING EXPENSE</t>
  </si>
  <si>
    <t>TOTAL OPERATING REVENUES</t>
  </si>
  <si>
    <t>FIT PER BOOKS:</t>
  </si>
  <si>
    <t>REMOVE DECOUPLING SCH 142 REVENUE</t>
  </si>
  <si>
    <t>INCREASE(DECREASE) EXPENSE</t>
  </si>
  <si>
    <t>RESTATED ENERGY TAX</t>
  </si>
  <si>
    <t>DEPRECIATION EXPENSE</t>
  </si>
  <si>
    <t>UNCOLLECTIBLES @</t>
  </si>
  <si>
    <t>REMOVE DECOUPLING SCH 142 SURCHARGE AMORT EXPENSE</t>
  </si>
  <si>
    <t>2014 AND 2013 PCORC EXPENSES TO BE NORMALIZED</t>
  </si>
  <si>
    <t>PROFORMA BAD DEBT RATE</t>
  </si>
  <si>
    <t>SIX-YEAR AVERAGE STORM EXPENSE FOR RATE YEAR (LINE 9 ÷ 6 YEARS)</t>
  </si>
  <si>
    <t>INCREASE(DECREASE) INCOME</t>
  </si>
  <si>
    <t>CHARGED TO EXPENSE</t>
  </si>
  <si>
    <t>INCREASE (DECREASE ) EXPENSE</t>
  </si>
  <si>
    <t>OPERATING REVENUE DEDUCTIONS:</t>
  </si>
  <si>
    <t>ANNUAL FILING FEE @</t>
  </si>
  <si>
    <t>DEFERRED FIT - DEBIT</t>
  </si>
  <si>
    <t xml:space="preserve">INCREASE (DECREASE) FIT @ </t>
  </si>
  <si>
    <t>GREEN POWER - SCH 135/136</t>
  </si>
  <si>
    <t>PROFORMA BAD DEBTS</t>
  </si>
  <si>
    <t>INCREASE(DECREASE) OPERATING INCOME</t>
  </si>
  <si>
    <t>DEFERRED FIT - CREDIT</t>
  </si>
  <si>
    <t>GREEN POWER - SCH 135/136 ELIMINATE OVER EXPENSED</t>
  </si>
  <si>
    <t>CHARGED TO EXPENSE  12 MONTH ENDED 12/30/20</t>
  </si>
  <si>
    <t>INCREASE(DECREASE) FIT @</t>
  </si>
  <si>
    <t>POWER COSTS:</t>
  </si>
  <si>
    <t>DEFERRED FIT - INV TAX CREDIT, NET OF AMORT.</t>
  </si>
  <si>
    <t xml:space="preserve">INCREASE (DECREASE) NOI </t>
  </si>
  <si>
    <t>REMOVE JPUD GAIN ON SALE SCH 133</t>
  </si>
  <si>
    <t>UNCOLLECTIBLES CHARGED TO EXPENSE IN TEST YEAR</t>
  </si>
  <si>
    <t xml:space="preserve">  STORM DAMAGE EXPENSE</t>
  </si>
  <si>
    <t>INCREASE(DECREASE) NOI</t>
  </si>
  <si>
    <t xml:space="preserve"> FUEL</t>
  </si>
  <si>
    <t>FUEL</t>
  </si>
  <si>
    <t>STATE UTILITY TAX @</t>
  </si>
  <si>
    <t>TOTAL CHARGED TO EXPENSE</t>
  </si>
  <si>
    <t xml:space="preserve">REMOVE PCA Cust Rec UE200893 </t>
  </si>
  <si>
    <t xml:space="preserve"> PURCHASED AND INTERCHANGED</t>
  </si>
  <si>
    <t>PURCHASED AND INTERCHANGED</t>
  </si>
  <si>
    <t>INCREASE (DECREASE) TAXES OTHER</t>
  </si>
  <si>
    <t>REMOVE TRANSITION OF MICROSOFT LOAD TO SPECIAL CONTRACT</t>
  </si>
  <si>
    <t>INCREASE (DECREASE) OPERATING EXPENSE (LINE 11-LINE 14)</t>
  </si>
  <si>
    <t xml:space="preserve"> WHEELING</t>
  </si>
  <si>
    <t>WHEELING</t>
  </si>
  <si>
    <t>INCREASE(DECREASE) FIT</t>
  </si>
  <si>
    <t>TOTAL (INCREASE) DECREASE REVENUES</t>
  </si>
  <si>
    <t xml:space="preserve"> RESIDENTIAL EXCHANGE</t>
  </si>
  <si>
    <t>RESIDENTIAL EXCHANGE</t>
  </si>
  <si>
    <t>REVENUE ADJUSTMENT:</t>
  </si>
  <si>
    <t>Schedule 7</t>
  </si>
  <si>
    <t>INCREASE(DECREASE) DEFERRED FIT</t>
  </si>
  <si>
    <t>TOTAL INCREASE (DECREASE) EXPENSE</t>
  </si>
  <si>
    <t xml:space="preserve">INCREASE (DECREASE) FIT </t>
  </si>
  <si>
    <t>TOTAL PRODUCTION EXPENSES</t>
  </si>
  <si>
    <t>Schedule 24</t>
  </si>
  <si>
    <t xml:space="preserve">INCREASE(DECREASE) NOI </t>
  </si>
  <si>
    <t>DECREASE REVENUE SENSITIVE ITEMS FOR DECREASE IN REVENUES:</t>
  </si>
  <si>
    <t>POWER COSTS ADJUSTEMENT W/O NORMALIZATION FOR EARNINGS SHARING ONLY:</t>
  </si>
  <si>
    <t>Schedule 25</t>
  </si>
  <si>
    <t>OTHER OPERATING EXPENSES:</t>
  </si>
  <si>
    <t>OTHER POWER SUPPLY EXPENSES</t>
  </si>
  <si>
    <t>Schedule 26</t>
  </si>
  <si>
    <t>REMOVE SCHEDULE 95A TREASURY GRANTS AMORTIZATION OF INTEREST AND GRANTS</t>
  </si>
  <si>
    <t>TRANSMISSION EXPENSE</t>
  </si>
  <si>
    <t>Schedule 29</t>
  </si>
  <si>
    <t>REMOVE SCHEDULE 141Z UNPROTECTED EDIT AMORTIZATION</t>
  </si>
  <si>
    <t>STATE UTILITY TAX</t>
  </si>
  <si>
    <t>DISTRIBUTION EXPENSE</t>
  </si>
  <si>
    <t>Schedule 31</t>
  </si>
  <si>
    <t xml:space="preserve">REMOVE ACCRUAL FOR FUTURE PTC LIABILITY </t>
  </si>
  <si>
    <t xml:space="preserve">TOTAL </t>
  </si>
  <si>
    <t>CUSTOMER ACCTS EXPENSES</t>
  </si>
  <si>
    <t>CUSTOMER ACCOUNT EXPENSES</t>
  </si>
  <si>
    <t>Schedule 43</t>
  </si>
  <si>
    <t>(ACTUAL PTC'S REMOVED IN FIT ADJUSTMENT NO. 3.06)</t>
  </si>
  <si>
    <t>CUSTOMER SERVICE EXPENSES</t>
  </si>
  <si>
    <t>Schedule 40</t>
  </si>
  <si>
    <t>INCREASE (DECREASE) OPERATING EXPENSES</t>
  </si>
  <si>
    <t>REMOVE EXPENSES ASSOCIATED WITH RIDERS</t>
  </si>
  <si>
    <t>CONSERVATION AMORTIZATION</t>
  </si>
  <si>
    <t>Firm Resale</t>
  </si>
  <si>
    <t>REMOVE CONSERVATION AMORTIZATON - SCHEDULE 120</t>
  </si>
  <si>
    <t>ADMIN &amp; GENERAL EXPENSE</t>
  </si>
  <si>
    <t>INCREASE (DECREASE) OPERATING INCOME BEFORE FIT</t>
  </si>
  <si>
    <t>REMOVE PROPERTY TAX AMORTIZATION EXP - SCHEDULE 140</t>
  </si>
  <si>
    <t>DEPRECIATION</t>
  </si>
  <si>
    <t>AMORTIZATION</t>
  </si>
  <si>
    <t>REMOVE LOW INCOME AMORTIZATION - SCHEDULE 129</t>
  </si>
  <si>
    <t>AMORTIZ OF PROPERTY GAIN/LOSS</t>
  </si>
  <si>
    <t>OTHER OPERATING EXPENSES</t>
  </si>
  <si>
    <t>REMOVE AMORT ON INTEREST ON REC PROCEEDS SCH 137</t>
  </si>
  <si>
    <t>FAS 133</t>
  </si>
  <si>
    <t>GREEN POWER - SCH 135/136 TAGS CHARGED TO 557</t>
  </si>
  <si>
    <t>TAXES OTHER THAN F.I.T.</t>
  </si>
  <si>
    <t>GREEN POWER - SCH 135/136 CHARGED TO C.99999.03.37.01</t>
  </si>
  <si>
    <t>FEDERAL INCOME TAXES</t>
  </si>
  <si>
    <t>GREEN POWER - SCH 135/136 BENEFITS PORTION OF ADMIN</t>
  </si>
  <si>
    <t>Weather componentthat must be removed from NOI for earnings sharing</t>
  </si>
  <si>
    <t>DEFERRED INCOME TAXES</t>
  </si>
  <si>
    <t>GREEN POWER - SCH 135/136 TAXES PORTION OF ADMIN</t>
  </si>
  <si>
    <t>TOTAL OPERATING REV. DEDUCT.</t>
  </si>
  <si>
    <t>REMOVE PCA Cust Rec UE200893 (booked to 55700138)</t>
  </si>
  <si>
    <t>NET OPERATING INCOME</t>
  </si>
  <si>
    <t xml:space="preserve">RATE BASE </t>
  </si>
  <si>
    <t>RATE OF RETURN</t>
  </si>
  <si>
    <t>RATE BASE:</t>
  </si>
  <si>
    <t>GROSS UTILITY PLANT IN SERVICE</t>
  </si>
  <si>
    <t>ACCUMULATED DEPRECIATION</t>
  </si>
  <si>
    <t xml:space="preserve">  DEFERRED DEBITS</t>
  </si>
  <si>
    <t xml:space="preserve">  DEFERRED TAXES</t>
  </si>
  <si>
    <t xml:space="preserve">  ALLOWANCE FOR WORKING CAPITAL</t>
  </si>
  <si>
    <t xml:space="preserve">  OTHER</t>
  </si>
  <si>
    <t>TOTAL RATE BASE</t>
  </si>
  <si>
    <t>BEFORE CHANGES - COPY VALUES FROM EXCEL ABOVE ROWS NOI thru RATE BASE</t>
  </si>
  <si>
    <t>NOI - After</t>
  </si>
  <si>
    <t>RATEBASE - After</t>
  </si>
  <si>
    <t>AFTER CHANGES - LINKED!!!</t>
  </si>
  <si>
    <t>DIFFERENCE</t>
  </si>
  <si>
    <t>NOI</t>
  </si>
  <si>
    <t>ACTUAL RESULTS ADJUSTED FOR TEMPERATURE</t>
  </si>
  <si>
    <t>TEMPERATURE ADJUSTMENT</t>
  </si>
  <si>
    <t>%</t>
  </si>
  <si>
    <t>Operating Expense</t>
  </si>
  <si>
    <t>Inflation</t>
  </si>
  <si>
    <t>2% Incremental</t>
  </si>
  <si>
    <t>Aggregate 2% Incremental</t>
  </si>
  <si>
    <t>Incremental Portfolio Cost</t>
  </si>
  <si>
    <t>Aggregate Incrmental Portfolio Cost</t>
  </si>
  <si>
    <t>Aggregated 2%</t>
  </si>
  <si>
    <t>CEIP Period 1</t>
  </si>
  <si>
    <t>Total through 2030</t>
  </si>
  <si>
    <t>Current planning scenario</t>
  </si>
  <si>
    <t>$000</t>
  </si>
  <si>
    <t>No CETA Portfolio Cost</t>
  </si>
  <si>
    <t>CEIP Portfolio Cost</t>
  </si>
  <si>
    <t>Increase</t>
  </si>
  <si>
    <t>Annual Sales Forecast</t>
  </si>
  <si>
    <t>MWh</t>
  </si>
  <si>
    <t>IRP Baseline - F20 Load Forecast, includes Conservation</t>
  </si>
  <si>
    <t>Incremental Cost Tab</t>
  </si>
  <si>
    <t>Incremental Cost Summary</t>
  </si>
  <si>
    <t>$</t>
  </si>
  <si>
    <t>$/kWh</t>
  </si>
  <si>
    <t>Average Annual Use Per Residential Customer</t>
  </si>
  <si>
    <t>Average Annual Bill Increase without CETA</t>
  </si>
  <si>
    <t>Average Annual Bill Increase with CETA</t>
  </si>
  <si>
    <t>Running Total of Difference</t>
  </si>
  <si>
    <t>IRP Baseline - F20 Load Forecast Annual Use Per Customer, includes Conservation</t>
  </si>
  <si>
    <t>Running Total of Bill Increase Without CETA</t>
  </si>
  <si>
    <t>Notes:</t>
  </si>
  <si>
    <t>Assumes all other costs remain the same between scenarios, including existing contracts and other utility costs</t>
  </si>
  <si>
    <t>Average Power Rate Annual Increase without CETA</t>
  </si>
  <si>
    <t>Average Power Rate Annual Increase with CETA</t>
  </si>
  <si>
    <t>Difference in Portfolio Costs</t>
  </si>
  <si>
    <t>Monthly</t>
  </si>
  <si>
    <t>Average Annual Use Per Commercial Customer</t>
  </si>
  <si>
    <t>Incremental Cost ($)</t>
  </si>
  <si>
    <t>MWh savings</t>
  </si>
  <si>
    <t>Residential Energy Management</t>
  </si>
  <si>
    <t>Moderate Income Residences</t>
  </si>
  <si>
    <t>Total, Residential Programs</t>
  </si>
  <si>
    <t>Business Energy Management</t>
  </si>
  <si>
    <t>Subtotal, Business Programs</t>
  </si>
  <si>
    <t>Pilots With Uncertain Savings</t>
  </si>
  <si>
    <t>Residential</t>
  </si>
  <si>
    <t xml:space="preserve">Commercial </t>
  </si>
  <si>
    <t>Subtotal, Pilots</t>
  </si>
  <si>
    <t>Regional Efficiency Programs</t>
  </si>
  <si>
    <t>NW Energy Efficiency Alliance (NEEA)</t>
  </si>
  <si>
    <t>Subtotal, Regional Programs</t>
  </si>
  <si>
    <t>Product/Scenario</t>
  </si>
  <si>
    <t>Setup Cost</t>
  </si>
  <si>
    <t>O&amp;M Cost</t>
  </si>
  <si>
    <t>Marketing Cost</t>
  </si>
  <si>
    <t>$ per new participant</t>
  </si>
  <si>
    <t>Incremental Cost</t>
  </si>
  <si>
    <t>$ per participant per year</t>
  </si>
  <si>
    <t>Equipment Cost</t>
  </si>
  <si>
    <t>Incentives (annual)</t>
  </si>
  <si>
    <t>$ per kW pledged per year</t>
  </si>
  <si>
    <t>Grand Total</t>
  </si>
  <si>
    <t>PSE 2020 Electric Sales to Customers (UE-200294 -2.01), escalated at 2.5%</t>
  </si>
  <si>
    <t>Energy Efficiency</t>
  </si>
  <si>
    <t>Energy Supply Portfolio</t>
  </si>
  <si>
    <t>Customer Education and Outreach</t>
  </si>
  <si>
    <t>Administration and Reporting</t>
  </si>
  <si>
    <t>Total Cost</t>
  </si>
  <si>
    <t>Technology and Enabling Costs for Distributed Energy Resources</t>
  </si>
  <si>
    <t>PSE 2020 Retail Sales to Customers</t>
  </si>
  <si>
    <t>Escalated at 2.5% per year</t>
  </si>
  <si>
    <t>2% of Previous Year's Forecasted Weather Adjusted Retail Sales</t>
  </si>
  <si>
    <t>Cumulative Estimated 2% Annual Increase in Weather-Adjusted Sales Revenue</t>
  </si>
  <si>
    <t>Calculation of Estimated 2% in Weather Adjusted Sales Revenue</t>
  </si>
  <si>
    <t>Comparison of Forecast Incremental Cost and Estimated 2% Increase in Weather Adjusted Sales Revenue</t>
  </si>
  <si>
    <t>Estimated Incremental Cost Calculation</t>
  </si>
  <si>
    <t>Annual Comparison</t>
  </si>
  <si>
    <t>Cumulative</t>
  </si>
  <si>
    <t>General Education and Engagement</t>
  </si>
  <si>
    <t>Focused Education and Engagement</t>
  </si>
  <si>
    <t>Equity Advisory Group Support</t>
  </si>
  <si>
    <t>Data Lake And Analytics</t>
  </si>
  <si>
    <t>Circuit Enablement - DER and Microgrids</t>
  </si>
  <si>
    <t>Resilience Enhancement</t>
  </si>
  <si>
    <t>Updated October 1</t>
  </si>
  <si>
    <t>Administration Costs</t>
  </si>
  <si>
    <t>Includes</t>
  </si>
  <si>
    <t>Cost Estimate Basis</t>
  </si>
  <si>
    <t>Internal Tracking, Preparation of External Reporting
Evaluation of Baseline Measurements of Energy Indicators
Evaluation of Non-Energy Indicators
Data Monitoring for Customer Benefit Indicators
Participation in Policy and Technical Forums
Communication with EAG and other Stakeholders on CBI baselines</t>
  </si>
  <si>
    <t>Estimated based on workload from similar efforts in other programs</t>
  </si>
  <si>
    <t>Monitoring Plan Updates</t>
  </si>
  <si>
    <t>2 Updates based on additional indicators and data</t>
  </si>
  <si>
    <t>Estimated based on 2021 Initial Planning</t>
  </si>
  <si>
    <t>Customer Benefit Indicator Baseline Measurement</t>
  </si>
  <si>
    <t>Assumes 2 comprehensive research efforts</t>
  </si>
  <si>
    <t>Estimated based on similar projects</t>
  </si>
  <si>
    <t>Documentation</t>
  </si>
  <si>
    <t>Editing and Publication</t>
  </si>
  <si>
    <t>Total 2022 Estimate</t>
  </si>
  <si>
    <t>Incremental Costs</t>
  </si>
  <si>
    <t>CEIP5-Suite 6 2%</t>
  </si>
  <si>
    <t>Total MW</t>
  </si>
  <si>
    <t>Amount Incremental Demand Response</t>
  </si>
  <si>
    <t>MWh through 2025</t>
  </si>
  <si>
    <t>MW by 2025</t>
  </si>
  <si>
    <t>2022-2025 Incremental Cost</t>
  </si>
  <si>
    <t>aMW in 2025</t>
  </si>
  <si>
    <t>Estimated Incremental Cost Calculation ($000)</t>
  </si>
  <si>
    <t>Total 2% Increase Estimate, Including Compounding</t>
  </si>
  <si>
    <t>Estimated Incremental Cost</t>
  </si>
  <si>
    <t>Total Incremental Cost Forecast</t>
  </si>
  <si>
    <t>Difference Based on Aurora Output</t>
  </si>
  <si>
    <t>Incremental Cost - Based on Difference in Targets</t>
  </si>
  <si>
    <t xml:space="preserve">Workbook Summary: </t>
  </si>
  <si>
    <t>This workbook shows the buildup of the forecast incremental costs of complying with CETA.   This is based on 6 categories of costs:
1. Energy Efficiency
2. Demand Response
3. Generation Portfolio Resource Costs
4. DER Enabling and Grid Modernization Costs
5. Communications and Customer Education Costs
6. Monitoring and Reporting Costs</t>
  </si>
  <si>
    <t>Tab Summary:</t>
  </si>
  <si>
    <t>1. Energy Efficiency</t>
  </si>
  <si>
    <t>Tab Name</t>
  </si>
  <si>
    <t>Tab Summary</t>
  </si>
  <si>
    <t>Data Source</t>
  </si>
  <si>
    <t>Detailed Data</t>
  </si>
  <si>
    <t>Draft 2021 Biennial Conservation Plan</t>
  </si>
  <si>
    <t xml:space="preserve">Appendix </t>
  </si>
  <si>
    <t>2. Demand Response</t>
  </si>
  <si>
    <t>3. Incremental Resource Cost</t>
  </si>
  <si>
    <t>2021 IRP Conservation Potential Assessment Demand Response Programs</t>
  </si>
  <si>
    <t>Estimates Costs of Demand Response based on forecast demand response targets (all active demand response programs from the 2021 IRP for CEIP versus demand response programs selected in Portfolio S (no-CETA)), using pro-ration of costs of CEIP Portfolio.</t>
  </si>
  <si>
    <t>Compares "Baseline Portfolio" costs to "CEIP Portfolio" costs for energy efficiency, demand response, and generation portfolio.  Generation portfolio costs based on comparing outputs of Aurora runs (Baseline portfolio with CEIP energy efficiency and demand response vs CEIP portfolio) to allow isolation of generating resource build and dispatch decisions.</t>
  </si>
  <si>
    <t>Aurora Outputs</t>
  </si>
  <si>
    <t>4B.  Supp - Grid Mod RR</t>
  </si>
  <si>
    <t>4C.  Enablement and Grid Mod Bud</t>
  </si>
  <si>
    <t>Shows budgets and allocations to incremental costs for DER enablers and Grid Modernization Costs</t>
  </si>
  <si>
    <t>Forecast costs for delivering Communication and customer education costs, including public participation</t>
  </si>
  <si>
    <t>6. Admin Costs</t>
  </si>
  <si>
    <t>5. Comm and Education Costs</t>
  </si>
  <si>
    <t>Forecast costs for administration, including measurement and reporting</t>
  </si>
  <si>
    <t>7.  Incremental Cost</t>
  </si>
  <si>
    <t>Calculates forecast 2% increase in rates, compares to summary of incremental costs from tabs 1-6</t>
  </si>
  <si>
    <t>2020 Commission Basis Report, Tabs 1-6</t>
  </si>
  <si>
    <t>8. 2020 CBR</t>
  </si>
  <si>
    <t>9. Bill Impact Estimate</t>
  </si>
  <si>
    <t>Estimate of Impacts on Customer Bills from incremental costs</t>
  </si>
  <si>
    <t>Other tabs in this workbook</t>
  </si>
  <si>
    <t>Copy of 2020 Electric Commission Basis Report</t>
  </si>
  <si>
    <t>Docket UE -210212</t>
  </si>
  <si>
    <t>PSE Internal Forecast</t>
  </si>
  <si>
    <t>Appendix F7</t>
  </si>
  <si>
    <t>Appendix F6</t>
  </si>
  <si>
    <t>PSE Internal Forecast based on current vendor rates</t>
  </si>
  <si>
    <t>To be provided with final CEIP</t>
  </si>
  <si>
    <t>Tab 4C</t>
  </si>
  <si>
    <t>Appendix F5</t>
  </si>
  <si>
    <t>2021 PSE Draft Clean Energy Implementation Plan - Appendix E</t>
  </si>
  <si>
    <r>
      <rPr>
        <b/>
        <sz val="10"/>
        <color rgb="FF0000FF"/>
        <rFont val="Arial"/>
        <family val="2"/>
      </rPr>
      <t xml:space="preserve">
</t>
    </r>
    <r>
      <rPr>
        <b/>
        <sz val="10"/>
        <rFont val="Arial"/>
        <family val="2"/>
      </rPr>
      <t>PSE Conservation Rider 
Savings Goals and Budgets</t>
    </r>
  </si>
  <si>
    <r>
      <t xml:space="preserve">ANNUAL NORMALIZATION (LINE 4 </t>
    </r>
    <r>
      <rPr>
        <sz val="11.5"/>
        <rFont val="Arial"/>
        <family val="2"/>
      </rPr>
      <t>¸</t>
    </r>
    <r>
      <rPr>
        <sz val="10"/>
        <rFont val="Arial"/>
        <family val="2"/>
      </rPr>
      <t xml:space="preserve"> 2 YEARS)</t>
    </r>
  </si>
  <si>
    <r>
      <t xml:space="preserve">ANNUAL NORMALIZATION (LINE 10 </t>
    </r>
    <r>
      <rPr>
        <sz val="11.5"/>
        <rFont val="Arial"/>
        <family val="2"/>
      </rPr>
      <t>¸</t>
    </r>
    <r>
      <rPr>
        <sz val="10"/>
        <rFont val="Arial"/>
        <family val="2"/>
      </rPr>
      <t xml:space="preserve"> 4 YEARS)</t>
    </r>
  </si>
  <si>
    <t>Market Purchases</t>
  </si>
  <si>
    <t>Market Sales</t>
  </si>
  <si>
    <t>New Demand-side resource</t>
  </si>
  <si>
    <t>Program Name</t>
  </si>
  <si>
    <t>BCP Exhibit 1</t>
  </si>
  <si>
    <t>Aurora Energy Output (Cummulative MWh)</t>
  </si>
  <si>
    <t>Demand Response Program Measures in the 2021 IRP</t>
  </si>
  <si>
    <t>Cost Description</t>
  </si>
  <si>
    <t>Cost Value</t>
  </si>
  <si>
    <t>Cost Unit  (nominal dollars)</t>
  </si>
  <si>
    <t>Total Cost $</t>
  </si>
  <si>
    <t>No-CETA Portfolio</t>
  </si>
  <si>
    <t>With-CETA Portfolio</t>
  </si>
  <si>
    <t>Note: Forecast energy efficiency target is a 2-year target.  It is based on EIA target setting method, which takes 20% of the total 10-year savings in IRP plus 5% decoupling commitment.</t>
  </si>
  <si>
    <t>Annual target + 5% decoupling commitment</t>
  </si>
  <si>
    <t>20% of 10-year saving</t>
  </si>
  <si>
    <t>CEIP0- Suite 6 Incremental Aggregated</t>
  </si>
  <si>
    <t>CEIP0 - Suite 6 Incremental</t>
  </si>
  <si>
    <t>New Resource 3725 from 21IRPDR1 DR Res CPP-No Enablement</t>
  </si>
  <si>
    <t>New Resource 3726 from 21IRPDR2 DR Res CPP-With Enablement</t>
  </si>
  <si>
    <t>New Resource 3727 from 21IRPDR3 DR Res DLC Heat-Switch</t>
  </si>
  <si>
    <t>New Resource 3728 from 21IRPDR4 DR Res DLC Heat-BYOT</t>
  </si>
  <si>
    <t>New Resource 3729 from 21IRPDR5 DR Res DLC ERWH-Switch</t>
  </si>
  <si>
    <t>New Resource 3730 from 21IRPDR6 DR Res DLC ERWH-Grid-Enabled</t>
  </si>
  <si>
    <t>New Resource 3757 from 21IRPDR8 DR Res DLC HPWH-Grid-Enabled</t>
  </si>
  <si>
    <t>New Resource 3758 from 21IRPDR9 DR Small Com DLC Heat-Switch</t>
  </si>
  <si>
    <t>New Resource 3759 from 21IRPDR10 DR Medium Com DLC Heat-Switch</t>
  </si>
  <si>
    <t>New Resource 3760 from 21IRPDR11 DR C&amp;I Curtailment-Manual</t>
  </si>
  <si>
    <t>New Resource 3761 from 21IRPDR12 DR C&amp;I Curtailment-AutoDR</t>
  </si>
  <si>
    <t>New Resource 3762 from 21IRPDR13 DR C&amp;I CPP-No Enablement</t>
  </si>
  <si>
    <t>New Resource 3763 from 21IRPDR14 DR C&amp;I CPP-With Enablement</t>
  </si>
  <si>
    <t>New Resource 3790 from 21IRPDR16 DR Res Behavior DR-Winter</t>
  </si>
  <si>
    <t xml:space="preserve"> No-CETA Portfolio</t>
  </si>
  <si>
    <t>CETA Portfolio</t>
  </si>
  <si>
    <t>Forecast Energy Efficiency Target Based On No-CETA Portfolio (MWh)</t>
  </si>
  <si>
    <t>No-CETA MW</t>
  </si>
  <si>
    <t>With-CETA MW</t>
  </si>
  <si>
    <t>No-CETA Cost</t>
  </si>
  <si>
    <t>With-CETA Cost</t>
  </si>
  <si>
    <t>Total Procurement</t>
  </si>
  <si>
    <t>Forecast Energy Efficiency Target Based On With-CETA Portfolio (MWh)</t>
  </si>
  <si>
    <t>No-CETA Requirements</t>
  </si>
  <si>
    <t>With-CETA Requirements</t>
  </si>
  <si>
    <t>Electric Budget</t>
  </si>
  <si>
    <t>Energy Efficiency Cost Based on With-CETA Portfolio ($)</t>
  </si>
  <si>
    <t>Energy Efficiency Cost Based on No-CETA Portfolio ($)</t>
  </si>
  <si>
    <t>Budget $/MWh</t>
  </si>
  <si>
    <t>Forecast Energy Efficiency Target Methodology</t>
  </si>
  <si>
    <t>DER Enablers and Grid Mod IT Revenue Requirement $1000</t>
  </si>
  <si>
    <t>Grid Moderization Revenue Requirement $1000</t>
  </si>
  <si>
    <t>2023 Estimate</t>
  </si>
  <si>
    <t>2024 Estimate</t>
  </si>
  <si>
    <t>2025 Estimate</t>
  </si>
  <si>
    <t>Note: The Setup Costs were not included in the IRP output. They were added in the CEIP incremental cost calculation, as highlighted in red below</t>
  </si>
  <si>
    <t>Note: The incremental costs of Demand Response are based on forecast demand response MW, using pro-ration of costs of CEIP Portfolio</t>
  </si>
  <si>
    <t>Total Strategy &amp; Planning</t>
  </si>
  <si>
    <t>CEIP0_OctoberUpdate_21ATB - Suite 6</t>
  </si>
  <si>
    <t>Version:  1 December 2021</t>
  </si>
  <si>
    <t>Total Grid Modernization</t>
  </si>
  <si>
    <t>Calculates Estimated Revenue Requirement for incremental DER enabling actions.</t>
  </si>
  <si>
    <t>Calculates Estimated Revenue Requirement for Grid Mod Costs</t>
  </si>
  <si>
    <t>4A.  Supp-DER Enab RR</t>
  </si>
  <si>
    <t>Existing Resources</t>
  </si>
  <si>
    <t>New Resources</t>
  </si>
  <si>
    <t>CEIP Resources</t>
  </si>
  <si>
    <t>Costs Summary</t>
  </si>
  <si>
    <t>New Resource 3846 from 21IRPDR1 DR Res CPP-No Enablement</t>
  </si>
  <si>
    <t>New Resource 3871 from 21IRPDR2 DR Res CPP-With Enablement</t>
  </si>
  <si>
    <t>New Resource 3903 from 21IRPDR3 DR Res DLC Heat-Switch</t>
  </si>
  <si>
    <t>New Resource 3928 from 21IRPDR4 DR Res DLC Heat-BYOT</t>
  </si>
  <si>
    <t>New Resource 3956 from 21IRPDR5 DR Res DLC ERWH-Switch</t>
  </si>
  <si>
    <t>New Resource 3975 from 21IRPDR6 DR Res DLC ERWH-Grid-Enabled</t>
  </si>
  <si>
    <t>New Resource 4027 from 21IRPDR8 DR Res DLC HPWH-Grid-Enabled</t>
  </si>
  <si>
    <t>New Resource 4059 from 21IRPDR9 DR Small Com DLC Heat-Switch</t>
  </si>
  <si>
    <t>New Resource 4079 from 21IRPDR10 DR Medium Com DLC Heat-Switch</t>
  </si>
  <si>
    <t>New Resource 4116 from 21IRPDR11 DR C&amp;I Curtailment-Manual</t>
  </si>
  <si>
    <t>New Resource 4142 from 21IRPDR12 DR C&amp;I Curtailment-AutoDR</t>
  </si>
  <si>
    <t>New Resource 4159 from 21IRPDR13 DR C&amp;I CPP-No Enablement</t>
  </si>
  <si>
    <t>New Resource 4243 from 21IRPDR16 DR Res Behavior DR-Winter</t>
  </si>
  <si>
    <t>Item</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</si>
  <si>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</si>
  <si>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</si>
  <si>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</si>
  <si>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</si>
  <si>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</si>
  <si>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</si>
  <si>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</si>
  <si>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</si>
  <si>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</si>
  <si>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</si>
  <si>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</si>
  <si>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</si>
  <si>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</si>
  <si>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</si>
  <si>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</si>
  <si>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</si>
  <si>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</si>
  <si>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</si>
  <si>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</si>
  <si>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</si>
  <si>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</si>
  <si>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</si>
  <si>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</si>
  <si>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</si>
  <si>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</si>
  <si>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</si>
  <si>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</si>
  <si>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New Resource 3829 from 21IRPDSM1 DSM Bundle 1</t>
  </si>
  <si>
    <t>New Resource 3830 from 21IRPDSM2 DSM Bundle 2</t>
  </si>
  <si>
    <t>New Resource 3831 from 21IRPDSM3 DSM Bundle 3</t>
  </si>
  <si>
    <t>New Resource 3832 from 21IRPDSM4 DSM Bundle 4</t>
  </si>
  <si>
    <t>New Resource 3833 from 21IRPDSM5 DSM Bundle 5</t>
  </si>
  <si>
    <t>New Resource 3834 from 21IRPDSM6 DSM Bundle 6</t>
  </si>
  <si>
    <t>New Resource 3843 from 21IRPDSMC&amp;S 21IRP DSM C&amp;S</t>
  </si>
  <si>
    <t>New Resource 3844 from 21IRPDSMPV 21IRP DSM Solar PV</t>
  </si>
  <si>
    <t>Existing DSM</t>
  </si>
  <si>
    <t>New Demand Response</t>
  </si>
  <si>
    <t>000 Spacer</t>
  </si>
  <si>
    <t>New Resource 3711 from 21IRPDSM1 DSM Bundle 1</t>
  </si>
  <si>
    <t>New Resource 3712 from 21IRPDSM2 DSM Bundle 2</t>
  </si>
  <si>
    <t>New Resource 3713 from 21IRPDSM3 DSM Bundle 3</t>
  </si>
  <si>
    <t>New Resource 3714 from 21IRPDSM4 DSM Bundle 4</t>
  </si>
  <si>
    <t>New Resource 3715 from 21IRPDSM5 DSM Bundle 5</t>
  </si>
  <si>
    <t>New Resource 3716 from 21IRPDSM6 DSM Bundle 6</t>
  </si>
  <si>
    <t>New Resource 3717 from 21IRPDSM7 DSM Bundle 7</t>
  </si>
  <si>
    <t>New Resource 3718 from 21IRPDSM8 DSM Bundle 8</t>
  </si>
  <si>
    <t>New Resource 3719 from 21IRPDSM9 DSM Bundle 9</t>
  </si>
  <si>
    <t>New Resource 3720 from 21IRPDSM10 DSM Bundle 10</t>
  </si>
  <si>
    <t>New Resource 3721 from 21IRPDSM11 DSM Bundle 11</t>
  </si>
  <si>
    <t>New Resource 3722 from 21IRPDSMDE DSM Bundle Distribution Efficiency</t>
  </si>
  <si>
    <t>Total Energy Efficiency (MWh)</t>
  </si>
  <si>
    <t>With-CETA Budget</t>
  </si>
  <si>
    <t xml:space="preserve"> Allocation % to CETA</t>
  </si>
  <si>
    <t>No-CETA Budget</t>
  </si>
  <si>
    <t>Estimates Costs of Energy Efficiency Portfolio based on forecast energy efficiency targets ( EIA target + 5% decoupling commitment) and current energy efficiency units costs ($/MWh saved used in most recent Biennial Conservation Plan).  Based on EIA target setting method (20% of 10-year savings), savings are assumed to be constant over the next 4 years.</t>
  </si>
  <si>
    <t>IRP Appendix</t>
  </si>
  <si>
    <t>Ramped MW</t>
  </si>
  <si>
    <t>Ramped Participants</t>
  </si>
  <si>
    <t>Grid Modernization - Core</t>
  </si>
  <si>
    <t>* Incremental Cost</t>
  </si>
  <si>
    <t>* The Incremental Cost of DER Enablements and Grid Mod is not calculated as the delta between No-CETA and With-CETA requirements.  These two requirements capture the capital costs from a budget view, while the incremetal cost is in revenue requirement view</t>
  </si>
  <si>
    <t>Compounding Effect for 2% Annual Increase in Weather-Adjusted Sales Revenue</t>
  </si>
  <si>
    <t>Estimated 2% Annual Increase in Weather-Adjusted Sales Revenue, Including Compounding</t>
  </si>
  <si>
    <t>CEIP - Suite 6 Incremental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</si>
</sst>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 numFmtId="166" formatCode="_(&quot;$&quot;* #,##0.0_);_(&quot;$&quot;* \(#,##0.0\);_(&quot;$&quot;* &quot;-&quot;??_);_(@_)"/>
    <numFmt numFmtId="167" formatCode="_(* #,##0_);_(* \(#,##0\);_(* &quot;-&quot;??_);_(@_)"/>
    <numFmt numFmtId="168" formatCode="0.0%"/>
    <numFmt numFmtId="169" formatCode="&quot;Adj.&quot;\ 0.00"/>
    <numFmt numFmtId="170" formatCode="#,##0;\(#,##0\)"/>
    <numFmt numFmtId="171" formatCode="&quot;PAGE&quot;\ 0.00"/>
    <numFmt numFmtId="172" formatCode="_(* #,##0.00000_);_(* \(#,##0.00000\);_(* &quot;-&quot;?????_);_(@_)"/>
    <numFmt numFmtId="173" formatCode="#,##0.00\ ;\(#,##0.00\)"/>
    <numFmt numFmtId="174" formatCode="yyyy"/>
    <numFmt numFmtId="175" formatCode="0.0000%"/>
    <numFmt numFmtId="176" formatCode="0.000000"/>
    <numFmt numFmtId="177" formatCode="_(&quot;$&quot;* #,##0.0000_);_(&quot;$&quot;* \(#,##0.0000\);_(&quot;$&quot;* &quot;-&quot;????_);_(@_)"/>
    <numFmt numFmtId="178" formatCode="0.0000000"/>
    <numFmt numFmtId="179" formatCode="_(&quot;$&quot;* #,##0.00000_);_(&quot;$&quot;* \(#,##0.00000\);_(&quot;$&quot;* &quot;-&quot;??_);_(@_)"/>
    <numFmt numFmtId="180" formatCode="0.00000%"/>
    <numFmt numFmtId="181" formatCode="#,##0.0000"/>
    <numFmt numFmtId="182" formatCode="_(* #,##0_);[Red]_(* \(#,##0\);_(* &quot;-&quot;_);_(@_)"/>
    <numFmt numFmtId="183" formatCode="_(&quot;$&quot;* #,##0_);[Red]_(&quot;$&quot;* \(#,##0\);_(&quot;$&quot;* &quot;-&quot;_);_(@_)"/>
    <numFmt numFmtId="184" formatCode="#,##0.0000000;\(#,##0.0000000\)"/>
    <numFmt numFmtId="185" formatCode="_(&quot;$&quot;* #,##0.000_);_(&quot;$&quot;* \(#,##0.000\);_(&quot;$&quot;* &quot;-&quot;??_);_(@_)"/>
    <numFmt numFmtId="186" formatCode="_(&quot;$&quot;* #,##0.0000_);_(&quot;$&quot;* \(#,##0.0000\);_(&quot;$&quot;* &quot;-&quot;??_);_(@_)"/>
    <numFmt numFmtId="187" formatCode="&quot;$&quot;#,##0"/>
    <numFmt numFmtId="188" formatCode="_(* #,##0.0_);_(* \(#,##0.0\);_(* &quot;-&quot;??_);_(@_)"/>
  </numFmts>
  <fonts count="49">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i/>
      <sz val="11"/>
      <color theme="1"/>
      <name val="Calibri"/>
      <family val="2"/>
      <scheme val="minor"/>
    </font>
    <font>
      <sz val="11"/>
      <color rgb="FF0000FF"/>
      <name val="Calibri"/>
      <family val="2"/>
      <scheme val="minor"/>
    </font>
    <font>
      <b/>
      <sz val="11"/>
      <name val="Calibri"/>
      <family val="2"/>
      <scheme val="minor"/>
    </font>
    <font>
      <b/>
      <sz val="11"/>
      <color rgb="FF0000FF"/>
      <name val="Calibri"/>
      <family val="2"/>
      <scheme val="minor"/>
    </font>
    <font>
      <sz val="11"/>
      <color theme="0" tint="-0.34998626667073579"/>
      <name val="Calibri"/>
      <family val="2"/>
      <scheme val="minor"/>
    </font>
    <font>
      <i/>
      <sz val="11"/>
      <color theme="1"/>
      <name val="Calibri"/>
      <family val="2"/>
      <scheme val="minor"/>
    </font>
    <font>
      <sz val="11"/>
      <color rgb="FF000000"/>
      <name val="Calibri"/>
      <family val="2"/>
      <scheme val="minor"/>
    </font>
    <font>
      <sz val="10"/>
      <name val="Arial"/>
      <family val="2"/>
    </font>
    <font>
      <sz val="11"/>
      <name val="univers (E1)"/>
    </font>
    <font>
      <b/>
      <sz val="10"/>
      <name val="Arial"/>
      <family val="2"/>
    </font>
    <font>
      <b/>
      <sz val="10"/>
      <color indexed="8"/>
      <name val="Arial"/>
      <family val="2"/>
    </font>
    <font>
      <i/>
      <sz val="10"/>
      <color indexed="10"/>
      <name val="Arial"/>
      <family val="2"/>
    </font>
    <font>
      <sz val="10"/>
      <color indexed="8"/>
      <name val="Arial"/>
      <family val="2"/>
    </font>
    <font>
      <sz val="10"/>
      <color rgb="FF000000"/>
      <name val="Calibri"/>
      <family val="2"/>
    </font>
    <font>
      <sz val="10"/>
      <color theme="1"/>
      <name val="Arial"/>
      <family val="2"/>
    </font>
    <font>
      <b/>
      <u/>
      <sz val="10"/>
      <color theme="1"/>
      <name val="Arial"/>
      <family val="2"/>
    </font>
    <font>
      <sz val="10"/>
      <color theme="0" tint="-0.34998626667073579"/>
      <name val="Arial"/>
      <family val="2"/>
    </font>
    <font>
      <b/>
      <sz val="10"/>
      <color rgb="FF0000FF"/>
      <name val="Arial"/>
      <family val="2"/>
    </font>
    <font>
      <sz val="10"/>
      <color theme="0" tint="-0.499984740745262"/>
      <name val="Arial"/>
      <family val="2"/>
    </font>
    <font>
      <b/>
      <sz val="10"/>
      <color indexed="9"/>
      <name val="Arial"/>
      <family val="2"/>
    </font>
    <font>
      <sz val="10"/>
      <color theme="0" tint="-0.14999847407452621"/>
      <name val="Arial"/>
      <family val="2"/>
    </font>
    <font>
      <i/>
      <sz val="10"/>
      <name val="Arial"/>
      <family val="2"/>
    </font>
    <font>
      <b/>
      <sz val="10"/>
      <color theme="1"/>
      <name val="Arial"/>
      <family val="2"/>
    </font>
    <font>
      <sz val="11"/>
      <color theme="1"/>
      <name val="Arial"/>
      <family val="2"/>
    </font>
    <font>
      <b/>
      <sz val="10"/>
      <color rgb="FFFFFFFF"/>
      <name val="Arial"/>
      <family val="2"/>
    </font>
    <font>
      <sz val="10"/>
      <color rgb="FF000000"/>
      <name val="Arial"/>
      <family val="2"/>
    </font>
    <font>
      <sz val="10"/>
      <color theme="0" tint="-0.249977111117893"/>
      <name val="Arial"/>
      <family val="2"/>
    </font>
    <font>
      <i/>
      <sz val="10"/>
      <color theme="1"/>
      <name val="Arial"/>
      <family val="2"/>
    </font>
    <font>
      <b/>
      <i/>
      <sz val="10"/>
      <color theme="1"/>
      <name val="Arial"/>
      <family val="2"/>
    </font>
    <font>
      <sz val="10"/>
      <color rgb="FF0000FF"/>
      <name val="Arial"/>
      <family val="2"/>
    </font>
    <font>
      <sz val="8"/>
      <name val="Arial"/>
      <family val="2"/>
    </font>
    <font>
      <b/>
      <u/>
      <sz val="10"/>
      <name val="Arial"/>
      <family val="2"/>
    </font>
    <font>
      <b/>
      <sz val="8"/>
      <name val="Arial"/>
      <family val="2"/>
    </font>
    <font>
      <b/>
      <sz val="10"/>
      <color rgb="FFFF0000"/>
      <name val="Arial"/>
      <family val="2"/>
    </font>
    <font>
      <b/>
      <u/>
      <sz val="10"/>
      <color rgb="FFFF0000"/>
      <name val="Arial"/>
      <family val="2"/>
    </font>
    <font>
      <b/>
      <sz val="8"/>
      <color rgb="FFFF0000"/>
      <name val="Arial"/>
      <family val="2"/>
    </font>
    <font>
      <u/>
      <sz val="10"/>
      <name val="Arial"/>
      <family val="2"/>
    </font>
    <font>
      <b/>
      <sz val="11"/>
      <name val="Arial"/>
      <family val="2"/>
    </font>
    <font>
      <sz val="11"/>
      <name val="Arial"/>
      <family val="2"/>
    </font>
    <font>
      <sz val="11.5"/>
      <name val="Arial"/>
      <family val="2"/>
    </font>
    <font>
      <b/>
      <sz val="12"/>
      <name val="Arial"/>
      <family val="2"/>
    </font>
    <font>
      <b/>
      <sz val="11"/>
      <name val="Calibri"/>
      <family val="2"/>
    </font>
    <font>
      <b/>
      <sz val="11"/>
      <color theme="5" tint="-0.499984740745262"/>
      <name val="Calibri"/>
      <family val="2"/>
      <scheme val="minor"/>
    </font>
    <font>
      <b/>
      <sz val="11"/>
      <name val="Calibri"/>
      <family val="2"/>
    </font>
    <font>
      <b/>
      <sz val="10"/>
      <color rgb="FFFFFFFF"/>
      <name val="Calibri"/>
      <family val="2"/>
    </font>
  </fonts>
  <fills count="27">
    <fill>
      <patternFill patternType="none"/>
    </fill>
    <fill>
      <patternFill patternType="gray125"/>
    </fill>
    <fill>
      <patternFill patternType="solid">
        <fgColor theme="7"/>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2"/>
        <bgColor indexed="64"/>
      </patternFill>
    </fill>
    <fill>
      <patternFill patternType="solid">
        <fgColor theme="9" tint="0.39997558519241921"/>
        <bgColor indexed="64"/>
      </patternFill>
    </fill>
    <fill>
      <patternFill patternType="solid">
        <fgColor rgb="FFCC99FF"/>
        <bgColor indexed="64"/>
      </patternFill>
    </fill>
    <fill>
      <patternFill patternType="solid">
        <fgColor rgb="FFCCFF33"/>
        <bgColor indexed="64"/>
      </patternFill>
    </fill>
    <fill>
      <patternFill patternType="solid">
        <fgColor rgb="FF506DE8"/>
        <bgColor indexed="64"/>
      </patternFill>
    </fill>
    <fill>
      <patternFill patternType="solid">
        <fgColor rgb="FFFD6035"/>
        <bgColor indexed="64"/>
      </patternFill>
    </fill>
    <fill>
      <patternFill patternType="solid">
        <fgColor rgb="FFFFE811"/>
        <bgColor indexed="64"/>
      </patternFill>
    </fill>
    <fill>
      <patternFill patternType="solid">
        <fgColor rgb="FFABC785"/>
        <bgColor indexed="64"/>
      </patternFill>
    </fill>
    <fill>
      <patternFill patternType="solid">
        <fgColor rgb="FF005DAA"/>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0000"/>
        <bgColor indexed="64"/>
      </patternFill>
    </fill>
  </fills>
  <borders count="44">
    <border>
      <left/>
      <right/>
      <top/>
      <bottom/>
      <diagonal/>
    </border>
    <border>
      <left style="medium">
        <color auto="1"/>
      </left>
      <right/>
      <top/>
      <bottom/>
      <diagonal/>
    </border>
    <border>
      <left/>
      <right style="medium">
        <color auto="1"/>
      </right>
      <top/>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right/>
      <top style="double">
        <color auto="1"/>
      </top>
      <bottom/>
      <diagonal/>
    </border>
    <border>
      <left style="medium">
        <color auto="1"/>
      </left>
      <right/>
      <top style="double">
        <color auto="1"/>
      </top>
      <bottom/>
      <diagonal/>
    </border>
    <border>
      <left/>
      <right style="medium">
        <color auto="1"/>
      </right>
      <top style="double">
        <color auto="1"/>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style="medium">
        <color auto="1"/>
      </left>
      <right style="medium">
        <color auto="1"/>
      </right>
      <top/>
      <bottom/>
      <diagonal/>
    </border>
    <border>
      <left style="hair">
        <color auto="1"/>
      </left>
      <right style="hair">
        <color auto="1"/>
      </right>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bottom style="thin">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rgb="FFBFBFBF"/>
      </left>
      <right style="medium">
        <color rgb="FFBFBFBF"/>
      </right>
      <top style="medium">
        <color rgb="FFBFBFBF"/>
      </top>
      <bottom style="medium">
        <color rgb="FFBFBFBF"/>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medium">
        <color rgb="FFBFBFBF"/>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auto="1"/>
      </left>
      <right style="hair">
        <color auto="1"/>
      </right>
      <top style="thin">
        <color indexed="64"/>
      </top>
      <bottom style="hair">
        <color auto="1"/>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7" fontId="11" fillId="0" borderId="0">
      <alignment horizontal="left" wrapText="1"/>
    </xf>
    <xf numFmtId="0" fontId="11" fillId="0" borderId="0"/>
    <xf numFmtId="4" fontId="12" fillId="0" borderId="0" applyFont="0" applyFill="0" applyBorder="0" applyAlignment="0" applyProtection="0"/>
    <xf numFmtId="9" fontId="17" fillId="0" borderId="28">
      <alignment horizontal="right" vertical="center" wrapText="1" readingOrder="1"/>
    </xf>
    <xf numFmtId="49" fontId="17" fillId="0" borderId="29">
      <alignment horizontal="left" vertical="center" wrapText="1" readingOrder="1"/>
    </xf>
    <xf numFmtId="49" fontId="48" fillId="17" borderId="29">
      <alignment horizontal="center" vertical="center" wrapText="1" readingOrder="1"/>
    </xf>
    <xf numFmtId="4" fontId="17" fillId="0" borderId="29">
      <alignment horizontal="right" vertical="center" wrapText="1" readingOrder="1"/>
    </xf>
  </cellStyleXfs>
  <cellXfs count="815">
    <xf numFmtId="0" fontId="0" fillId="0" borderId="0" xfId="0"/>
    <xf numFmtId="0" fontId="3" fillId="0" borderId="0" xfId="0" applyFont="1"/>
    <xf numFmtId="15" fontId="0" fillId="0" borderId="0" xfId="0" applyNumberFormat="1"/>
    <xf numFmtId="0" fontId="0" fillId="0" borderId="1" xfId="0" applyBorder="1"/>
    <xf numFmtId="0" fontId="0" fillId="0" borderId="0" xfId="0" applyBorder="1"/>
    <xf numFmtId="0" fontId="0" fillId="0" borderId="2" xfId="0" applyBorder="1"/>
    <xf numFmtId="0" fontId="2" fillId="0" borderId="1" xfId="0" applyFont="1" applyBorder="1"/>
    <xf numFmtId="0" fontId="2" fillId="0" borderId="0" xfId="0" applyFont="1" applyBorder="1"/>
    <xf numFmtId="0" fontId="2" fillId="0" borderId="2" xfId="0" applyFont="1" applyBorder="1"/>
    <xf numFmtId="0" fontId="2" fillId="0" borderId="0" xfId="0" applyFont="1"/>
    <xf numFmtId="0" fontId="4" fillId="0" borderId="0" xfId="0" applyFont="1"/>
    <xf numFmtId="164" fontId="0" fillId="2" borderId="1" xfId="0" applyNumberFormat="1" applyFill="1" applyBorder="1"/>
    <xf numFmtId="164" fontId="0" fillId="2" borderId="0" xfId="0" applyNumberFormat="1" applyFill="1" applyBorder="1"/>
    <xf numFmtId="164" fontId="0" fillId="2" borderId="2" xfId="0" applyNumberFormat="1" applyFill="1" applyBorder="1"/>
    <xf numFmtId="0" fontId="0" fillId="2" borderId="0" xfId="0" applyFill="1"/>
    <xf numFmtId="0" fontId="4" fillId="3" borderId="0" xfId="0" applyFont="1" applyFill="1"/>
    <xf numFmtId="0" fontId="0" fillId="3" borderId="0" xfId="0" applyFill="1"/>
    <xf numFmtId="0" fontId="0" fillId="3" borderId="1" xfId="0" applyFill="1" applyBorder="1"/>
    <xf numFmtId="0" fontId="0" fillId="3" borderId="0" xfId="0" applyFill="1" applyBorder="1"/>
    <xf numFmtId="0" fontId="0" fillId="3" borderId="2" xfId="0" applyFill="1" applyBorder="1"/>
    <xf numFmtId="165" fontId="0" fillId="0" borderId="0" xfId="1" applyNumberFormat="1" applyFont="1"/>
    <xf numFmtId="165" fontId="0" fillId="2" borderId="1" xfId="1" applyNumberFormat="1" applyFont="1" applyFill="1" applyBorder="1"/>
    <xf numFmtId="165" fontId="0" fillId="2" borderId="0" xfId="1" applyNumberFormat="1" applyFont="1" applyFill="1" applyBorder="1"/>
    <xf numFmtId="165" fontId="0" fillId="2" borderId="2" xfId="1" applyNumberFormat="1" applyFont="1" applyFill="1" applyBorder="1"/>
    <xf numFmtId="165" fontId="0" fillId="2" borderId="0" xfId="1" applyNumberFormat="1" applyFont="1" applyFill="1"/>
    <xf numFmtId="165" fontId="0" fillId="0" borderId="1" xfId="1" applyNumberFormat="1" applyFont="1" applyBorder="1"/>
    <xf numFmtId="165" fontId="0" fillId="0" borderId="0" xfId="1" applyNumberFormat="1" applyFont="1" applyBorder="1"/>
    <xf numFmtId="165" fontId="0" fillId="0" borderId="2" xfId="1" applyNumberFormat="1" applyFont="1" applyBorder="1"/>
    <xf numFmtId="0" fontId="0" fillId="0" borderId="3" xfId="0" applyBorder="1"/>
    <xf numFmtId="165" fontId="0" fillId="0" borderId="3" xfId="1" applyNumberFormat="1" applyFont="1" applyBorder="1"/>
    <xf numFmtId="165" fontId="0" fillId="0" borderId="4" xfId="1" applyNumberFormat="1" applyFont="1" applyBorder="1"/>
    <xf numFmtId="165" fontId="0" fillId="0" borderId="5" xfId="1" applyNumberFormat="1" applyFont="1" applyBorder="1"/>
    <xf numFmtId="0" fontId="0" fillId="0" borderId="0" xfId="0" applyFont="1" applyFill="1" applyBorder="1"/>
    <xf numFmtId="166" fontId="0" fillId="0" borderId="6" xfId="0" applyNumberFormat="1" applyBorder="1"/>
    <xf numFmtId="166" fontId="0" fillId="0" borderId="7" xfId="0" applyNumberFormat="1" applyBorder="1"/>
    <xf numFmtId="166" fontId="0" fillId="0" borderId="8" xfId="0" applyNumberFormat="1" applyBorder="1"/>
    <xf numFmtId="166" fontId="0" fillId="0" borderId="1" xfId="0" applyNumberFormat="1" applyBorder="1"/>
    <xf numFmtId="0" fontId="4" fillId="0" borderId="9" xfId="0" applyFont="1" applyBorder="1"/>
    <xf numFmtId="0" fontId="0" fillId="0" borderId="9" xfId="0" applyBorder="1"/>
    <xf numFmtId="165" fontId="0" fillId="0" borderId="10" xfId="0" applyNumberFormat="1" applyBorder="1"/>
    <xf numFmtId="165" fontId="0" fillId="0" borderId="9" xfId="0" applyNumberFormat="1" applyBorder="1"/>
    <xf numFmtId="165" fontId="0" fillId="0" borderId="11" xfId="0" applyNumberFormat="1" applyBorder="1"/>
    <xf numFmtId="166" fontId="0" fillId="0" borderId="0" xfId="1" applyNumberFormat="1" applyFont="1"/>
    <xf numFmtId="166" fontId="0" fillId="2" borderId="1" xfId="1" applyNumberFormat="1" applyFont="1" applyFill="1" applyBorder="1"/>
    <xf numFmtId="166" fontId="0" fillId="2" borderId="0" xfId="1" applyNumberFormat="1" applyFont="1" applyFill="1" applyBorder="1"/>
    <xf numFmtId="166" fontId="0" fillId="2" borderId="2" xfId="1" applyNumberFormat="1" applyFont="1" applyFill="1" applyBorder="1"/>
    <xf numFmtId="166" fontId="0" fillId="0" borderId="1" xfId="1" applyNumberFormat="1" applyFont="1" applyBorder="1"/>
    <xf numFmtId="166" fontId="0" fillId="0" borderId="0" xfId="1" applyNumberFormat="1" applyFont="1" applyBorder="1"/>
    <xf numFmtId="166" fontId="0" fillId="0" borderId="2" xfId="1" applyNumberFormat="1" applyFont="1" applyBorder="1"/>
    <xf numFmtId="166" fontId="0" fillId="0" borderId="10" xfId="0" applyNumberFormat="1" applyBorder="1"/>
    <xf numFmtId="166" fontId="0" fillId="0" borderId="9" xfId="0" applyNumberFormat="1" applyBorder="1"/>
    <xf numFmtId="166" fontId="0" fillId="0" borderId="11" xfId="0" applyNumberFormat="1" applyBorder="1"/>
    <xf numFmtId="0" fontId="0" fillId="0" borderId="0" xfId="0" applyFont="1"/>
    <xf numFmtId="165" fontId="0" fillId="0" borderId="0" xfId="0" applyNumberFormat="1"/>
    <xf numFmtId="0" fontId="0" fillId="0" borderId="0" xfId="0"/>
    <xf numFmtId="165" fontId="0" fillId="0" borderId="0" xfId="1" applyNumberFormat="1" applyFont="1"/>
    <xf numFmtId="165" fontId="5" fillId="4" borderId="0" xfId="0" applyNumberFormat="1" applyFont="1" applyFill="1" applyAlignment="1">
      <alignment horizontal="center"/>
    </xf>
    <xf numFmtId="0" fontId="0" fillId="4" borderId="0" xfId="0" applyFill="1"/>
    <xf numFmtId="0" fontId="0" fillId="4" borderId="0" xfId="0" applyFill="1" applyAlignment="1">
      <alignment horizontal="center"/>
    </xf>
    <xf numFmtId="0" fontId="2" fillId="4" borderId="0" xfId="0" applyFont="1" applyFill="1" applyAlignment="1">
      <alignment horizontal="center"/>
    </xf>
    <xf numFmtId="0" fontId="2" fillId="4" borderId="0" xfId="0" applyFont="1" applyFill="1"/>
    <xf numFmtId="0" fontId="2" fillId="4" borderId="0" xfId="0" applyFont="1" applyFill="1" applyAlignment="1">
      <alignment horizontal="center" wrapText="1"/>
    </xf>
    <xf numFmtId="0" fontId="4" fillId="4" borderId="0" xfId="0" applyFont="1" applyFill="1" applyAlignment="1">
      <alignment horizontal="left"/>
    </xf>
    <xf numFmtId="0" fontId="0" fillId="4" borderId="0" xfId="0" applyFill="1" applyAlignment="1">
      <alignment horizontal="left"/>
    </xf>
    <xf numFmtId="165" fontId="2" fillId="4" borderId="0" xfId="1" applyNumberFormat="1" applyFont="1" applyFill="1" applyAlignment="1">
      <alignment horizontal="center"/>
    </xf>
    <xf numFmtId="165" fontId="2" fillId="4" borderId="0" xfId="0" applyNumberFormat="1" applyFont="1" applyFill="1"/>
    <xf numFmtId="165" fontId="0" fillId="4" borderId="0" xfId="1" applyNumberFormat="1" applyFont="1" applyFill="1" applyAlignment="1">
      <alignment horizontal="center"/>
    </xf>
    <xf numFmtId="165" fontId="0" fillId="4" borderId="0" xfId="0" applyNumberFormat="1" applyFill="1"/>
    <xf numFmtId="0" fontId="2" fillId="4" borderId="0" xfId="0" applyFont="1" applyFill="1" applyAlignment="1">
      <alignment horizontal="right"/>
    </xf>
    <xf numFmtId="0" fontId="0" fillId="4" borderId="0" xfId="0" applyFill="1" applyAlignment="1">
      <alignment horizontal="right"/>
    </xf>
    <xf numFmtId="165" fontId="0" fillId="4" borderId="0" xfId="0" applyNumberFormat="1" applyFill="1" applyAlignment="1">
      <alignment horizontal="center"/>
    </xf>
    <xf numFmtId="165" fontId="6" fillId="4" borderId="0" xfId="0" applyNumberFormat="1" applyFont="1" applyFill="1" applyAlignment="1">
      <alignment horizontal="center"/>
    </xf>
    <xf numFmtId="165" fontId="0" fillId="4" borderId="0" xfId="1" applyNumberFormat="1" applyFont="1" applyFill="1"/>
    <xf numFmtId="0" fontId="4" fillId="4" borderId="0" xfId="0" applyFont="1" applyFill="1"/>
    <xf numFmtId="9" fontId="5" fillId="4" borderId="0" xfId="0" applyNumberFormat="1" applyFont="1" applyFill="1" applyAlignment="1">
      <alignment horizontal="center"/>
    </xf>
    <xf numFmtId="165" fontId="2" fillId="4" borderId="0" xfId="0" applyNumberFormat="1" applyFont="1" applyFill="1" applyAlignment="1">
      <alignment horizontal="center"/>
    </xf>
    <xf numFmtId="165" fontId="7" fillId="4" borderId="0" xfId="0" applyNumberFormat="1" applyFont="1" applyFill="1" applyAlignment="1">
      <alignment horizontal="center"/>
    </xf>
    <xf numFmtId="165" fontId="7" fillId="4" borderId="0" xfId="1" applyNumberFormat="1" applyFont="1" applyFill="1" applyAlignment="1">
      <alignment horizontal="center"/>
    </xf>
    <xf numFmtId="0" fontId="2" fillId="4" borderId="12" xfId="0" applyFont="1" applyFill="1" applyBorder="1"/>
    <xf numFmtId="0" fontId="0" fillId="4" borderId="12" xfId="0" applyFill="1" applyBorder="1"/>
    <xf numFmtId="0" fontId="0" fillId="4" borderId="12" xfId="0" applyFill="1" applyBorder="1" applyAlignment="1">
      <alignment horizontal="center"/>
    </xf>
    <xf numFmtId="0" fontId="2" fillId="4" borderId="12" xfId="0" applyFont="1" applyFill="1" applyBorder="1" applyAlignment="1">
      <alignment horizontal="center"/>
    </xf>
    <xf numFmtId="165" fontId="6" fillId="4" borderId="12" xfId="0" applyNumberFormat="1" applyFont="1" applyFill="1" applyBorder="1" applyAlignment="1">
      <alignment horizontal="center"/>
    </xf>
    <xf numFmtId="0" fontId="0" fillId="4" borderId="12" xfId="0" applyFont="1" applyFill="1" applyBorder="1" applyAlignment="1">
      <alignment horizontal="center"/>
    </xf>
    <xf numFmtId="9" fontId="0" fillId="0" borderId="0" xfId="0" applyNumberFormat="1"/>
    <xf numFmtId="10" fontId="0" fillId="0" borderId="0" xfId="0" applyNumberFormat="1"/>
    <xf numFmtId="9" fontId="0" fillId="0" borderId="0" xfId="2" applyNumberFormat="1" applyFont="1"/>
    <xf numFmtId="44" fontId="0" fillId="0" borderId="0" xfId="0" applyNumberFormat="1"/>
    <xf numFmtId="0" fontId="0" fillId="6" borderId="0" xfId="0" applyFill="1"/>
    <xf numFmtId="167" fontId="0" fillId="0" borderId="0" xfId="3" applyNumberFormat="1" applyFont="1"/>
    <xf numFmtId="43" fontId="0" fillId="0" borderId="0" xfId="3" applyFont="1"/>
    <xf numFmtId="44" fontId="0" fillId="0" borderId="0" xfId="1" applyNumberFormat="1" applyFont="1"/>
    <xf numFmtId="165" fontId="8" fillId="0" borderId="0" xfId="0" applyNumberFormat="1" applyFont="1"/>
    <xf numFmtId="165" fontId="8" fillId="0" borderId="0" xfId="1" applyNumberFormat="1" applyFont="1"/>
    <xf numFmtId="9" fontId="0" fillId="0" borderId="0" xfId="2" applyFont="1"/>
    <xf numFmtId="0" fontId="9" fillId="0" borderId="0" xfId="0" applyFont="1" applyAlignment="1">
      <alignment horizontal="right"/>
    </xf>
    <xf numFmtId="0" fontId="2" fillId="0" borderId="0" xfId="0" applyFont="1" applyAlignment="1">
      <alignment horizontal="center" wrapText="1"/>
    </xf>
    <xf numFmtId="0" fontId="0" fillId="0" borderId="16" xfId="0" applyBorder="1"/>
    <xf numFmtId="165" fontId="0" fillId="0" borderId="16" xfId="0" applyNumberFormat="1" applyBorder="1"/>
    <xf numFmtId="0" fontId="0" fillId="0" borderId="17" xfId="0" applyBorder="1"/>
    <xf numFmtId="165" fontId="0" fillId="0" borderId="17" xfId="0" applyNumberFormat="1" applyBorder="1"/>
    <xf numFmtId="0" fontId="9" fillId="0" borderId="18" xfId="0" applyFont="1" applyBorder="1" applyAlignment="1">
      <alignment horizontal="right"/>
    </xf>
    <xf numFmtId="9" fontId="9" fillId="0" borderId="18" xfId="2" applyFont="1" applyBorder="1"/>
    <xf numFmtId="9" fontId="9" fillId="0" borderId="18" xfId="0" applyNumberFormat="1" applyFont="1" applyBorder="1"/>
    <xf numFmtId="0" fontId="3" fillId="6" borderId="0" xfId="0" applyFont="1" applyFill="1"/>
    <xf numFmtId="6" fontId="0" fillId="0" borderId="0" xfId="0" applyNumberFormat="1"/>
    <xf numFmtId="6" fontId="0" fillId="0" borderId="0" xfId="0" quotePrefix="1" applyNumberFormat="1"/>
    <xf numFmtId="167" fontId="0" fillId="0" borderId="0" xfId="0" applyNumberFormat="1"/>
    <xf numFmtId="3" fontId="0" fillId="0" borderId="0" xfId="0" applyNumberFormat="1"/>
    <xf numFmtId="3" fontId="10" fillId="0" borderId="0" xfId="0" applyNumberFormat="1" applyFont="1"/>
    <xf numFmtId="17" fontId="11" fillId="0" borderId="0" xfId="0" applyNumberFormat="1" applyFont="1" applyAlignment="1"/>
    <xf numFmtId="0" fontId="11" fillId="0" borderId="0" xfId="0" applyNumberFormat="1" applyFont="1" applyFill="1" applyAlignment="1"/>
    <xf numFmtId="167" fontId="11" fillId="0" borderId="0" xfId="3" applyNumberFormat="1" applyFont="1" applyFill="1" applyBorder="1" applyProtection="1"/>
    <xf numFmtId="0" fontId="13" fillId="0" borderId="12" xfId="0" applyFont="1" applyBorder="1"/>
    <xf numFmtId="167" fontId="14" fillId="0" borderId="14" xfId="3" applyNumberFormat="1" applyFont="1" applyBorder="1" applyProtection="1"/>
    <xf numFmtId="0" fontId="15" fillId="0" borderId="0" xfId="0" applyFont="1" applyBorder="1"/>
    <xf numFmtId="42" fontId="15" fillId="0" borderId="0" xfId="0" applyNumberFormat="1" applyFont="1" applyBorder="1" applyProtection="1"/>
    <xf numFmtId="0" fontId="13" fillId="0" borderId="14" xfId="0" applyFont="1" applyBorder="1"/>
    <xf numFmtId="167" fontId="16" fillId="0" borderId="14" xfId="3" applyNumberFormat="1" applyFont="1" applyFill="1" applyBorder="1" applyProtection="1"/>
    <xf numFmtId="167" fontId="16" fillId="0" borderId="14" xfId="3" applyNumberFormat="1" applyFont="1" applyBorder="1" applyProtection="1"/>
    <xf numFmtId="0" fontId="18" fillId="0" borderId="0" xfId="0" applyFont="1"/>
    <xf numFmtId="0" fontId="19" fillId="0" borderId="0" xfId="0" applyFont="1"/>
    <xf numFmtId="0" fontId="18" fillId="0" borderId="0" xfId="0" applyFont="1" applyAlignment="1">
      <alignment horizontal="left" wrapText="1"/>
    </xf>
    <xf numFmtId="0" fontId="20" fillId="0" borderId="0" xfId="0" applyFont="1"/>
    <xf numFmtId="0" fontId="18" fillId="0" borderId="0" xfId="0" applyFont="1" applyBorder="1" applyAlignment="1">
      <alignment horizontal="center"/>
    </xf>
    <xf numFmtId="167" fontId="18" fillId="0" borderId="14" xfId="3" applyNumberFormat="1" applyFont="1" applyBorder="1"/>
    <xf numFmtId="167" fontId="22" fillId="0" borderId="0" xfId="3" applyNumberFormat="1" applyFont="1"/>
    <xf numFmtId="167" fontId="18" fillId="0" borderId="0" xfId="3" applyNumberFormat="1" applyFont="1"/>
    <xf numFmtId="167" fontId="18" fillId="0" borderId="0" xfId="0" applyNumberFormat="1" applyFont="1"/>
    <xf numFmtId="3" fontId="13" fillId="13" borderId="17" xfId="0" applyNumberFormat="1" applyFont="1" applyFill="1" applyBorder="1" applyProtection="1"/>
    <xf numFmtId="167" fontId="24" fillId="0" borderId="0" xfId="3" applyNumberFormat="1" applyFont="1" applyBorder="1"/>
    <xf numFmtId="43" fontId="18" fillId="0" borderId="0" xfId="0" applyNumberFormat="1" applyFont="1"/>
    <xf numFmtId="187" fontId="18" fillId="0" borderId="0" xfId="0" applyNumberFormat="1" applyFont="1"/>
    <xf numFmtId="167" fontId="18" fillId="0" borderId="14" xfId="3" applyNumberFormat="1" applyFont="1" applyFill="1" applyBorder="1" applyProtection="1"/>
    <xf numFmtId="167" fontId="18" fillId="0" borderId="14" xfId="0" applyNumberFormat="1" applyFont="1" applyBorder="1"/>
    <xf numFmtId="187" fontId="18" fillId="0" borderId="0" xfId="0" applyNumberFormat="1" applyFont="1" applyBorder="1"/>
    <xf numFmtId="187" fontId="18" fillId="0" borderId="0" xfId="0" applyNumberFormat="1" applyFont="1" applyFill="1"/>
    <xf numFmtId="0" fontId="18" fillId="0" borderId="0" xfId="0" applyFont="1" applyFill="1" applyBorder="1"/>
    <xf numFmtId="167" fontId="18" fillId="0" borderId="12" xfId="0" applyNumberFormat="1" applyFont="1" applyBorder="1"/>
    <xf numFmtId="187" fontId="18" fillId="0" borderId="12" xfId="0" applyNumberFormat="1" applyFont="1" applyBorder="1"/>
    <xf numFmtId="0" fontId="18" fillId="0" borderId="0" xfId="0" applyFont="1" applyBorder="1"/>
    <xf numFmtId="0" fontId="23" fillId="14" borderId="12" xfId="0" applyFont="1" applyFill="1" applyBorder="1"/>
    <xf numFmtId="0" fontId="23" fillId="14" borderId="3" xfId="0" applyFont="1" applyFill="1" applyBorder="1"/>
    <xf numFmtId="0" fontId="18" fillId="0" borderId="14" xfId="0" applyFont="1" applyFill="1" applyBorder="1"/>
    <xf numFmtId="0" fontId="18" fillId="0" borderId="14" xfId="0" applyFont="1" applyBorder="1"/>
    <xf numFmtId="165" fontId="20" fillId="0" borderId="0" xfId="1" applyNumberFormat="1" applyFont="1"/>
    <xf numFmtId="167" fontId="18" fillId="0" borderId="13" xfId="0" applyNumberFormat="1" applyFont="1" applyBorder="1"/>
    <xf numFmtId="188" fontId="20" fillId="0" borderId="0" xfId="3" applyNumberFormat="1" applyFont="1"/>
    <xf numFmtId="187" fontId="18" fillId="0" borderId="13" xfId="0" applyNumberFormat="1" applyFont="1" applyBorder="1"/>
    <xf numFmtId="0" fontId="24" fillId="0" borderId="0" xfId="0" applyFont="1"/>
    <xf numFmtId="187" fontId="24" fillId="0" borderId="0" xfId="0" applyNumberFormat="1" applyFont="1"/>
    <xf numFmtId="167" fontId="24" fillId="0" borderId="0" xfId="3" applyNumberFormat="1" applyFont="1"/>
    <xf numFmtId="0" fontId="13" fillId="0" borderId="0" xfId="0" applyFont="1" applyAlignment="1">
      <alignment vertical="top" wrapText="1"/>
    </xf>
    <xf numFmtId="0" fontId="18" fillId="0" borderId="0" xfId="0" applyFont="1" applyAlignment="1">
      <alignment horizontal="right"/>
    </xf>
    <xf numFmtId="0" fontId="18" fillId="0" borderId="0" xfId="0" applyFont="1" applyAlignment="1">
      <alignment horizontal="right" wrapText="1"/>
    </xf>
    <xf numFmtId="0" fontId="28" fillId="0" borderId="0" xfId="0" applyFont="1" applyFill="1" applyBorder="1" applyAlignment="1">
      <alignment horizontal="center" vertical="center" wrapText="1"/>
    </xf>
    <xf numFmtId="0" fontId="18" fillId="0" borderId="0" xfId="0" applyFont="1" applyFill="1"/>
    <xf numFmtId="165" fontId="18" fillId="0" borderId="0" xfId="1" applyNumberFormat="1" applyFont="1" applyFill="1" applyBorder="1"/>
    <xf numFmtId="165" fontId="18" fillId="0" borderId="0" xfId="1" applyNumberFormat="1" applyFont="1" applyBorder="1"/>
    <xf numFmtId="165" fontId="18" fillId="0" borderId="0" xfId="0" applyNumberFormat="1" applyFont="1"/>
    <xf numFmtId="165" fontId="18" fillId="0" borderId="14" xfId="0" applyNumberFormat="1" applyFont="1" applyBorder="1"/>
    <xf numFmtId="165" fontId="18" fillId="0" borderId="0" xfId="0" applyNumberFormat="1" applyFont="1" applyFill="1" applyBorder="1"/>
    <xf numFmtId="167" fontId="18" fillId="0" borderId="0" xfId="3" applyNumberFormat="1" applyFont="1" applyFill="1" applyBorder="1"/>
    <xf numFmtId="165" fontId="18" fillId="0" borderId="0" xfId="0" applyNumberFormat="1" applyFont="1" applyFill="1"/>
    <xf numFmtId="165" fontId="18" fillId="6" borderId="0" xfId="0" applyNumberFormat="1" applyFont="1" applyFill="1"/>
    <xf numFmtId="167" fontId="18" fillId="0" borderId="0" xfId="3" applyNumberFormat="1" applyFont="1" applyFill="1"/>
    <xf numFmtId="2" fontId="18" fillId="0" borderId="0" xfId="3" applyNumberFormat="1" applyFont="1" applyFill="1"/>
    <xf numFmtId="43" fontId="18" fillId="0" borderId="0" xfId="3" applyNumberFormat="1" applyFont="1" applyFill="1"/>
    <xf numFmtId="0" fontId="18" fillId="0" borderId="0" xfId="0" applyFont="1" applyAlignment="1">
      <alignment horizontal="left"/>
    </xf>
    <xf numFmtId="44" fontId="18" fillId="0" borderId="0" xfId="0" applyNumberFormat="1" applyFont="1"/>
    <xf numFmtId="165" fontId="18" fillId="0" borderId="0" xfId="1" applyNumberFormat="1" applyFont="1" applyFill="1"/>
    <xf numFmtId="165" fontId="18" fillId="0" borderId="0" xfId="1" applyNumberFormat="1" applyFont="1"/>
    <xf numFmtId="165" fontId="18" fillId="0" borderId="0" xfId="3" applyNumberFormat="1" applyFont="1"/>
    <xf numFmtId="0" fontId="30" fillId="0" borderId="0" xfId="0" applyFont="1"/>
    <xf numFmtId="43" fontId="18" fillId="19" borderId="0" xfId="3" applyFont="1" applyFill="1"/>
    <xf numFmtId="165" fontId="18" fillId="0" borderId="0" xfId="0" applyNumberFormat="1" applyFont="1" applyBorder="1"/>
    <xf numFmtId="44" fontId="18" fillId="0" borderId="0" xfId="0" applyNumberFormat="1" applyFont="1" applyBorder="1"/>
    <xf numFmtId="165" fontId="18" fillId="0" borderId="0" xfId="3" applyNumberFormat="1" applyFont="1" applyBorder="1"/>
    <xf numFmtId="2" fontId="18" fillId="0" borderId="0" xfId="3" applyNumberFormat="1" applyFont="1" applyBorder="1"/>
    <xf numFmtId="0" fontId="18" fillId="0" borderId="0" xfId="0" applyFont="1" applyAlignment="1">
      <alignment horizontal="left" vertical="top"/>
    </xf>
    <xf numFmtId="165" fontId="18" fillId="0" borderId="0" xfId="3" applyNumberFormat="1" applyFont="1" applyFill="1" applyBorder="1"/>
    <xf numFmtId="2" fontId="18" fillId="0" borderId="0" xfId="0" applyNumberFormat="1" applyFont="1"/>
    <xf numFmtId="2" fontId="18" fillId="0" borderId="0" xfId="0" applyNumberFormat="1" applyFont="1" applyFill="1" applyBorder="1"/>
    <xf numFmtId="49" fontId="29" fillId="0" borderId="0" xfId="8" applyNumberFormat="1" applyFont="1" applyBorder="1">
      <alignment horizontal="left" vertical="center" wrapText="1" readingOrder="1"/>
    </xf>
    <xf numFmtId="165" fontId="30" fillId="0" borderId="0" xfId="3" applyNumberFormat="1" applyFont="1" applyBorder="1"/>
    <xf numFmtId="44" fontId="18" fillId="0" borderId="14" xfId="0" applyNumberFormat="1" applyFont="1" applyBorder="1"/>
    <xf numFmtId="0" fontId="26" fillId="0" borderId="0" xfId="0" applyFont="1"/>
    <xf numFmtId="43" fontId="18" fillId="0" borderId="0" xfId="3" applyFont="1" applyFill="1"/>
    <xf numFmtId="165" fontId="18" fillId="0" borderId="14" xfId="0" applyNumberFormat="1" applyFont="1" applyFill="1" applyBorder="1"/>
    <xf numFmtId="44" fontId="18" fillId="0" borderId="14" xfId="0" applyNumberFormat="1" applyFont="1" applyFill="1" applyBorder="1"/>
    <xf numFmtId="2" fontId="18" fillId="0" borderId="0" xfId="3" applyNumberFormat="1" applyFont="1" applyFill="1" applyBorder="1"/>
    <xf numFmtId="9" fontId="18" fillId="0" borderId="0" xfId="2" applyFont="1"/>
    <xf numFmtId="0" fontId="31" fillId="0" borderId="0" xfId="0" applyFont="1" applyAlignment="1">
      <alignment horizontal="right"/>
    </xf>
    <xf numFmtId="0" fontId="18" fillId="18" borderId="0" xfId="0" applyFont="1" applyFill="1"/>
    <xf numFmtId="0" fontId="18" fillId="6" borderId="0" xfId="0" applyFont="1" applyFill="1"/>
    <xf numFmtId="0" fontId="18" fillId="0" borderId="13" xfId="0" applyFont="1" applyFill="1" applyBorder="1"/>
    <xf numFmtId="165" fontId="18" fillId="0" borderId="13" xfId="0" applyNumberFormat="1" applyFont="1" applyBorder="1"/>
    <xf numFmtId="165" fontId="18" fillId="6" borderId="13" xfId="0" applyNumberFormat="1" applyFont="1" applyFill="1" applyBorder="1"/>
    <xf numFmtId="0" fontId="26" fillId="0" borderId="0" xfId="0" applyFont="1" applyFill="1" applyBorder="1" applyAlignment="1">
      <alignment wrapText="1"/>
    </xf>
    <xf numFmtId="0" fontId="18" fillId="0" borderId="0" xfId="0" applyFont="1" applyFill="1" applyAlignment="1">
      <alignment horizontal="right"/>
    </xf>
    <xf numFmtId="44" fontId="18" fillId="0" borderId="0" xfId="0" applyNumberFormat="1" applyFont="1" applyFill="1"/>
    <xf numFmtId="0" fontId="18" fillId="0" borderId="0" xfId="0" applyFont="1" applyAlignment="1">
      <alignment horizontal="center"/>
    </xf>
    <xf numFmtId="10" fontId="18" fillId="0" borderId="0" xfId="0" applyNumberFormat="1" applyFont="1"/>
    <xf numFmtId="165" fontId="20" fillId="0" borderId="0" xfId="0" applyNumberFormat="1" applyFont="1"/>
    <xf numFmtId="168" fontId="18" fillId="0" borderId="0" xfId="0" applyNumberFormat="1" applyFont="1"/>
    <xf numFmtId="168" fontId="18" fillId="0" borderId="0" xfId="0" applyNumberFormat="1" applyFont="1" applyFill="1"/>
    <xf numFmtId="0" fontId="18" fillId="4" borderId="0" xfId="0" applyFont="1" applyFill="1"/>
    <xf numFmtId="0" fontId="26" fillId="4" borderId="0" xfId="0" applyFont="1" applyFill="1" applyAlignment="1">
      <alignment horizontal="center"/>
    </xf>
    <xf numFmtId="0" fontId="26" fillId="4" borderId="0" xfId="0" applyFont="1" applyFill="1"/>
    <xf numFmtId="0" fontId="32" fillId="4" borderId="0" xfId="0" applyFont="1" applyFill="1" applyAlignment="1">
      <alignment horizontal="left"/>
    </xf>
    <xf numFmtId="44" fontId="18" fillId="4" borderId="0" xfId="1" applyFont="1" applyFill="1"/>
    <xf numFmtId="0" fontId="26" fillId="4" borderId="0" xfId="0" applyFont="1" applyFill="1" applyAlignment="1">
      <alignment horizontal="right"/>
    </xf>
    <xf numFmtId="0" fontId="18" fillId="4" borderId="0" xfId="0" applyFont="1" applyFill="1" applyAlignment="1">
      <alignment horizontal="center"/>
    </xf>
    <xf numFmtId="0" fontId="18" fillId="4" borderId="0" xfId="0" applyFont="1" applyFill="1" applyAlignment="1">
      <alignment horizontal="right"/>
    </xf>
    <xf numFmtId="0" fontId="26" fillId="4" borderId="12" xfId="0" applyFont="1" applyFill="1" applyBorder="1"/>
    <xf numFmtId="0" fontId="18" fillId="4" borderId="12" xfId="0" applyFont="1" applyFill="1" applyBorder="1"/>
    <xf numFmtId="0" fontId="18" fillId="4" borderId="12" xfId="0" applyFont="1" applyFill="1" applyBorder="1" applyAlignment="1">
      <alignment horizontal="center"/>
    </xf>
    <xf numFmtId="0" fontId="18" fillId="4" borderId="14" xfId="0" applyFont="1" applyFill="1" applyBorder="1" applyAlignment="1">
      <alignment horizontal="right"/>
    </xf>
    <xf numFmtId="0" fontId="26" fillId="4" borderId="12" xfId="0" applyFont="1" applyFill="1" applyBorder="1" applyAlignment="1">
      <alignment horizontal="center"/>
    </xf>
    <xf numFmtId="0" fontId="26" fillId="4" borderId="12" xfId="0" applyFont="1" applyFill="1" applyBorder="1" applyAlignment="1">
      <alignment horizontal="center" wrapText="1"/>
    </xf>
    <xf numFmtId="9" fontId="33" fillId="4" borderId="12" xfId="0" applyNumberFormat="1" applyFont="1" applyFill="1" applyBorder="1" applyAlignment="1">
      <alignment horizontal="center"/>
    </xf>
    <xf numFmtId="165" fontId="18" fillId="4" borderId="12" xfId="1" applyNumberFormat="1" applyFont="1" applyFill="1" applyBorder="1" applyAlignment="1">
      <alignment horizontal="center"/>
    </xf>
    <xf numFmtId="9" fontId="33" fillId="0" borderId="12" xfId="0" applyNumberFormat="1" applyFont="1" applyFill="1" applyBorder="1" applyAlignment="1">
      <alignment horizontal="center"/>
    </xf>
    <xf numFmtId="9" fontId="21" fillId="4" borderId="12" xfId="0" applyNumberFormat="1" applyFont="1" applyFill="1" applyBorder="1" applyAlignment="1">
      <alignment horizontal="center"/>
    </xf>
    <xf numFmtId="9" fontId="21" fillId="0" borderId="12" xfId="0" applyNumberFormat="1" applyFont="1" applyFill="1" applyBorder="1" applyAlignment="1">
      <alignment horizontal="center"/>
    </xf>
    <xf numFmtId="0" fontId="18" fillId="4" borderId="0" xfId="0" applyFont="1" applyFill="1" applyBorder="1"/>
    <xf numFmtId="0" fontId="26" fillId="4" borderId="24" xfId="0" applyFont="1" applyFill="1" applyBorder="1" applyAlignment="1">
      <alignment horizontal="center"/>
    </xf>
    <xf numFmtId="0" fontId="18" fillId="4" borderId="24" xfId="0" applyFont="1" applyFill="1" applyBorder="1"/>
    <xf numFmtId="0" fontId="26" fillId="4" borderId="25" xfId="0" applyFont="1" applyFill="1" applyBorder="1"/>
    <xf numFmtId="165" fontId="18" fillId="4" borderId="25" xfId="0" applyNumberFormat="1" applyFont="1" applyFill="1" applyBorder="1"/>
    <xf numFmtId="0" fontId="26" fillId="4" borderId="25" xfId="0" applyFont="1" applyFill="1" applyBorder="1" applyAlignment="1">
      <alignment horizontal="center"/>
    </xf>
    <xf numFmtId="0" fontId="18" fillId="4" borderId="3" xfId="0" applyFont="1" applyFill="1" applyBorder="1"/>
    <xf numFmtId="0" fontId="18" fillId="4" borderId="0" xfId="0" applyFont="1" applyFill="1" applyBorder="1" applyAlignment="1">
      <alignment horizontal="center"/>
    </xf>
    <xf numFmtId="0" fontId="18" fillId="0" borderId="30" xfId="0" applyFont="1" applyBorder="1"/>
    <xf numFmtId="165" fontId="18" fillId="0" borderId="30" xfId="1" applyNumberFormat="1" applyFont="1" applyBorder="1"/>
    <xf numFmtId="0" fontId="18" fillId="0" borderId="30" xfId="0" applyFont="1" applyBorder="1" applyAlignment="1">
      <alignment wrapText="1"/>
    </xf>
    <xf numFmtId="0" fontId="19" fillId="6" borderId="0" xfId="0" applyFont="1" applyFill="1"/>
    <xf numFmtId="44" fontId="18" fillId="0" borderId="0" xfId="1" applyNumberFormat="1" applyFont="1"/>
    <xf numFmtId="6" fontId="18" fillId="0" borderId="0" xfId="0" quotePrefix="1" applyNumberFormat="1" applyFont="1"/>
    <xf numFmtId="0" fontId="32" fillId="0" borderId="0" xfId="0" applyFont="1"/>
    <xf numFmtId="0" fontId="19" fillId="0" borderId="0" xfId="0" applyFont="1" applyFill="1"/>
    <xf numFmtId="9" fontId="18" fillId="0" borderId="0" xfId="2" applyNumberFormat="1" applyFont="1"/>
    <xf numFmtId="165" fontId="20" fillId="0" borderId="0" xfId="0" applyNumberFormat="1" applyFont="1" applyFill="1"/>
    <xf numFmtId="165" fontId="20" fillId="0" borderId="0" xfId="1" applyNumberFormat="1" applyFont="1" applyFill="1"/>
    <xf numFmtId="6" fontId="18" fillId="0" borderId="0" xfId="0" quotePrefix="1" applyNumberFormat="1" applyFont="1" applyFill="1"/>
    <xf numFmtId="167" fontId="18" fillId="0" borderId="0" xfId="0" applyNumberFormat="1" applyFont="1" applyFill="1"/>
    <xf numFmtId="9" fontId="18" fillId="0" borderId="0" xfId="2" applyFont="1" applyFill="1"/>
    <xf numFmtId="44" fontId="18" fillId="0" borderId="0" xfId="1" applyNumberFormat="1" applyFont="1" applyFill="1"/>
    <xf numFmtId="9" fontId="18" fillId="0" borderId="0" xfId="2" applyNumberFormat="1" applyFont="1" applyFill="1"/>
    <xf numFmtId="0" fontId="32" fillId="0" borderId="0" xfId="0" applyFont="1" applyFill="1"/>
    <xf numFmtId="0" fontId="26" fillId="0" borderId="0" xfId="0" applyFont="1" applyFill="1" applyAlignment="1">
      <alignment horizontal="center" wrapText="1"/>
    </xf>
    <xf numFmtId="165" fontId="18" fillId="0" borderId="16" xfId="0" applyNumberFormat="1" applyFont="1" applyFill="1" applyBorder="1"/>
    <xf numFmtId="165" fontId="18" fillId="0" borderId="17" xfId="0" applyNumberFormat="1" applyFont="1" applyFill="1" applyBorder="1"/>
    <xf numFmtId="167" fontId="31" fillId="0" borderId="18" xfId="3" applyNumberFormat="1" applyFont="1" applyFill="1" applyBorder="1"/>
    <xf numFmtId="41" fontId="11" fillId="0" borderId="0" xfId="0" applyNumberFormat="1" applyFont="1" applyFill="1" applyAlignment="1"/>
    <xf numFmtId="41" fontId="11" fillId="11" borderId="0" xfId="0" applyNumberFormat="1" applyFont="1" applyFill="1" applyAlignment="1"/>
    <xf numFmtId="0" fontId="27" fillId="0" borderId="0" xfId="0" applyNumberFormat="1" applyFont="1" applyAlignment="1"/>
    <xf numFmtId="0" fontId="13" fillId="0" borderId="0" xfId="0" applyNumberFormat="1" applyFont="1" applyFill="1" applyAlignment="1"/>
    <xf numFmtId="0" fontId="13" fillId="0" borderId="0" xfId="0" applyNumberFormat="1" applyFont="1" applyFill="1" applyAlignment="1">
      <alignment horizontal="right"/>
    </xf>
    <xf numFmtId="3" fontId="11" fillId="0" borderId="0" xfId="0" applyNumberFormat="1" applyFont="1" applyFill="1" applyAlignment="1"/>
    <xf numFmtId="49" fontId="11" fillId="0" borderId="0" xfId="0" applyNumberFormat="1" applyFont="1" applyFill="1" applyAlignment="1"/>
    <xf numFmtId="0" fontId="34" fillId="0" borderId="0" xfId="0" applyNumberFormat="1" applyFont="1" applyFill="1" applyAlignment="1"/>
    <xf numFmtId="169" fontId="13" fillId="0" borderId="19" xfId="0" applyNumberFormat="1" applyFont="1" applyFill="1" applyBorder="1" applyAlignment="1"/>
    <xf numFmtId="0" fontId="13" fillId="0" borderId="0" xfId="0" applyNumberFormat="1" applyFont="1" applyFill="1" applyBorder="1" applyAlignment="1">
      <alignment horizontal="right"/>
    </xf>
    <xf numFmtId="37" fontId="34" fillId="0" borderId="0" xfId="0" applyNumberFormat="1" applyFont="1" applyFill="1" applyAlignment="1"/>
    <xf numFmtId="170" fontId="13" fillId="0" borderId="0" xfId="0" applyNumberFormat="1" applyFont="1" applyFill="1" applyAlignment="1"/>
    <xf numFmtId="0" fontId="13" fillId="0" borderId="0" xfId="0" applyNumberFormat="1" applyFont="1" applyFill="1" applyAlignment="1">
      <alignment horizontal="left"/>
    </xf>
    <xf numFmtId="171" fontId="13" fillId="0" borderId="0" xfId="0" applyNumberFormat="1" applyFont="1" applyFill="1" applyBorder="1" applyAlignment="1"/>
    <xf numFmtId="15" fontId="13" fillId="0" borderId="0" xfId="0" applyNumberFormat="1" applyFont="1" applyFill="1" applyAlignment="1"/>
    <xf numFmtId="0" fontId="13" fillId="0" borderId="0" xfId="0" applyNumberFormat="1" applyFont="1" applyFill="1" applyAlignment="1" applyProtection="1">
      <alignment horizontal="left"/>
      <protection locked="0"/>
    </xf>
    <xf numFmtId="169" fontId="13" fillId="0" borderId="19" xfId="0" applyNumberFormat="1" applyFont="1" applyFill="1" applyBorder="1" applyAlignment="1">
      <alignment horizontal="right"/>
    </xf>
    <xf numFmtId="0" fontId="13" fillId="0" borderId="19" xfId="0" quotePrefix="1" applyNumberFormat="1" applyFont="1" applyFill="1" applyBorder="1" applyAlignment="1">
      <alignment horizontal="center"/>
    </xf>
    <xf numFmtId="0" fontId="13" fillId="0" borderId="20" xfId="0" applyNumberFormat="1" applyFont="1" applyFill="1" applyBorder="1" applyAlignment="1">
      <alignment horizontal="center"/>
    </xf>
    <xf numFmtId="42" fontId="13" fillId="0" borderId="0" xfId="0" applyNumberFormat="1" applyFont="1" applyFill="1" applyAlignment="1">
      <alignment horizontal="centerContinuous"/>
    </xf>
    <xf numFmtId="0" fontId="13" fillId="0" borderId="0" xfId="0" applyNumberFormat="1" applyFont="1" applyFill="1" applyAlignment="1" applyProtection="1">
      <alignment horizontal="centerContinuous"/>
      <protection locked="0"/>
    </xf>
    <xf numFmtId="0" fontId="13" fillId="0" borderId="0" xfId="0" applyNumberFormat="1" applyFont="1" applyFill="1" applyAlignment="1">
      <alignment horizontal="centerContinuous"/>
    </xf>
    <xf numFmtId="15" fontId="35" fillId="0" borderId="0" xfId="0" applyNumberFormat="1" applyFont="1" applyFill="1" applyAlignment="1">
      <alignment horizontal="centerContinuous"/>
    </xf>
    <xf numFmtId="15" fontId="13" fillId="0" borderId="0" xfId="0" applyNumberFormat="1" applyFont="1" applyFill="1" applyAlignment="1">
      <alignment horizontal="centerContinuous"/>
    </xf>
    <xf numFmtId="3" fontId="13" fillId="0" borderId="0" xfId="0" applyNumberFormat="1" applyFont="1" applyFill="1" applyAlignment="1">
      <alignment horizontal="centerContinuous"/>
    </xf>
    <xf numFmtId="0" fontId="36" fillId="0" borderId="0" xfId="0" applyNumberFormat="1" applyFont="1" applyFill="1" applyAlignment="1">
      <alignment horizontal="centerContinuous"/>
    </xf>
    <xf numFmtId="170" fontId="13" fillId="0" borderId="0" xfId="0" applyNumberFormat="1" applyFont="1" applyFill="1" applyAlignment="1">
      <alignment horizontal="centerContinuous"/>
    </xf>
    <xf numFmtId="0" fontId="13" fillId="0" borderId="0" xfId="0" applyNumberFormat="1" applyFont="1" applyFill="1" applyAlignment="1" applyProtection="1">
      <alignment horizontal="centerContinuous" vertical="center"/>
      <protection locked="0"/>
    </xf>
    <xf numFmtId="0" fontId="13" fillId="0" borderId="0" xfId="0" applyNumberFormat="1" applyFont="1" applyFill="1" applyBorder="1" applyAlignment="1">
      <alignment horizontal="centerContinuous"/>
    </xf>
    <xf numFmtId="0" fontId="13" fillId="0" borderId="0" xfId="0" quotePrefix="1" applyNumberFormat="1" applyFont="1" applyFill="1" applyAlignment="1">
      <alignment horizontal="left"/>
    </xf>
    <xf numFmtId="42" fontId="37" fillId="0" borderId="0" xfId="0" applyNumberFormat="1" applyFont="1" applyFill="1" applyAlignment="1">
      <alignment horizontal="centerContinuous"/>
    </xf>
    <xf numFmtId="0" fontId="37" fillId="0" borderId="0" xfId="0" applyNumberFormat="1" applyFont="1" applyFill="1" applyAlignment="1" applyProtection="1">
      <alignment horizontal="centerContinuous"/>
      <protection locked="0"/>
    </xf>
    <xf numFmtId="0" fontId="37" fillId="0" borderId="0" xfId="0" applyNumberFormat="1" applyFont="1" applyFill="1" applyAlignment="1">
      <alignment horizontal="centerContinuous"/>
    </xf>
    <xf numFmtId="15" fontId="38" fillId="0" borderId="0" xfId="0" applyNumberFormat="1" applyFont="1" applyFill="1" applyAlignment="1">
      <alignment horizontal="centerContinuous"/>
    </xf>
    <xf numFmtId="15" fontId="37" fillId="0" borderId="0" xfId="0" applyNumberFormat="1" applyFont="1" applyFill="1" applyAlignment="1">
      <alignment horizontal="centerContinuous"/>
    </xf>
    <xf numFmtId="3" fontId="37" fillId="0" borderId="0" xfId="0" applyNumberFormat="1" applyFont="1" applyFill="1" applyAlignment="1">
      <alignment horizontal="centerContinuous"/>
    </xf>
    <xf numFmtId="0" fontId="39" fillId="0" borderId="0" xfId="0" applyNumberFormat="1" applyFont="1" applyFill="1" applyAlignment="1">
      <alignment horizontal="centerContinuous"/>
    </xf>
    <xf numFmtId="170" fontId="37" fillId="0" borderId="0" xfId="0" applyNumberFormat="1" applyFont="1" applyFill="1" applyAlignment="1">
      <alignment horizontal="centerContinuous"/>
    </xf>
    <xf numFmtId="0" fontId="37" fillId="0" borderId="0" xfId="0" applyNumberFormat="1" applyFont="1" applyFill="1" applyAlignment="1">
      <alignment horizontal="centerContinuous" vertical="center"/>
    </xf>
    <xf numFmtId="18" fontId="13" fillId="0" borderId="0" xfId="0" applyNumberFormat="1" applyFont="1" applyFill="1" applyAlignment="1">
      <alignment horizontal="centerContinuous"/>
    </xf>
    <xf numFmtId="0" fontId="13" fillId="0" borderId="0" xfId="0" applyNumberFormat="1" applyFont="1" applyFill="1" applyAlignment="1">
      <alignment horizontal="centerContinuous" vertical="center"/>
    </xf>
    <xf numFmtId="172" fontId="13" fillId="0" borderId="0" xfId="0" applyNumberFormat="1" applyFont="1" applyFill="1" applyAlignment="1"/>
    <xf numFmtId="0" fontId="13" fillId="0" borderId="0" xfId="0" applyNumberFormat="1" applyFont="1" applyFill="1" applyAlignment="1" applyProtection="1">
      <protection locked="0"/>
    </xf>
    <xf numFmtId="3" fontId="13" fillId="0" borderId="0" xfId="0" applyNumberFormat="1" applyFont="1" applyFill="1" applyAlignment="1"/>
    <xf numFmtId="0" fontId="13" fillId="0" borderId="0" xfId="0" applyNumberFormat="1" applyFont="1" applyFill="1" applyBorder="1" applyAlignment="1">
      <alignment horizontal="center"/>
    </xf>
    <xf numFmtId="0" fontId="13" fillId="0" borderId="0" xfId="0" applyNumberFormat="1" applyFont="1" applyFill="1" applyAlignment="1">
      <alignment horizontal="center"/>
    </xf>
    <xf numFmtId="2" fontId="13" fillId="0" borderId="0" xfId="0" applyNumberFormat="1" applyFont="1" applyFill="1" applyAlignment="1">
      <alignment horizontal="center"/>
    </xf>
    <xf numFmtId="43" fontId="13" fillId="0" borderId="0" xfId="0" applyNumberFormat="1" applyFont="1" applyFill="1" applyAlignment="1"/>
    <xf numFmtId="42" fontId="13" fillId="0" borderId="0" xfId="0" applyNumberFormat="1" applyFont="1" applyFill="1" applyAlignment="1"/>
    <xf numFmtId="2" fontId="13" fillId="0" borderId="0" xfId="0" applyNumberFormat="1" applyFont="1" applyFill="1" applyAlignment="1">
      <alignment horizontal="centerContinuous"/>
    </xf>
    <xf numFmtId="43" fontId="13" fillId="0" borderId="0" xfId="0" applyNumberFormat="1" applyFont="1" applyFill="1" applyAlignment="1">
      <alignment horizontal="centerContinuous"/>
    </xf>
    <xf numFmtId="49" fontId="13" fillId="0" borderId="0" xfId="0" applyNumberFormat="1" applyFont="1" applyFill="1" applyAlignment="1">
      <alignment horizontal="left"/>
    </xf>
    <xf numFmtId="0" fontId="36" fillId="0" borderId="0" xfId="0" applyNumberFormat="1" applyFont="1" applyFill="1" applyAlignment="1"/>
    <xf numFmtId="0" fontId="13" fillId="0" borderId="0" xfId="0" applyNumberFormat="1" applyFont="1" applyFill="1" applyAlignment="1" applyProtection="1">
      <alignment horizontal="center"/>
      <protection locked="0"/>
    </xf>
    <xf numFmtId="44" fontId="13" fillId="0" borderId="0" xfId="0" applyNumberFormat="1" applyFont="1" applyFill="1" applyAlignment="1"/>
    <xf numFmtId="3" fontId="13" fillId="0" borderId="0" xfId="0" applyNumberFormat="1" applyFont="1" applyFill="1" applyAlignment="1">
      <alignment horizontal="center"/>
    </xf>
    <xf numFmtId="170" fontId="37" fillId="0" borderId="0" xfId="0" applyNumberFormat="1" applyFont="1" applyFill="1" applyAlignment="1"/>
    <xf numFmtId="0" fontId="37" fillId="0" borderId="0" xfId="0" applyNumberFormat="1" applyFont="1" applyFill="1" applyAlignment="1" applyProtection="1">
      <alignment horizontal="center"/>
      <protection locked="0"/>
    </xf>
    <xf numFmtId="10" fontId="13" fillId="0" borderId="0" xfId="0" applyNumberFormat="1" applyFont="1" applyFill="1" applyAlignment="1">
      <alignment horizontal="center"/>
    </xf>
    <xf numFmtId="49" fontId="13" fillId="0" borderId="0" xfId="0" applyNumberFormat="1" applyFont="1" applyFill="1" applyAlignment="1"/>
    <xf numFmtId="0" fontId="13" fillId="0" borderId="0" xfId="0" applyNumberFormat="1" applyFont="1" applyFill="1" applyAlignment="1">
      <alignment horizontal="fill"/>
    </xf>
    <xf numFmtId="0" fontId="13" fillId="0" borderId="0" xfId="0" quotePrefix="1" applyNumberFormat="1" applyFont="1" applyFill="1" applyAlignment="1">
      <alignment horizontal="fill"/>
    </xf>
    <xf numFmtId="0" fontId="13" fillId="0" borderId="14" xfId="0" applyNumberFormat="1" applyFont="1" applyFill="1" applyBorder="1" applyAlignment="1" applyProtection="1">
      <alignment horizontal="center"/>
      <protection locked="0"/>
    </xf>
    <xf numFmtId="0" fontId="13" fillId="0" borderId="14" xfId="0" applyNumberFormat="1" applyFont="1" applyFill="1" applyBorder="1" applyAlignment="1"/>
    <xf numFmtId="0" fontId="13" fillId="0" borderId="14" xfId="0" applyNumberFormat="1" applyFont="1" applyFill="1" applyBorder="1" applyAlignment="1">
      <alignment horizontal="center"/>
    </xf>
    <xf numFmtId="0" fontId="13" fillId="0" borderId="14" xfId="0" applyNumberFormat="1" applyFont="1" applyFill="1" applyBorder="1" applyAlignment="1" applyProtection="1">
      <protection locked="0"/>
    </xf>
    <xf numFmtId="3" fontId="13" fillId="0" borderId="14" xfId="0" applyNumberFormat="1" applyFont="1" applyFill="1" applyBorder="1" applyAlignment="1">
      <alignment horizontal="center"/>
    </xf>
    <xf numFmtId="0" fontId="13" fillId="0" borderId="14" xfId="0" applyNumberFormat="1" applyFont="1" applyFill="1" applyBorder="1" applyAlignment="1">
      <alignment horizontal="left"/>
    </xf>
    <xf numFmtId="0" fontId="13" fillId="0" borderId="14" xfId="0" applyNumberFormat="1" applyFont="1" applyFill="1" applyBorder="1" applyAlignment="1">
      <alignment horizontal="right"/>
    </xf>
    <xf numFmtId="2" fontId="13" fillId="0" borderId="14" xfId="0" applyNumberFormat="1" applyFont="1" applyFill="1" applyBorder="1" applyAlignment="1">
      <alignment horizontal="center"/>
    </xf>
    <xf numFmtId="170" fontId="13" fillId="0" borderId="14" xfId="0" applyNumberFormat="1" applyFont="1" applyFill="1" applyBorder="1" applyAlignment="1">
      <alignment horizontal="center"/>
    </xf>
    <xf numFmtId="0" fontId="13" fillId="0" borderId="14" xfId="0" quotePrefix="1" applyNumberFormat="1" applyFont="1" applyFill="1" applyBorder="1" applyAlignment="1" applyProtection="1">
      <alignment horizontal="center"/>
      <protection locked="0"/>
    </xf>
    <xf numFmtId="0" fontId="13" fillId="0" borderId="14" xfId="0" applyNumberFormat="1" applyFont="1" applyFill="1" applyBorder="1" applyAlignment="1">
      <alignment horizontal="centerContinuous"/>
    </xf>
    <xf numFmtId="0" fontId="13" fillId="0" borderId="14" xfId="0" quotePrefix="1" applyNumberFormat="1" applyFont="1" applyFill="1" applyBorder="1" applyAlignment="1">
      <alignment horizontal="center"/>
    </xf>
    <xf numFmtId="0" fontId="13" fillId="0" borderId="0" xfId="0" applyFont="1" applyFill="1" applyAlignment="1">
      <alignment horizontal="center"/>
    </xf>
    <xf numFmtId="0" fontId="11" fillId="0" borderId="0" xfId="0" applyNumberFormat="1" applyFont="1" applyFill="1" applyAlignment="1">
      <alignment horizontal="center"/>
    </xf>
    <xf numFmtId="0" fontId="40" fillId="0" borderId="0" xfId="0" applyNumberFormat="1" applyFont="1" applyFill="1" applyBorder="1" applyAlignment="1"/>
    <xf numFmtId="0" fontId="11" fillId="0" borderId="0" xfId="0" applyNumberFormat="1" applyFont="1" applyFill="1" applyAlignment="1">
      <alignment horizontal="left"/>
    </xf>
    <xf numFmtId="37" fontId="11" fillId="0" borderId="0" xfId="0" applyNumberFormat="1" applyFont="1" applyFill="1" applyAlignment="1">
      <alignment horizontal="right"/>
    </xf>
    <xf numFmtId="17" fontId="11" fillId="0" borderId="0" xfId="0" applyNumberFormat="1" applyFont="1" applyFill="1" applyBorder="1" applyAlignment="1">
      <alignment horizontal="left"/>
    </xf>
    <xf numFmtId="170" fontId="11" fillId="0" borderId="0" xfId="0" applyNumberFormat="1" applyFont="1" applyFill="1" applyAlignment="1" applyProtection="1">
      <alignment horizontal="right"/>
      <protection locked="0"/>
    </xf>
    <xf numFmtId="170" fontId="11" fillId="0" borderId="0" xfId="0" applyNumberFormat="1" applyFont="1" applyFill="1" applyAlignment="1" applyProtection="1">
      <protection locked="0"/>
    </xf>
    <xf numFmtId="0" fontId="11" fillId="0" borderId="0" xfId="0" applyNumberFormat="1" applyFont="1" applyFill="1" applyBorder="1" applyAlignment="1">
      <alignment horizontal="center"/>
    </xf>
    <xf numFmtId="0" fontId="41" fillId="0" borderId="0" xfId="0" applyNumberFormat="1" applyFont="1" applyFill="1" applyBorder="1" applyAlignment="1">
      <alignment horizontal="center"/>
    </xf>
    <xf numFmtId="0" fontId="40" fillId="0" borderId="0" xfId="0" applyNumberFormat="1" applyFont="1" applyFill="1" applyBorder="1" applyAlignment="1">
      <alignment horizontal="left"/>
    </xf>
    <xf numFmtId="170" fontId="11" fillId="0" borderId="0" xfId="0" applyNumberFormat="1" applyFont="1" applyFill="1" applyAlignment="1"/>
    <xf numFmtId="0" fontId="13" fillId="0" borderId="0" xfId="0" applyNumberFormat="1" applyFont="1" applyFill="1" applyBorder="1" applyAlignment="1"/>
    <xf numFmtId="0" fontId="13" fillId="0" borderId="0" xfId="0" quotePrefix="1" applyNumberFormat="1" applyFont="1" applyFill="1" applyBorder="1" applyAlignment="1" applyProtection="1">
      <alignment horizontal="center"/>
      <protection locked="0"/>
    </xf>
    <xf numFmtId="0" fontId="13" fillId="0" borderId="0" xfId="0" applyNumberFormat="1" applyFont="1" applyFill="1" applyBorder="1" applyAlignment="1" applyProtection="1">
      <alignment horizontal="center"/>
      <protection locked="0"/>
    </xf>
    <xf numFmtId="41" fontId="11" fillId="0" borderId="0" xfId="0" applyNumberFormat="1" applyFont="1" applyFill="1" applyAlignment="1" applyProtection="1">
      <protection locked="0"/>
    </xf>
    <xf numFmtId="0" fontId="11" fillId="0" borderId="0" xfId="0" applyNumberFormat="1" applyFont="1" applyFill="1" applyAlignment="1">
      <alignment horizontal="fill"/>
    </xf>
    <xf numFmtId="0" fontId="11" fillId="0" borderId="0" xfId="0" applyNumberFormat="1" applyFont="1" applyFill="1" applyAlignment="1" applyProtection="1">
      <alignment horizontal="fill"/>
      <protection locked="0"/>
    </xf>
    <xf numFmtId="0" fontId="11" fillId="0" borderId="0" xfId="0" applyNumberFormat="1" applyFont="1" applyFill="1" applyBorder="1" applyAlignment="1"/>
    <xf numFmtId="0" fontId="11" fillId="0" borderId="0" xfId="0" applyNumberFormat="1" applyFont="1" applyFill="1" applyBorder="1" applyAlignment="1">
      <alignment horizontal="right"/>
    </xf>
    <xf numFmtId="49" fontId="13" fillId="0" borderId="0" xfId="0" applyNumberFormat="1" applyFont="1" applyFill="1" applyAlignment="1">
      <alignment horizontal="center"/>
    </xf>
    <xf numFmtId="0" fontId="13" fillId="0" borderId="0" xfId="0" applyNumberFormat="1" applyFont="1" applyFill="1" applyAlignment="1">
      <alignment horizontal="center" wrapText="1"/>
    </xf>
    <xf numFmtId="0" fontId="11" fillId="0" borderId="0" xfId="0" applyNumberFormat="1" applyFont="1" applyFill="1" applyAlignment="1" applyProtection="1">
      <alignment horizontal="center"/>
      <protection locked="0"/>
    </xf>
    <xf numFmtId="0" fontId="11" fillId="0" borderId="0" xfId="0" quotePrefix="1" applyNumberFormat="1" applyFont="1" applyFill="1" applyAlignment="1">
      <alignment horizontal="center"/>
    </xf>
    <xf numFmtId="37" fontId="11" fillId="0" borderId="0" xfId="0" applyNumberFormat="1" applyFont="1" applyFill="1" applyBorder="1" applyAlignment="1">
      <alignment horizontal="center"/>
    </xf>
    <xf numFmtId="0" fontId="11" fillId="0" borderId="0" xfId="0" applyNumberFormat="1" applyFont="1" applyFill="1" applyAlignment="1">
      <alignment horizontal="left" indent="2"/>
    </xf>
    <xf numFmtId="41" fontId="11" fillId="0" borderId="0" xfId="0" applyNumberFormat="1" applyFont="1" applyFill="1" applyBorder="1" applyAlignment="1">
      <alignment horizontal="right"/>
    </xf>
    <xf numFmtId="42" fontId="11" fillId="0" borderId="0" xfId="0" applyNumberFormat="1" applyFont="1" applyFill="1" applyBorder="1" applyAlignment="1"/>
    <xf numFmtId="173" fontId="11" fillId="0" borderId="0" xfId="0" applyNumberFormat="1" applyFont="1" applyFill="1" applyAlignment="1">
      <alignment horizontal="left"/>
    </xf>
    <xf numFmtId="42" fontId="11" fillId="0" borderId="0" xfId="0" applyNumberFormat="1" applyFont="1" applyFill="1" applyAlignment="1" applyProtection="1">
      <protection locked="0"/>
    </xf>
    <xf numFmtId="0" fontId="40" fillId="0" borderId="0" xfId="0" applyFont="1" applyFill="1" applyAlignment="1">
      <alignment horizontal="left"/>
    </xf>
    <xf numFmtId="0" fontId="11" fillId="0" borderId="0" xfId="0" applyFont="1" applyFill="1" applyBorder="1" applyAlignment="1">
      <alignment horizontal="right"/>
    </xf>
    <xf numFmtId="37" fontId="11" fillId="0" borderId="0" xfId="0" applyNumberFormat="1" applyFont="1" applyFill="1" applyBorder="1" applyAlignment="1"/>
    <xf numFmtId="174" fontId="11" fillId="0" borderId="0" xfId="0" quotePrefix="1" applyNumberFormat="1" applyFont="1" applyFill="1" applyBorder="1" applyAlignment="1">
      <alignment horizontal="left"/>
    </xf>
    <xf numFmtId="42" fontId="42" fillId="0" borderId="0" xfId="0" applyNumberFormat="1" applyFont="1" applyFill="1" applyAlignment="1">
      <alignment horizontal="right"/>
    </xf>
    <xf numFmtId="175" fontId="11" fillId="0" borderId="0" xfId="0" applyNumberFormat="1" applyFont="1" applyFill="1" applyBorder="1" applyAlignment="1"/>
    <xf numFmtId="0" fontId="11" fillId="0" borderId="0" xfId="0" applyFont="1" applyFill="1" applyBorder="1" applyAlignment="1">
      <alignment horizontal="left"/>
    </xf>
    <xf numFmtId="0" fontId="11" fillId="0" borderId="0" xfId="0" applyNumberFormat="1" applyFont="1" applyFill="1" applyAlignment="1" applyProtection="1">
      <protection locked="0"/>
    </xf>
    <xf numFmtId="42" fontId="11" fillId="0" borderId="0" xfId="0" applyNumberFormat="1" applyFont="1" applyFill="1" applyAlignment="1" applyProtection="1">
      <alignment horizontal="right"/>
      <protection locked="0"/>
    </xf>
    <xf numFmtId="42" fontId="11" fillId="0" borderId="0" xfId="0" applyNumberFormat="1" applyFont="1" applyFill="1" applyBorder="1" applyAlignment="1" applyProtection="1">
      <protection locked="0"/>
    </xf>
    <xf numFmtId="1" fontId="11" fillId="0" borderId="0" xfId="0" applyNumberFormat="1" applyFont="1" applyFill="1" applyAlignment="1">
      <alignment horizontal="center"/>
    </xf>
    <xf numFmtId="42" fontId="11" fillId="0" borderId="0" xfId="0" applyNumberFormat="1" applyFont="1" applyFill="1" applyAlignment="1"/>
    <xf numFmtId="170" fontId="11" fillId="0" borderId="0" xfId="0" applyNumberFormat="1" applyFont="1" applyFill="1" applyAlignment="1" applyProtection="1">
      <alignment horizontal="left"/>
      <protection locked="0"/>
    </xf>
    <xf numFmtId="0" fontId="11" fillId="0" borderId="0" xfId="0" applyNumberFormat="1" applyFont="1" applyFill="1" applyBorder="1" applyAlignment="1" applyProtection="1">
      <alignment horizontal="left"/>
      <protection locked="0"/>
    </xf>
    <xf numFmtId="0" fontId="11" fillId="0" borderId="0" xfId="0" applyNumberFormat="1" applyFont="1" applyFill="1" applyAlignment="1" applyProtection="1">
      <alignment horizontal="left"/>
      <protection locked="0"/>
    </xf>
    <xf numFmtId="167" fontId="11" fillId="0" borderId="0" xfId="3" applyNumberFormat="1" applyFont="1" applyFill="1" applyAlignment="1"/>
    <xf numFmtId="0" fontId="11" fillId="0" borderId="0" xfId="0" applyFont="1" applyBorder="1" applyAlignment="1">
      <alignment horizontal="left"/>
    </xf>
    <xf numFmtId="176" fontId="11" fillId="0" borderId="0" xfId="0" applyNumberFormat="1" applyFont="1" applyFill="1" applyAlignment="1"/>
    <xf numFmtId="2" fontId="13" fillId="0" borderId="0" xfId="0" applyNumberFormat="1" applyFont="1" applyFill="1" applyAlignment="1" applyProtection="1">
      <alignment horizontal="center"/>
      <protection locked="0"/>
    </xf>
    <xf numFmtId="0" fontId="11" fillId="0" borderId="14" xfId="0" applyNumberFormat="1" applyFont="1" applyFill="1" applyBorder="1" applyAlignment="1"/>
    <xf numFmtId="0" fontId="40" fillId="0" borderId="0" xfId="0" quotePrefix="1" applyNumberFormat="1" applyFont="1" applyFill="1" applyAlignment="1">
      <alignment horizontal="center"/>
    </xf>
    <xf numFmtId="0" fontId="40" fillId="0" borderId="0" xfId="0" applyNumberFormat="1" applyFont="1" applyFill="1" applyBorder="1" applyAlignment="1">
      <alignment horizontal="center"/>
    </xf>
    <xf numFmtId="37" fontId="40" fillId="0" borderId="0" xfId="0" applyNumberFormat="1" applyFont="1" applyFill="1" applyBorder="1" applyAlignment="1">
      <alignment horizontal="center"/>
    </xf>
    <xf numFmtId="37" fontId="11" fillId="0" borderId="0" xfId="0" applyNumberFormat="1" applyFont="1" applyFill="1" applyAlignment="1"/>
    <xf numFmtId="41" fontId="11" fillId="0" borderId="0" xfId="0" applyNumberFormat="1" applyFont="1" applyFill="1" applyBorder="1" applyAlignment="1" applyProtection="1">
      <protection locked="0"/>
    </xf>
    <xf numFmtId="170" fontId="11" fillId="0" borderId="0" xfId="0" applyNumberFormat="1" applyFont="1" applyFill="1" applyBorder="1" applyAlignment="1" applyProtection="1">
      <protection locked="0"/>
    </xf>
    <xf numFmtId="0" fontId="11" fillId="0" borderId="0" xfId="0" quotePrefix="1" applyFont="1" applyFill="1" applyBorder="1" applyAlignment="1">
      <alignment horizontal="left"/>
    </xf>
    <xf numFmtId="41" fontId="42" fillId="0" borderId="0" xfId="0" applyNumberFormat="1" applyFont="1" applyFill="1" applyAlignment="1">
      <alignment horizontal="right"/>
    </xf>
    <xf numFmtId="0" fontId="11" fillId="0" borderId="0" xfId="0" applyFont="1" applyFill="1" applyAlignment="1">
      <alignment horizontal="left" wrapText="1"/>
    </xf>
    <xf numFmtId="167" fontId="11" fillId="0" borderId="0" xfId="0" applyNumberFormat="1" applyFont="1" applyFill="1" applyAlignment="1"/>
    <xf numFmtId="165" fontId="11" fillId="0" borderId="14" xfId="0" applyNumberFormat="1" applyFont="1" applyFill="1" applyBorder="1" applyAlignment="1" applyProtection="1">
      <protection locked="0"/>
    </xf>
    <xf numFmtId="170" fontId="11" fillId="0" borderId="14" xfId="0" applyNumberFormat="1" applyFont="1" applyFill="1" applyBorder="1" applyAlignment="1" applyProtection="1">
      <alignment horizontal="right"/>
      <protection locked="0"/>
    </xf>
    <xf numFmtId="167" fontId="11" fillId="0" borderId="3" xfId="0" applyNumberFormat="1" applyFont="1" applyFill="1" applyBorder="1" applyAlignment="1"/>
    <xf numFmtId="41" fontId="11" fillId="0" borderId="14" xfId="0" applyNumberFormat="1" applyFont="1" applyFill="1" applyBorder="1" applyAlignment="1"/>
    <xf numFmtId="170" fontId="11" fillId="0" borderId="0" xfId="0" applyNumberFormat="1" applyFont="1" applyFill="1" applyBorder="1" applyAlignment="1" applyProtection="1">
      <alignment horizontal="right"/>
      <protection locked="0"/>
    </xf>
    <xf numFmtId="41" fontId="11" fillId="0" borderId="0" xfId="0" applyNumberFormat="1" applyFont="1" applyFill="1" applyAlignment="1" applyProtection="1">
      <alignment horizontal="right"/>
      <protection locked="0"/>
    </xf>
    <xf numFmtId="6" fontId="11" fillId="0" borderId="0" xfId="0" applyNumberFormat="1" applyFont="1" applyFill="1" applyAlignment="1" applyProtection="1">
      <alignment horizontal="right"/>
      <protection locked="0"/>
    </xf>
    <xf numFmtId="0" fontId="11" fillId="0" borderId="0" xfId="0" applyFont="1" applyAlignment="1"/>
    <xf numFmtId="49" fontId="11" fillId="0" borderId="0" xfId="0" applyNumberFormat="1" applyFont="1" applyFill="1" applyAlignment="1">
      <alignment horizontal="fill"/>
    </xf>
    <xf numFmtId="0" fontId="11" fillId="0" borderId="0" xfId="0" quotePrefix="1" applyNumberFormat="1" applyFont="1" applyFill="1" applyAlignment="1">
      <alignment horizontal="left"/>
    </xf>
    <xf numFmtId="41" fontId="11" fillId="0" borderId="14" xfId="0" applyNumberFormat="1" applyFont="1" applyFill="1" applyBorder="1" applyAlignment="1" applyProtection="1">
      <protection locked="0"/>
    </xf>
    <xf numFmtId="10" fontId="11" fillId="0" borderId="14" xfId="0" applyNumberFormat="1" applyFont="1" applyFill="1" applyBorder="1" applyAlignment="1">
      <alignment horizontal="right"/>
    </xf>
    <xf numFmtId="0" fontId="11" fillId="0" borderId="0" xfId="0" applyFont="1" applyFill="1" applyAlignment="1">
      <alignment horizontal="left"/>
    </xf>
    <xf numFmtId="42" fontId="11" fillId="0" borderId="14" xfId="0" applyNumberFormat="1" applyFont="1" applyFill="1" applyBorder="1" applyAlignment="1"/>
    <xf numFmtId="0" fontId="11" fillId="0" borderId="0" xfId="0" applyNumberFormat="1" applyFont="1" applyFill="1" applyBorder="1" applyAlignment="1" applyProtection="1">
      <protection locked="0"/>
    </xf>
    <xf numFmtId="42" fontId="11" fillId="0" borderId="0" xfId="0" applyNumberFormat="1" applyFont="1" applyFill="1" applyAlignment="1">
      <alignment horizontal="right"/>
    </xf>
    <xf numFmtId="42" fontId="11" fillId="0" borderId="3" xfId="0" applyNumberFormat="1" applyFont="1" applyFill="1" applyBorder="1" applyAlignment="1" applyProtection="1">
      <alignment horizontal="right"/>
      <protection locked="0"/>
    </xf>
    <xf numFmtId="41" fontId="11" fillId="0" borderId="3" xfId="0" applyNumberFormat="1" applyFont="1" applyFill="1" applyBorder="1" applyAlignment="1">
      <alignment horizontal="center"/>
    </xf>
    <xf numFmtId="42" fontId="11" fillId="0" borderId="3" xfId="0" applyNumberFormat="1" applyFont="1" applyFill="1" applyBorder="1" applyAlignment="1">
      <alignment horizontal="right"/>
    </xf>
    <xf numFmtId="0" fontId="11" fillId="0" borderId="0" xfId="0" applyFont="1" applyFill="1" applyAlignment="1">
      <alignment horizontal="left" indent="2"/>
    </xf>
    <xf numFmtId="175" fontId="11" fillId="0" borderId="0" xfId="0" applyNumberFormat="1" applyFont="1" applyFill="1" applyAlignment="1"/>
    <xf numFmtId="176" fontId="11" fillId="0" borderId="14" xfId="4" applyNumberFormat="1" applyFont="1" applyFill="1" applyBorder="1" applyAlignment="1"/>
    <xf numFmtId="49" fontId="11" fillId="0" borderId="0" xfId="0" applyNumberFormat="1" applyFont="1" applyFill="1" applyAlignment="1">
      <alignment horizontal="center"/>
    </xf>
    <xf numFmtId="42" fontId="11" fillId="0" borderId="0" xfId="0" applyNumberFormat="1" applyFont="1" applyFill="1" applyBorder="1" applyAlignment="1" applyProtection="1">
      <alignment horizontal="right"/>
      <protection locked="0"/>
    </xf>
    <xf numFmtId="42" fontId="11" fillId="0" borderId="7" xfId="0" applyNumberFormat="1" applyFont="1" applyFill="1" applyBorder="1" applyAlignment="1" applyProtection="1">
      <alignment horizontal="left" wrapText="1"/>
      <protection locked="0"/>
    </xf>
    <xf numFmtId="0" fontId="11" fillId="0" borderId="0" xfId="0" applyFont="1" applyFill="1" applyAlignment="1">
      <alignment vertical="center"/>
    </xf>
    <xf numFmtId="42" fontId="11" fillId="0" borderId="0" xfId="0" applyNumberFormat="1" applyFont="1" applyFill="1" applyAlignment="1">
      <alignment horizontal="left" wrapText="1"/>
    </xf>
    <xf numFmtId="42" fontId="11" fillId="0" borderId="3" xfId="0" applyNumberFormat="1" applyFont="1" applyFill="1" applyBorder="1" applyAlignment="1">
      <alignment horizontal="left" wrapText="1"/>
    </xf>
    <xf numFmtId="0" fontId="11" fillId="0" borderId="0" xfId="0" applyNumberFormat="1" applyFont="1" applyFill="1" applyAlignment="1">
      <alignment horizontal="right"/>
    </xf>
    <xf numFmtId="42" fontId="13" fillId="0" borderId="7" xfId="0" applyNumberFormat="1" applyFont="1" applyFill="1" applyBorder="1" applyAlignment="1"/>
    <xf numFmtId="49" fontId="11" fillId="0" borderId="0" xfId="0" applyNumberFormat="1" applyFont="1" applyFill="1" applyBorder="1" applyAlignment="1">
      <alignment horizontal="left"/>
    </xf>
    <xf numFmtId="41" fontId="11" fillId="0" borderId="0" xfId="0" applyNumberFormat="1" applyFont="1" applyFill="1" applyBorder="1" applyAlignment="1">
      <alignment horizontal="center"/>
    </xf>
    <xf numFmtId="42" fontId="11" fillId="0" borderId="3" xfId="0" applyNumberFormat="1" applyFont="1" applyFill="1" applyBorder="1" applyAlignment="1" applyProtection="1">
      <protection locked="0"/>
    </xf>
    <xf numFmtId="167" fontId="11" fillId="0" borderId="0" xfId="0" applyNumberFormat="1" applyFont="1" applyFill="1" applyBorder="1" applyAlignment="1"/>
    <xf numFmtId="176" fontId="11" fillId="0" borderId="0" xfId="0" applyNumberFormat="1" applyFont="1" applyFill="1" applyBorder="1" applyAlignment="1"/>
    <xf numFmtId="42" fontId="27" fillId="0" borderId="0" xfId="0" applyNumberFormat="1" applyFont="1" applyAlignment="1"/>
    <xf numFmtId="0" fontId="11" fillId="0" borderId="3" xfId="0" applyNumberFormat="1" applyFont="1" applyFill="1" applyBorder="1" applyAlignment="1"/>
    <xf numFmtId="0" fontId="13" fillId="0" borderId="0" xfId="0" quotePrefix="1" applyNumberFormat="1" applyFont="1" applyFill="1" applyAlignment="1" applyProtection="1">
      <protection locked="0"/>
    </xf>
    <xf numFmtId="0" fontId="11" fillId="0" borderId="0" xfId="0" quotePrefix="1" applyNumberFormat="1" applyFont="1" applyFill="1" applyAlignment="1" applyProtection="1">
      <protection locked="0"/>
    </xf>
    <xf numFmtId="41" fontId="11" fillId="0" borderId="0" xfId="0" applyNumberFormat="1" applyFont="1" applyFill="1" applyAlignment="1">
      <alignment horizontal="right"/>
    </xf>
    <xf numFmtId="165" fontId="11" fillId="0" borderId="0" xfId="0" applyNumberFormat="1" applyFont="1" applyFill="1" applyBorder="1" applyAlignment="1"/>
    <xf numFmtId="0" fontId="11" fillId="0" borderId="14" xfId="0" applyFont="1" applyFill="1" applyBorder="1" applyAlignment="1">
      <alignment horizontal="left" indent="2"/>
    </xf>
    <xf numFmtId="37" fontId="11" fillId="0" borderId="14" xfId="0" applyNumberFormat="1" applyFont="1" applyFill="1" applyBorder="1" applyAlignment="1"/>
    <xf numFmtId="167" fontId="11" fillId="0" borderId="14" xfId="0" applyNumberFormat="1" applyFont="1" applyFill="1" applyBorder="1" applyAlignment="1"/>
    <xf numFmtId="41" fontId="11" fillId="0" borderId="3" xfId="0" applyNumberFormat="1" applyFont="1" applyFill="1" applyBorder="1" applyAlignment="1"/>
    <xf numFmtId="0" fontId="11" fillId="0" borderId="0" xfId="0" applyFont="1" applyFill="1" applyBorder="1" applyAlignment="1"/>
    <xf numFmtId="0" fontId="11" fillId="0" borderId="0" xfId="0" applyNumberFormat="1" applyFont="1" applyFill="1" applyAlignment="1">
      <alignment horizontal="left" vertical="center" indent="2"/>
    </xf>
    <xf numFmtId="37" fontId="11" fillId="0" borderId="0" xfId="0" applyNumberFormat="1" applyFont="1" applyFill="1" applyBorder="1" applyAlignment="1">
      <alignment vertical="center"/>
    </xf>
    <xf numFmtId="41" fontId="11" fillId="0" borderId="0" xfId="0" applyNumberFormat="1" applyFont="1" applyFill="1" applyAlignment="1">
      <alignment horizontal="left" wrapText="1"/>
    </xf>
    <xf numFmtId="41" fontId="11" fillId="0" borderId="0" xfId="0" applyNumberFormat="1" applyFont="1" applyFill="1" applyAlignment="1">
      <alignment horizontal="fill"/>
    </xf>
    <xf numFmtId="0" fontId="11" fillId="0" borderId="0" xfId="0" quotePrefix="1" applyFont="1" applyFill="1" applyAlignment="1">
      <alignment horizontal="left"/>
    </xf>
    <xf numFmtId="9" fontId="11" fillId="0" borderId="0" xfId="0" applyNumberFormat="1" applyFont="1" applyFill="1" applyAlignment="1"/>
    <xf numFmtId="9" fontId="11" fillId="0" borderId="0" xfId="0" applyNumberFormat="1" applyFont="1" applyFill="1" applyAlignment="1">
      <alignment horizontal="right"/>
    </xf>
    <xf numFmtId="41" fontId="11" fillId="0" borderId="0" xfId="0" applyNumberFormat="1" applyFont="1" applyFill="1" applyBorder="1" applyAlignment="1"/>
    <xf numFmtId="42" fontId="11" fillId="0" borderId="14" xfId="0" applyNumberFormat="1" applyFont="1" applyFill="1" applyBorder="1" applyAlignment="1" applyProtection="1">
      <protection locked="0"/>
    </xf>
    <xf numFmtId="1" fontId="11" fillId="0" borderId="0" xfId="0" quotePrefix="1" applyNumberFormat="1" applyFont="1" applyFill="1" applyAlignment="1">
      <alignment horizontal="left"/>
    </xf>
    <xf numFmtId="37" fontId="11" fillId="0" borderId="0" xfId="0" applyNumberFormat="1" applyFont="1" applyFill="1" applyAlignment="1">
      <alignment horizontal="left" wrapText="1"/>
    </xf>
    <xf numFmtId="0" fontId="11" fillId="0" borderId="0" xfId="0" quotePrefix="1" applyNumberFormat="1" applyFont="1" applyFill="1" applyBorder="1" applyAlignment="1" applyProtection="1">
      <protection locked="0"/>
    </xf>
    <xf numFmtId="41" fontId="11" fillId="0" borderId="0" xfId="0" applyNumberFormat="1" applyFont="1" applyFill="1" applyBorder="1" applyAlignment="1" applyProtection="1">
      <alignment horizontal="right"/>
      <protection locked="0"/>
    </xf>
    <xf numFmtId="0" fontId="34" fillId="0" borderId="14" xfId="0" applyNumberFormat="1" applyFont="1" applyFill="1" applyBorder="1" applyAlignment="1"/>
    <xf numFmtId="41" fontId="11" fillId="0" borderId="14" xfId="0" applyNumberFormat="1" applyFont="1" applyFill="1" applyBorder="1" applyAlignment="1" applyProtection="1">
      <alignment horizontal="right"/>
      <protection locked="0"/>
    </xf>
    <xf numFmtId="165" fontId="11" fillId="0" borderId="13" xfId="0" applyNumberFormat="1" applyFont="1" applyFill="1" applyBorder="1" applyAlignment="1" applyProtection="1">
      <protection locked="0"/>
    </xf>
    <xf numFmtId="1" fontId="11" fillId="0" borderId="0" xfId="0" applyNumberFormat="1" applyFont="1" applyFill="1" applyAlignment="1"/>
    <xf numFmtId="0" fontId="34" fillId="0" borderId="0" xfId="0" applyFont="1" applyFill="1" applyAlignment="1">
      <alignment horizontal="left" wrapText="1"/>
    </xf>
    <xf numFmtId="42" fontId="11" fillId="0" borderId="7" xfId="0" applyNumberFormat="1" applyFont="1" applyFill="1" applyBorder="1" applyAlignment="1"/>
    <xf numFmtId="0" fontId="11" fillId="0" borderId="0" xfId="0" applyNumberFormat="1" applyFont="1" applyFill="1" applyAlignment="1">
      <alignment vertical="center"/>
    </xf>
    <xf numFmtId="43" fontId="11" fillId="0" borderId="0" xfId="0" applyNumberFormat="1" applyFont="1" applyFill="1" applyBorder="1" applyAlignment="1">
      <alignment horizontal="center"/>
    </xf>
    <xf numFmtId="1" fontId="11" fillId="0" borderId="0" xfId="0" applyNumberFormat="1" applyFont="1" applyFill="1" applyAlignment="1">
      <alignment horizontal="left"/>
    </xf>
    <xf numFmtId="176" fontId="11" fillId="0" borderId="14" xfId="0" applyNumberFormat="1" applyFont="1" applyFill="1" applyBorder="1" applyAlignment="1"/>
    <xf numFmtId="41" fontId="11" fillId="0" borderId="3" xfId="0" applyNumberFormat="1" applyFont="1" applyFill="1" applyBorder="1" applyAlignment="1" applyProtection="1">
      <protection locked="0"/>
    </xf>
    <xf numFmtId="42" fontId="11" fillId="0" borderId="7" xfId="0" applyNumberFormat="1" applyFont="1" applyFill="1" applyBorder="1" applyAlignment="1" applyProtection="1">
      <protection locked="0"/>
    </xf>
    <xf numFmtId="37" fontId="11" fillId="0" borderId="0" xfId="0" applyNumberFormat="1" applyFont="1" applyFill="1" applyBorder="1" applyAlignment="1" applyProtection="1">
      <alignment horizontal="left" wrapText="1"/>
      <protection locked="0"/>
    </xf>
    <xf numFmtId="42" fontId="13" fillId="0" borderId="13" xfId="0" applyNumberFormat="1" applyFont="1" applyFill="1" applyBorder="1" applyAlignment="1"/>
    <xf numFmtId="41" fontId="11" fillId="0" borderId="0" xfId="0" applyNumberFormat="1" applyFont="1" applyAlignment="1" applyProtection="1">
      <protection locked="0"/>
    </xf>
    <xf numFmtId="0" fontId="11" fillId="0" borderId="0" xfId="0" applyFont="1" applyFill="1" applyAlignment="1">
      <alignment horizontal="left" indent="1"/>
    </xf>
    <xf numFmtId="176" fontId="13" fillId="0" borderId="7" xfId="0" applyNumberFormat="1" applyFont="1" applyFill="1" applyBorder="1" applyAlignment="1" applyProtection="1">
      <protection locked="0"/>
    </xf>
    <xf numFmtId="178" fontId="11" fillId="0" borderId="0" xfId="0" applyNumberFormat="1" applyFont="1" applyFill="1" applyAlignment="1"/>
    <xf numFmtId="10" fontId="11" fillId="0" borderId="0" xfId="0" applyNumberFormat="1" applyFont="1" applyFill="1" applyAlignment="1"/>
    <xf numFmtId="175" fontId="13" fillId="0" borderId="14" xfId="0" applyNumberFormat="1" applyFont="1" applyFill="1" applyBorder="1" applyAlignment="1"/>
    <xf numFmtId="42" fontId="11" fillId="0" borderId="0" xfId="0" applyNumberFormat="1" applyFont="1" applyFill="1" applyBorder="1" applyAlignment="1">
      <alignment horizontal="right"/>
    </xf>
    <xf numFmtId="9" fontId="11" fillId="0" borderId="0" xfId="0" applyNumberFormat="1" applyFont="1" applyFill="1" applyBorder="1" applyAlignment="1"/>
    <xf numFmtId="170" fontId="11" fillId="0" borderId="0" xfId="0" applyNumberFormat="1" applyFont="1" applyFill="1" applyBorder="1" applyAlignment="1"/>
    <xf numFmtId="0" fontId="34" fillId="0" borderId="0" xfId="0" applyNumberFormat="1" applyFont="1" applyAlignment="1"/>
    <xf numFmtId="0" fontId="11" fillId="0" borderId="0" xfId="0" applyNumberFormat="1" applyFont="1" applyFill="1" applyBorder="1" applyAlignment="1">
      <alignment horizontal="left"/>
    </xf>
    <xf numFmtId="42" fontId="11" fillId="0" borderId="13" xfId="0" applyNumberFormat="1" applyFont="1" applyFill="1" applyBorder="1" applyAlignment="1"/>
    <xf numFmtId="41" fontId="11" fillId="0" borderId="14" xfId="0" applyNumberFormat="1" applyFont="1" applyFill="1" applyBorder="1" applyAlignment="1">
      <alignment horizontal="right"/>
    </xf>
    <xf numFmtId="0" fontId="13" fillId="0" borderId="0" xfId="0" applyFont="1" applyFill="1" applyAlignment="1">
      <alignment horizontal="right"/>
    </xf>
    <xf numFmtId="0" fontId="34" fillId="0" borderId="0" xfId="0" applyNumberFormat="1" applyFont="1" applyFill="1" applyBorder="1" applyAlignment="1"/>
    <xf numFmtId="42" fontId="13" fillId="0" borderId="14" xfId="0" applyNumberFormat="1" applyFont="1" applyFill="1" applyBorder="1" applyAlignment="1"/>
    <xf numFmtId="0" fontId="40" fillId="0" borderId="0" xfId="0" applyNumberFormat="1" applyFont="1" applyFill="1" applyAlignment="1">
      <alignment horizontal="left"/>
    </xf>
    <xf numFmtId="43" fontId="11" fillId="0" borderId="0" xfId="0" applyNumberFormat="1" applyFont="1" applyFill="1" applyAlignment="1"/>
    <xf numFmtId="178" fontId="11" fillId="0" borderId="0" xfId="0" applyNumberFormat="1" applyFont="1" applyFill="1" applyBorder="1" applyAlignment="1"/>
    <xf numFmtId="42" fontId="13" fillId="0" borderId="7" xfId="0" applyNumberFormat="1" applyFont="1" applyFill="1" applyBorder="1" applyAlignment="1" applyProtection="1">
      <protection locked="0"/>
    </xf>
    <xf numFmtId="42" fontId="42" fillId="0" borderId="0" xfId="5" applyNumberFormat="1" applyFont="1" applyFill="1" applyAlignment="1">
      <alignment horizontal="right"/>
    </xf>
    <xf numFmtId="0" fontId="11" fillId="0" borderId="0" xfId="0" quotePrefix="1" applyNumberFormat="1" applyFont="1" applyFill="1" applyAlignment="1"/>
    <xf numFmtId="165" fontId="11" fillId="0" borderId="0" xfId="0" applyNumberFormat="1" applyFont="1" applyFill="1" applyBorder="1" applyAlignment="1" applyProtection="1">
      <protection locked="0"/>
    </xf>
    <xf numFmtId="41" fontId="42" fillId="0" borderId="0" xfId="5" applyNumberFormat="1" applyFont="1" applyFill="1" applyAlignment="1"/>
    <xf numFmtId="9" fontId="11" fillId="0" borderId="0" xfId="0" applyNumberFormat="1" applyFont="1" applyFill="1" applyAlignment="1">
      <alignment horizontal="center"/>
    </xf>
    <xf numFmtId="176" fontId="11" fillId="0" borderId="0" xfId="0" applyNumberFormat="1" applyFont="1" applyFill="1" applyAlignment="1">
      <alignment horizontal="left"/>
    </xf>
    <xf numFmtId="176" fontId="13" fillId="0" borderId="0" xfId="0" applyNumberFormat="1" applyFont="1" applyFill="1" applyAlignment="1">
      <alignment horizontal="right"/>
    </xf>
    <xf numFmtId="167" fontId="11" fillId="0" borderId="3" xfId="0" applyNumberFormat="1" applyFont="1" applyFill="1" applyBorder="1" applyAlignment="1">
      <alignment horizontal="right" wrapText="1"/>
    </xf>
    <xf numFmtId="41" fontId="11" fillId="0" borderId="0" xfId="0" applyNumberFormat="1" applyFont="1" applyFill="1" applyBorder="1" applyAlignment="1">
      <alignment horizontal="left"/>
    </xf>
    <xf numFmtId="167" fontId="11" fillId="0" borderId="0" xfId="0" applyNumberFormat="1" applyFont="1" applyFill="1" applyBorder="1" applyAlignment="1">
      <alignment horizontal="right"/>
    </xf>
    <xf numFmtId="0" fontId="11" fillId="0" borderId="0" xfId="0" applyFont="1" applyFill="1" applyAlignment="1"/>
    <xf numFmtId="165" fontId="11" fillId="0" borderId="0" xfId="0" applyNumberFormat="1" applyFont="1" applyFill="1" applyAlignment="1"/>
    <xf numFmtId="179" fontId="11" fillId="0" borderId="0" xfId="0" applyNumberFormat="1" applyFont="1" applyFill="1" applyAlignment="1"/>
    <xf numFmtId="0" fontId="40" fillId="0" borderId="0" xfId="0" applyFont="1" applyFill="1" applyBorder="1" applyAlignment="1">
      <alignment horizontal="left"/>
    </xf>
    <xf numFmtId="165" fontId="11" fillId="0" borderId="0" xfId="0" applyNumberFormat="1" applyFont="1" applyFill="1" applyAlignment="1">
      <alignment horizontal="left" wrapText="1"/>
    </xf>
    <xf numFmtId="0" fontId="11" fillId="0" borderId="0" xfId="0" applyNumberFormat="1" applyFont="1" applyFill="1" applyAlignment="1">
      <alignment horizontal="left" wrapText="1"/>
    </xf>
    <xf numFmtId="37" fontId="11" fillId="0" borderId="0" xfId="0" applyNumberFormat="1" applyFont="1" applyFill="1" applyBorder="1" applyAlignment="1">
      <alignment horizontal="left" wrapText="1"/>
    </xf>
    <xf numFmtId="44" fontId="11" fillId="0" borderId="0" xfId="0" applyNumberFormat="1" applyFont="1" applyFill="1" applyAlignment="1"/>
    <xf numFmtId="0" fontId="37" fillId="9" borderId="0" xfId="0" applyNumberFormat="1" applyFont="1" applyFill="1" applyAlignment="1" applyProtection="1">
      <alignment horizontal="left"/>
      <protection locked="0"/>
    </xf>
    <xf numFmtId="0" fontId="27" fillId="9" borderId="0" xfId="0" applyNumberFormat="1" applyFont="1" applyFill="1" applyAlignment="1"/>
    <xf numFmtId="180" fontId="11" fillId="0" borderId="0" xfId="0" applyNumberFormat="1" applyFont="1" applyFill="1" applyBorder="1" applyAlignment="1">
      <alignment horizontal="center"/>
    </xf>
    <xf numFmtId="9" fontId="11" fillId="0" borderId="0" xfId="0" applyNumberFormat="1" applyFont="1" applyFill="1" applyBorder="1" applyAlignment="1">
      <alignment horizontal="left" wrapText="1"/>
    </xf>
    <xf numFmtId="0" fontId="11" fillId="9" borderId="0" xfId="0" applyNumberFormat="1" applyFont="1" applyFill="1" applyAlignment="1" applyProtection="1">
      <alignment horizontal="left"/>
      <protection locked="0"/>
    </xf>
    <xf numFmtId="0" fontId="11" fillId="9" borderId="0" xfId="0" applyNumberFormat="1" applyFont="1" applyFill="1" applyAlignment="1"/>
    <xf numFmtId="42" fontId="11" fillId="9" borderId="0" xfId="0" applyNumberFormat="1" applyFont="1" applyFill="1" applyBorder="1" applyAlignment="1"/>
    <xf numFmtId="41" fontId="11" fillId="0" borderId="0" xfId="0" applyNumberFormat="1" applyFont="1" applyFill="1" applyBorder="1" applyAlignment="1">
      <alignment vertical="center"/>
    </xf>
    <xf numFmtId="0" fontId="27" fillId="0" borderId="0" xfId="0" applyNumberFormat="1" applyFont="1" applyFill="1" applyAlignment="1"/>
    <xf numFmtId="181" fontId="11" fillId="0" borderId="0" xfId="0" applyNumberFormat="1" applyFont="1" applyFill="1" applyAlignment="1"/>
    <xf numFmtId="4" fontId="27" fillId="0" borderId="0" xfId="0" applyNumberFormat="1" applyFont="1" applyFill="1" applyAlignment="1"/>
    <xf numFmtId="41" fontId="11" fillId="9" borderId="0" xfId="0" applyNumberFormat="1" applyFont="1" applyFill="1" applyBorder="1" applyAlignment="1">
      <alignment horizontal="right"/>
    </xf>
    <xf numFmtId="0" fontId="11" fillId="0" borderId="0" xfId="0" applyFont="1" applyFill="1" applyBorder="1" applyAlignment="1">
      <alignment horizontal="left" wrapText="1"/>
    </xf>
    <xf numFmtId="165" fontId="11" fillId="0" borderId="12" xfId="0" applyNumberFormat="1" applyFont="1" applyFill="1" applyBorder="1" applyAlignment="1">
      <alignment horizontal="left" wrapText="1"/>
    </xf>
    <xf numFmtId="41" fontId="11" fillId="9" borderId="0" xfId="0" applyNumberFormat="1" applyFont="1" applyFill="1" applyBorder="1" applyAlignment="1" applyProtection="1">
      <protection locked="0"/>
    </xf>
    <xf numFmtId="37" fontId="11" fillId="0" borderId="3" xfId="0" applyNumberFormat="1" applyFont="1" applyFill="1" applyBorder="1" applyAlignment="1"/>
    <xf numFmtId="0" fontId="40" fillId="0" borderId="0" xfId="0" applyFont="1" applyFill="1" applyAlignment="1"/>
    <xf numFmtId="42" fontId="11" fillId="0" borderId="3" xfId="0" applyNumberFormat="1" applyFont="1" applyFill="1" applyBorder="1" applyAlignment="1"/>
    <xf numFmtId="42" fontId="34" fillId="0" borderId="0" xfId="0" applyNumberFormat="1" applyFont="1" applyFill="1" applyAlignment="1"/>
    <xf numFmtId="42" fontId="11" fillId="9" borderId="3" xfId="0" applyNumberFormat="1" applyFont="1" applyFill="1" applyBorder="1" applyAlignment="1" applyProtection="1">
      <protection locked="0"/>
    </xf>
    <xf numFmtId="167" fontId="37" fillId="0" borderId="0" xfId="0" applyNumberFormat="1" applyFont="1" applyFill="1" applyAlignment="1"/>
    <xf numFmtId="0" fontId="11" fillId="9" borderId="0" xfId="0" applyNumberFormat="1" applyFont="1" applyFill="1" applyAlignment="1">
      <alignment horizontal="left"/>
    </xf>
    <xf numFmtId="0" fontId="34" fillId="9" borderId="0" xfId="0" applyNumberFormat="1" applyFont="1" applyFill="1" applyAlignment="1"/>
    <xf numFmtId="170" fontId="11" fillId="9" borderId="0" xfId="0" applyNumberFormat="1" applyFont="1" applyFill="1" applyAlignment="1"/>
    <xf numFmtId="42" fontId="11" fillId="9" borderId="0" xfId="0" applyNumberFormat="1" applyFont="1" applyFill="1" applyBorder="1" applyAlignment="1" applyProtection="1">
      <protection locked="0"/>
    </xf>
    <xf numFmtId="3" fontId="34" fillId="0" borderId="0" xfId="0" applyNumberFormat="1" applyFont="1" applyFill="1" applyAlignment="1"/>
    <xf numFmtId="37" fontId="34" fillId="0" borderId="0" xfId="0" applyNumberFormat="1" applyFont="1" applyFill="1" applyBorder="1" applyAlignment="1" applyProtection="1">
      <alignment horizontal="left"/>
    </xf>
    <xf numFmtId="37" fontId="34" fillId="0" borderId="0" xfId="0" applyNumberFormat="1" applyFont="1" applyFill="1" applyAlignment="1" applyProtection="1">
      <alignment horizontal="left"/>
    </xf>
    <xf numFmtId="9" fontId="11" fillId="9" borderId="0" xfId="0" applyNumberFormat="1" applyFont="1" applyFill="1" applyAlignment="1"/>
    <xf numFmtId="43" fontId="11" fillId="9" borderId="0" xfId="0" applyNumberFormat="1" applyFont="1" applyFill="1" applyAlignment="1"/>
    <xf numFmtId="41" fontId="11" fillId="9" borderId="14" xfId="0" applyNumberFormat="1" applyFont="1" applyFill="1" applyBorder="1" applyAlignment="1" applyProtection="1">
      <protection locked="0"/>
    </xf>
    <xf numFmtId="10" fontId="34" fillId="0" borderId="0" xfId="0" applyNumberFormat="1" applyFont="1" applyFill="1" applyBorder="1" applyAlignment="1" applyProtection="1">
      <alignment horizontal="right"/>
    </xf>
    <xf numFmtId="37" fontId="34" fillId="0" borderId="0" xfId="0" applyNumberFormat="1" applyFont="1" applyFill="1" applyBorder="1" applyAlignment="1" applyProtection="1">
      <alignment horizontal="right"/>
    </xf>
    <xf numFmtId="42" fontId="13" fillId="9" borderId="7" xfId="0" applyNumberFormat="1" applyFont="1" applyFill="1" applyBorder="1" applyAlignment="1"/>
    <xf numFmtId="0" fontId="11" fillId="12" borderId="0" xfId="0" applyNumberFormat="1" applyFont="1" applyFill="1" applyAlignment="1"/>
    <xf numFmtId="0" fontId="11" fillId="12" borderId="0" xfId="0" applyNumberFormat="1" applyFont="1" applyFill="1" applyAlignment="1">
      <alignment horizontal="right"/>
    </xf>
    <xf numFmtId="42" fontId="13" fillId="12" borderId="0" xfId="0" applyNumberFormat="1" applyFont="1" applyFill="1" applyAlignment="1"/>
    <xf numFmtId="0" fontId="44" fillId="0" borderId="0" xfId="0" applyNumberFormat="1" applyFont="1" applyFill="1" applyBorder="1" applyAlignment="1">
      <alignment horizontal="centerContinuous"/>
    </xf>
    <xf numFmtId="0" fontId="11" fillId="0" borderId="0" xfId="0" applyNumberFormat="1" applyFont="1" applyFill="1" applyBorder="1" applyAlignment="1">
      <alignment horizontal="centerContinuous"/>
    </xf>
    <xf numFmtId="0" fontId="13" fillId="0" borderId="0" xfId="0" applyNumberFormat="1" applyFont="1" applyFill="1" applyBorder="1" applyAlignment="1" applyProtection="1">
      <alignment horizontal="centerContinuous"/>
      <protection locked="0"/>
    </xf>
    <xf numFmtId="18" fontId="11" fillId="0" borderId="0" xfId="0" applyNumberFormat="1" applyFont="1" applyFill="1" applyBorder="1" applyAlignment="1">
      <alignment horizontal="centerContinuous"/>
    </xf>
    <xf numFmtId="42" fontId="11" fillId="0" borderId="0" xfId="0" applyNumberFormat="1" applyFont="1" applyFill="1" applyAlignment="1">
      <alignment horizontal="left"/>
    </xf>
    <xf numFmtId="0" fontId="11" fillId="0" borderId="0" xfId="0" applyNumberFormat="1" applyFont="1" applyFill="1" applyBorder="1" applyAlignment="1" applyProtection="1">
      <alignment horizontal="centerContinuous"/>
      <protection locked="0"/>
    </xf>
    <xf numFmtId="182" fontId="34" fillId="0" borderId="0" xfId="0" applyNumberFormat="1" applyFont="1" applyFill="1" applyAlignment="1" applyProtection="1"/>
    <xf numFmtId="10" fontId="11" fillId="0" borderId="0" xfId="0" applyNumberFormat="1" applyFont="1" applyFill="1" applyAlignment="1" applyProtection="1">
      <protection locked="0"/>
    </xf>
    <xf numFmtId="0" fontId="13" fillId="0" borderId="0" xfId="0" applyNumberFormat="1" applyFont="1" applyFill="1" applyBorder="1" applyAlignment="1">
      <alignment horizontal="left"/>
    </xf>
    <xf numFmtId="170" fontId="11" fillId="0" borderId="0" xfId="0" applyNumberFormat="1" applyFont="1" applyFill="1" applyBorder="1" applyAlignment="1">
      <alignment horizontal="right"/>
    </xf>
    <xf numFmtId="183" fontId="11" fillId="0" borderId="0" xfId="0" applyNumberFormat="1" applyFont="1" applyFill="1" applyAlignment="1" applyProtection="1">
      <alignment horizontal="left"/>
    </xf>
    <xf numFmtId="42" fontId="11" fillId="9" borderId="0" xfId="0" applyNumberFormat="1" applyFont="1" applyFill="1" applyAlignment="1"/>
    <xf numFmtId="10" fontId="11" fillId="0" borderId="0" xfId="0" applyNumberFormat="1" applyFont="1" applyFill="1" applyBorder="1" applyAlignment="1"/>
    <xf numFmtId="41" fontId="11" fillId="9" borderId="0" xfId="0" applyNumberFormat="1" applyFont="1" applyFill="1" applyAlignment="1"/>
    <xf numFmtId="0" fontId="25" fillId="0" borderId="0" xfId="0" applyNumberFormat="1" applyFont="1" applyFill="1" applyAlignment="1"/>
    <xf numFmtId="41" fontId="11" fillId="9" borderId="14" xfId="0" applyNumberFormat="1" applyFont="1" applyFill="1" applyBorder="1" applyAlignment="1"/>
    <xf numFmtId="42" fontId="11" fillId="9" borderId="7" xfId="0" applyNumberFormat="1" applyFont="1" applyFill="1" applyBorder="1" applyAlignment="1" applyProtection="1"/>
    <xf numFmtId="42" fontId="11" fillId="0" borderId="7" xfId="0" applyNumberFormat="1" applyFont="1" applyFill="1" applyBorder="1" applyAlignment="1" applyProtection="1"/>
    <xf numFmtId="42" fontId="11" fillId="0" borderId="13" xfId="0" applyNumberFormat="1" applyFont="1" applyFill="1" applyBorder="1" applyAlignment="1" applyProtection="1"/>
    <xf numFmtId="184" fontId="11" fillId="0" borderId="0" xfId="0" applyNumberFormat="1" applyFont="1" applyFill="1" applyBorder="1" applyAlignment="1" applyProtection="1">
      <protection locked="0"/>
    </xf>
    <xf numFmtId="49" fontId="25" fillId="0" borderId="0" xfId="0" applyNumberFormat="1" applyFont="1" applyFill="1" applyAlignment="1"/>
    <xf numFmtId="41" fontId="11" fillId="0" borderId="0" xfId="6" applyNumberFormat="1" applyFont="1" applyFill="1" applyAlignment="1"/>
    <xf numFmtId="41" fontId="25" fillId="0" borderId="0" xfId="6" applyNumberFormat="1" applyFont="1" applyFill="1" applyAlignment="1"/>
    <xf numFmtId="42" fontId="25" fillId="0" borderId="0" xfId="0" applyNumberFormat="1" applyFont="1" applyFill="1" applyAlignment="1"/>
    <xf numFmtId="3" fontId="11" fillId="0" borderId="0" xfId="0" applyNumberFormat="1" applyFont="1" applyFill="1" applyBorder="1" applyAlignment="1"/>
    <xf numFmtId="0" fontId="11" fillId="12" borderId="12" xfId="0" applyNumberFormat="1" applyFont="1" applyFill="1" applyBorder="1" applyAlignment="1"/>
    <xf numFmtId="0" fontId="25" fillId="12" borderId="12" xfId="0" applyNumberFormat="1" applyFont="1" applyFill="1" applyBorder="1" applyAlignment="1"/>
    <xf numFmtId="0" fontId="11" fillId="12" borderId="12" xfId="0" applyNumberFormat="1" applyFont="1" applyFill="1" applyBorder="1" applyAlignment="1">
      <alignment horizontal="left"/>
    </xf>
    <xf numFmtId="0" fontId="11" fillId="1" borderId="21" xfId="0" applyFont="1" applyFill="1" applyBorder="1" applyAlignment="1">
      <alignment horizontal="left"/>
    </xf>
    <xf numFmtId="41" fontId="11" fillId="1" borderId="3" xfId="0" applyNumberFormat="1" applyFont="1" applyFill="1" applyBorder="1" applyAlignment="1" applyProtection="1">
      <protection locked="0"/>
    </xf>
    <xf numFmtId="0" fontId="11" fillId="1" borderId="15" xfId="0" applyNumberFormat="1" applyFont="1" applyFill="1" applyBorder="1" applyAlignment="1"/>
    <xf numFmtId="41" fontId="11" fillId="1" borderId="0" xfId="0" applyNumberFormat="1" applyFont="1" applyFill="1" applyBorder="1" applyAlignment="1"/>
    <xf numFmtId="0" fontId="11" fillId="8" borderId="21" xfId="0" applyNumberFormat="1" applyFont="1" applyFill="1" applyBorder="1" applyAlignment="1">
      <alignment horizontal="left"/>
    </xf>
    <xf numFmtId="41" fontId="11" fillId="8" borderId="3" xfId="0" applyNumberFormat="1" applyFont="1" applyFill="1" applyBorder="1" applyAlignment="1"/>
    <xf numFmtId="41" fontId="11" fillId="8" borderId="0" xfId="0" applyNumberFormat="1" applyFont="1" applyFill="1" applyBorder="1" applyAlignment="1"/>
    <xf numFmtId="0" fontId="11" fillId="8" borderId="15" xfId="0" applyNumberFormat="1" applyFont="1" applyFill="1" applyBorder="1" applyAlignment="1"/>
    <xf numFmtId="3" fontId="27" fillId="0" borderId="0" xfId="0" applyNumberFormat="1" applyFont="1" applyAlignment="1"/>
    <xf numFmtId="0" fontId="13" fillId="0" borderId="0" xfId="0" applyNumberFormat="1" applyFont="1" applyFill="1" applyAlignment="1">
      <alignment horizontal="left" vertical="top"/>
    </xf>
    <xf numFmtId="0" fontId="27" fillId="0" borderId="0" xfId="0" applyNumberFormat="1" applyFont="1" applyAlignment="1">
      <alignment horizontal="left" vertical="top"/>
    </xf>
    <xf numFmtId="3" fontId="18" fillId="0" borderId="23" xfId="0" applyNumberFormat="1" applyFont="1" applyFill="1" applyBorder="1"/>
    <xf numFmtId="185" fontId="18" fillId="0" borderId="0" xfId="0" applyNumberFormat="1" applyFont="1"/>
    <xf numFmtId="44" fontId="18" fillId="0" borderId="0" xfId="1" applyFont="1"/>
    <xf numFmtId="185" fontId="18" fillId="0" borderId="0" xfId="1" applyNumberFormat="1" applyFont="1"/>
    <xf numFmtId="186" fontId="18" fillId="0" borderId="0" xfId="0" applyNumberFormat="1" applyFont="1"/>
    <xf numFmtId="0" fontId="26" fillId="0" borderId="0" xfId="0" applyFont="1" applyAlignment="1">
      <alignment horizontal="right"/>
    </xf>
    <xf numFmtId="6" fontId="18" fillId="0" borderId="0" xfId="0" applyNumberFormat="1" applyFont="1"/>
    <xf numFmtId="9" fontId="18" fillId="0" borderId="0" xfId="0" applyNumberFormat="1" applyFont="1"/>
    <xf numFmtId="0" fontId="18" fillId="0" borderId="0" xfId="0" quotePrefix="1" applyFont="1"/>
    <xf numFmtId="0" fontId="26" fillId="0" borderId="22" xfId="0" applyFont="1" applyBorder="1" applyAlignment="1">
      <alignment horizontal="center"/>
    </xf>
    <xf numFmtId="0" fontId="26" fillId="0" borderId="22" xfId="0" applyFont="1" applyBorder="1"/>
    <xf numFmtId="9" fontId="26" fillId="0" borderId="16" xfId="0" applyNumberFormat="1" applyFont="1" applyBorder="1"/>
    <xf numFmtId="6" fontId="18" fillId="0" borderId="19" xfId="0" applyNumberFormat="1" applyFont="1" applyBorder="1"/>
    <xf numFmtId="0" fontId="26" fillId="0" borderId="16" xfId="0" applyFont="1" applyBorder="1"/>
    <xf numFmtId="6" fontId="18" fillId="0" borderId="22" xfId="0" applyNumberFormat="1" applyFont="1" applyBorder="1"/>
    <xf numFmtId="9" fontId="18" fillId="0" borderId="22" xfId="2" applyFont="1" applyBorder="1"/>
    <xf numFmtId="0" fontId="26" fillId="0" borderId="14" xfId="0" applyFont="1" applyBorder="1"/>
    <xf numFmtId="0" fontId="26" fillId="0" borderId="14" xfId="0" applyFont="1" applyBorder="1" applyAlignment="1">
      <alignment horizontal="right"/>
    </xf>
    <xf numFmtId="165" fontId="26" fillId="0" borderId="0" xfId="1" applyNumberFormat="1" applyFont="1"/>
    <xf numFmtId="10" fontId="26" fillId="0" borderId="0" xfId="0" applyNumberFormat="1" applyFont="1"/>
    <xf numFmtId="0" fontId="26" fillId="0" borderId="30" xfId="0" applyFont="1" applyBorder="1"/>
    <xf numFmtId="0" fontId="18" fillId="0" borderId="24" xfId="0" applyFont="1" applyBorder="1"/>
    <xf numFmtId="0" fontId="18" fillId="0" borderId="25" xfId="0" applyFont="1" applyBorder="1"/>
    <xf numFmtId="0" fontId="26" fillId="0" borderId="0" xfId="0" applyFont="1" applyAlignment="1">
      <alignment horizontal="left"/>
    </xf>
    <xf numFmtId="0" fontId="18" fillId="0" borderId="21" xfId="0" applyFont="1" applyBorder="1"/>
    <xf numFmtId="0" fontId="18" fillId="0" borderId="3" xfId="0" applyFont="1" applyBorder="1"/>
    <xf numFmtId="0" fontId="26" fillId="0" borderId="3" xfId="0" applyFont="1" applyBorder="1"/>
    <xf numFmtId="0" fontId="26" fillId="0" borderId="3" xfId="0" applyFont="1" applyBorder="1" applyAlignment="1">
      <alignment horizontal="right" wrapText="1"/>
    </xf>
    <xf numFmtId="0" fontId="26" fillId="0" borderId="31" xfId="0" applyFont="1" applyBorder="1" applyAlignment="1">
      <alignment horizontal="right"/>
    </xf>
    <xf numFmtId="0" fontId="18" fillId="0" borderId="15" xfId="0" applyFont="1" applyBorder="1"/>
    <xf numFmtId="0" fontId="18" fillId="0" borderId="32" xfId="0" applyFont="1" applyBorder="1"/>
    <xf numFmtId="0" fontId="19" fillId="0" borderId="15" xfId="0" applyFont="1" applyBorder="1"/>
    <xf numFmtId="0" fontId="26" fillId="0" borderId="15" xfId="0" applyFont="1" applyBorder="1"/>
    <xf numFmtId="0" fontId="26" fillId="0" borderId="0" xfId="0" applyFont="1" applyBorder="1"/>
    <xf numFmtId="0" fontId="31" fillId="0" borderId="15" xfId="0" applyFont="1" applyBorder="1" applyAlignment="1">
      <alignment horizontal="right" indent="1"/>
    </xf>
    <xf numFmtId="167" fontId="31" fillId="0" borderId="0" xfId="3" applyNumberFormat="1" applyFont="1" applyBorder="1" applyAlignment="1">
      <alignment horizontal="right" indent="1"/>
    </xf>
    <xf numFmtId="0" fontId="31" fillId="0" borderId="0" xfId="0" applyFont="1" applyBorder="1" applyAlignment="1">
      <alignment horizontal="right" indent="1"/>
    </xf>
    <xf numFmtId="9" fontId="18" fillId="0" borderId="32" xfId="2" applyFont="1" applyBorder="1"/>
    <xf numFmtId="1" fontId="31" fillId="0" borderId="0" xfId="0" applyNumberFormat="1" applyFont="1" applyBorder="1" applyAlignment="1">
      <alignment horizontal="right" indent="1"/>
    </xf>
    <xf numFmtId="0" fontId="32" fillId="0" borderId="15" xfId="0" applyFont="1" applyBorder="1" applyAlignment="1">
      <alignment horizontal="right" indent="1"/>
    </xf>
    <xf numFmtId="0" fontId="32" fillId="0" borderId="0" xfId="0" applyFont="1" applyBorder="1" applyAlignment="1">
      <alignment horizontal="right" indent="1"/>
    </xf>
    <xf numFmtId="165" fontId="26" fillId="0" borderId="0" xfId="1" applyNumberFormat="1" applyFont="1" applyBorder="1"/>
    <xf numFmtId="0" fontId="32" fillId="0" borderId="27" xfId="0" applyFont="1" applyBorder="1" applyAlignment="1">
      <alignment horizontal="right" indent="1"/>
    </xf>
    <xf numFmtId="0" fontId="32" fillId="0" borderId="14" xfId="0" applyFont="1" applyBorder="1" applyAlignment="1">
      <alignment horizontal="right" indent="1"/>
    </xf>
    <xf numFmtId="165" fontId="26" fillId="0" borderId="14" xfId="1" applyNumberFormat="1" applyFont="1" applyBorder="1"/>
    <xf numFmtId="9" fontId="18" fillId="0" borderId="33" xfId="2" applyFont="1" applyBorder="1"/>
    <xf numFmtId="0" fontId="19" fillId="0" borderId="21" xfId="0" applyFont="1" applyBorder="1"/>
    <xf numFmtId="0" fontId="26" fillId="0" borderId="31" xfId="0" applyFont="1" applyBorder="1"/>
    <xf numFmtId="42" fontId="18" fillId="0" borderId="0" xfId="0" applyNumberFormat="1" applyFont="1" applyBorder="1"/>
    <xf numFmtId="165" fontId="18" fillId="0" borderId="32" xfId="1" applyNumberFormat="1" applyFont="1" applyBorder="1"/>
    <xf numFmtId="0" fontId="31" fillId="0" borderId="15" xfId="0" applyFont="1" applyBorder="1" applyAlignment="1">
      <alignment horizontal="right"/>
    </xf>
    <xf numFmtId="168" fontId="18" fillId="0" borderId="0" xfId="2" applyNumberFormat="1" applyFont="1" applyBorder="1"/>
    <xf numFmtId="165" fontId="18" fillId="0" borderId="0" xfId="2" applyNumberFormat="1" applyFont="1" applyBorder="1"/>
    <xf numFmtId="9" fontId="18" fillId="0" borderId="0" xfId="0" applyNumberFormat="1" applyFont="1" applyBorder="1"/>
    <xf numFmtId="0" fontId="32" fillId="0" borderId="15" xfId="0" applyFont="1" applyBorder="1"/>
    <xf numFmtId="0" fontId="26" fillId="0" borderId="15" xfId="0" applyFont="1" applyBorder="1" applyAlignment="1">
      <alignment horizontal="right"/>
    </xf>
    <xf numFmtId="165" fontId="26" fillId="0" borderId="32" xfId="1" applyNumberFormat="1" applyFont="1" applyBorder="1"/>
    <xf numFmtId="0" fontId="26" fillId="0" borderId="27" xfId="0" applyFont="1" applyBorder="1" applyAlignment="1">
      <alignment horizontal="right"/>
    </xf>
    <xf numFmtId="165" fontId="26" fillId="0" borderId="33" xfId="1" applyNumberFormat="1" applyFont="1" applyBorder="1"/>
    <xf numFmtId="0" fontId="45" fillId="0" borderId="30" xfId="0" applyFont="1" applyBorder="1" applyAlignment="1">
      <alignment horizontal="center" vertical="top"/>
    </xf>
    <xf numFmtId="0" fontId="11" fillId="0" borderId="0" xfId="0" applyFont="1" applyAlignment="1">
      <alignment horizontal="right"/>
    </xf>
    <xf numFmtId="187" fontId="11" fillId="0" borderId="0" xfId="3" applyNumberFormat="1" applyFont="1"/>
    <xf numFmtId="167" fontId="18" fillId="0" borderId="0" xfId="3" applyNumberFormat="1" applyFont="1" applyFill="1" applyBorder="1" applyProtection="1"/>
    <xf numFmtId="167" fontId="14" fillId="0" borderId="0" xfId="1" applyNumberFormat="1" applyFont="1" applyFill="1" applyBorder="1" applyProtection="1"/>
    <xf numFmtId="167" fontId="14" fillId="14" borderId="12" xfId="0" applyNumberFormat="1" applyFont="1" applyFill="1" applyBorder="1" applyProtection="1"/>
    <xf numFmtId="167" fontId="0" fillId="0" borderId="0" xfId="3" applyNumberFormat="1" applyFont="1" applyFill="1" applyBorder="1"/>
    <xf numFmtId="0" fontId="18" fillId="0" borderId="0" xfId="0" applyFont="1" applyAlignment="1">
      <alignment horizontal="center" wrapText="1"/>
    </xf>
    <xf numFmtId="0" fontId="26" fillId="0" borderId="0" xfId="0" applyFont="1" applyBorder="1" applyAlignment="1"/>
    <xf numFmtId="0" fontId="18" fillId="20" borderId="0" xfId="0" applyFont="1" applyFill="1"/>
    <xf numFmtId="0" fontId="18" fillId="7" borderId="0" xfId="0" applyFont="1" applyFill="1" applyAlignment="1">
      <alignment horizontal="center"/>
    </xf>
    <xf numFmtId="165" fontId="30" fillId="0" borderId="0" xfId="3" applyNumberFormat="1" applyFont="1" applyFill="1" applyBorder="1"/>
    <xf numFmtId="187" fontId="18" fillId="0" borderId="0" xfId="0" applyNumberFormat="1" applyFont="1" applyFill="1" applyBorder="1"/>
    <xf numFmtId="2" fontId="26" fillId="0" borderId="0" xfId="3" applyNumberFormat="1" applyFont="1" applyFill="1" applyBorder="1"/>
    <xf numFmtId="44" fontId="18" fillId="0" borderId="0" xfId="0" applyNumberFormat="1" applyFont="1" applyFill="1" applyBorder="1"/>
    <xf numFmtId="9" fontId="18" fillId="0" borderId="0" xfId="2" applyFont="1" applyFill="1" applyBorder="1"/>
    <xf numFmtId="0" fontId="31" fillId="0" borderId="0" xfId="0" applyFont="1" applyFill="1" applyBorder="1" applyAlignment="1">
      <alignment horizontal="right"/>
    </xf>
    <xf numFmtId="165" fontId="31" fillId="0" borderId="0" xfId="0" applyNumberFormat="1" applyFont="1" applyFill="1" applyBorder="1"/>
    <xf numFmtId="165" fontId="24" fillId="0" borderId="0" xfId="0" applyNumberFormat="1" applyFont="1" applyFill="1" applyBorder="1"/>
    <xf numFmtId="43" fontId="18" fillId="0" borderId="0" xfId="3" applyFont="1" applyFill="1" applyBorder="1"/>
    <xf numFmtId="10" fontId="18" fillId="0" borderId="0" xfId="0" applyNumberFormat="1" applyFont="1" applyFill="1" applyBorder="1"/>
    <xf numFmtId="0" fontId="18" fillId="0" borderId="0" xfId="0" applyFont="1" applyAlignment="1">
      <alignment wrapText="1"/>
    </xf>
    <xf numFmtId="0" fontId="18" fillId="0" borderId="12" xfId="0" applyFont="1" applyFill="1" applyBorder="1" applyAlignment="1">
      <alignment horizontal="center"/>
    </xf>
    <xf numFmtId="165" fontId="20" fillId="0" borderId="0" xfId="0" applyNumberFormat="1" applyFont="1" applyFill="1" applyBorder="1"/>
    <xf numFmtId="0" fontId="26" fillId="0" borderId="24" xfId="0" applyFont="1" applyBorder="1" applyAlignment="1"/>
    <xf numFmtId="0" fontId="26" fillId="0" borderId="12" xfId="0" applyFont="1" applyBorder="1" applyAlignment="1"/>
    <xf numFmtId="167" fontId="22" fillId="0" borderId="0" xfId="3" applyNumberFormat="1" applyFont="1" applyBorder="1"/>
    <xf numFmtId="0" fontId="30" fillId="0" borderId="0" xfId="0" applyFont="1" applyFill="1" applyBorder="1"/>
    <xf numFmtId="6" fontId="18" fillId="0" borderId="0" xfId="0" applyNumberFormat="1" applyFont="1" applyBorder="1"/>
    <xf numFmtId="0" fontId="26" fillId="0" borderId="0" xfId="0" applyFont="1" applyBorder="1" applyAlignment="1">
      <alignment horizontal="right"/>
    </xf>
    <xf numFmtId="9" fontId="18" fillId="0" borderId="0" xfId="2" applyFont="1" applyBorder="1"/>
    <xf numFmtId="44" fontId="18" fillId="0" borderId="0" xfId="2" applyNumberFormat="1" applyFont="1" applyBorder="1"/>
    <xf numFmtId="0" fontId="23" fillId="13" borderId="17" xfId="0" applyFont="1" applyFill="1" applyBorder="1"/>
    <xf numFmtId="42" fontId="13" fillId="13" borderId="17" xfId="0" applyNumberFormat="1" applyFont="1" applyFill="1" applyBorder="1" applyProtection="1"/>
    <xf numFmtId="167" fontId="18" fillId="0" borderId="0" xfId="0" applyNumberFormat="1" applyFont="1" applyFill="1" applyBorder="1"/>
    <xf numFmtId="167" fontId="16" fillId="0" borderId="0" xfId="3" applyNumberFormat="1" applyFont="1" applyFill="1" applyBorder="1" applyProtection="1"/>
    <xf numFmtId="0" fontId="13" fillId="15" borderId="3" xfId="0" applyFont="1" applyFill="1" applyBorder="1"/>
    <xf numFmtId="167" fontId="14" fillId="15" borderId="3" xfId="0" applyNumberFormat="1" applyFont="1" applyFill="1" applyBorder="1" applyProtection="1"/>
    <xf numFmtId="0" fontId="13" fillId="16" borderId="3" xfId="0" applyFont="1" applyFill="1" applyBorder="1"/>
    <xf numFmtId="167" fontId="14" fillId="16" borderId="3" xfId="0" applyNumberFormat="1" applyFont="1" applyFill="1" applyBorder="1" applyProtection="1"/>
    <xf numFmtId="167" fontId="18" fillId="0" borderId="0" xfId="0" applyNumberFormat="1" applyFont="1" applyBorder="1"/>
    <xf numFmtId="0" fontId="26" fillId="0" borderId="25" xfId="0" applyFont="1" applyBorder="1" applyAlignment="1"/>
    <xf numFmtId="0" fontId="18" fillId="7" borderId="0" xfId="0" applyFont="1" applyFill="1"/>
    <xf numFmtId="187" fontId="18" fillId="0" borderId="0" xfId="3" applyNumberFormat="1" applyFont="1" applyFill="1" applyBorder="1" applyProtection="1"/>
    <xf numFmtId="187" fontId="18" fillId="0" borderId="0" xfId="1" applyNumberFormat="1" applyFont="1" applyFill="1" applyBorder="1" applyProtection="1"/>
    <xf numFmtId="187" fontId="18" fillId="0" borderId="14" xfId="3" applyNumberFormat="1" applyFont="1" applyFill="1" applyBorder="1" applyProtection="1"/>
    <xf numFmtId="187" fontId="14" fillId="0" borderId="14" xfId="3" applyNumberFormat="1" applyFont="1" applyBorder="1" applyProtection="1"/>
    <xf numFmtId="187" fontId="15" fillId="0" borderId="0" xfId="0" applyNumberFormat="1" applyFont="1" applyBorder="1" applyProtection="1"/>
    <xf numFmtId="187" fontId="14" fillId="14" borderId="12" xfId="0" applyNumberFormat="1" applyFont="1" applyFill="1" applyBorder="1" applyProtection="1"/>
    <xf numFmtId="187" fontId="11" fillId="0" borderId="0" xfId="3" applyNumberFormat="1" applyFont="1" applyFill="1" applyBorder="1" applyProtection="1"/>
    <xf numFmtId="187" fontId="16" fillId="0" borderId="26" xfId="1" applyNumberFormat="1" applyFont="1" applyFill="1" applyBorder="1" applyProtection="1"/>
    <xf numFmtId="187" fontId="14" fillId="15" borderId="3" xfId="0" applyNumberFormat="1" applyFont="1" applyFill="1" applyBorder="1" applyProtection="1"/>
    <xf numFmtId="187" fontId="16" fillId="0" borderId="0" xfId="1" applyNumberFormat="1" applyFont="1" applyFill="1" applyBorder="1" applyProtection="1"/>
    <xf numFmtId="187" fontId="16" fillId="0" borderId="14" xfId="1" applyNumberFormat="1" applyFont="1" applyFill="1" applyBorder="1" applyProtection="1"/>
    <xf numFmtId="187" fontId="14" fillId="16" borderId="3" xfId="0" applyNumberFormat="1" applyFont="1" applyFill="1" applyBorder="1" applyProtection="1"/>
    <xf numFmtId="187" fontId="16" fillId="0" borderId="14" xfId="1" applyNumberFormat="1" applyFont="1" applyBorder="1" applyProtection="1"/>
    <xf numFmtId="0" fontId="18" fillId="22" borderId="35" xfId="0" applyFont="1" applyFill="1" applyBorder="1"/>
    <xf numFmtId="43" fontId="18" fillId="22" borderId="17" xfId="3" applyFont="1" applyFill="1" applyBorder="1"/>
    <xf numFmtId="43" fontId="18" fillId="22" borderId="36" xfId="3" applyFont="1" applyFill="1" applyBorder="1"/>
    <xf numFmtId="0" fontId="18" fillId="22" borderId="37" xfId="0" applyFont="1" applyFill="1" applyBorder="1"/>
    <xf numFmtId="43" fontId="18" fillId="22" borderId="18" xfId="3" applyFont="1" applyFill="1" applyBorder="1"/>
    <xf numFmtId="2" fontId="18" fillId="22" borderId="18" xfId="0" applyNumberFormat="1" applyFont="1" applyFill="1" applyBorder="1"/>
    <xf numFmtId="2" fontId="18" fillId="22" borderId="38" xfId="0" applyNumberFormat="1" applyFont="1" applyFill="1" applyBorder="1"/>
    <xf numFmtId="0" fontId="18" fillId="24" borderId="35" xfId="0" applyFont="1" applyFill="1" applyBorder="1"/>
    <xf numFmtId="165" fontId="18" fillId="24" borderId="17" xfId="0" applyNumberFormat="1" applyFont="1" applyFill="1" applyBorder="1"/>
    <xf numFmtId="165" fontId="18" fillId="24" borderId="36" xfId="0" applyNumberFormat="1" applyFont="1" applyFill="1" applyBorder="1"/>
    <xf numFmtId="0" fontId="18" fillId="24" borderId="37" xfId="0" applyFont="1" applyFill="1" applyBorder="1"/>
    <xf numFmtId="165" fontId="18" fillId="24" borderId="18" xfId="0" applyNumberFormat="1" applyFont="1" applyFill="1" applyBorder="1"/>
    <xf numFmtId="165" fontId="18" fillId="24" borderId="38" xfId="0" applyNumberFormat="1" applyFont="1" applyFill="1" applyBorder="1"/>
    <xf numFmtId="165" fontId="18" fillId="23" borderId="0" xfId="0" applyNumberFormat="1" applyFont="1" applyFill="1"/>
    <xf numFmtId="0" fontId="26" fillId="23" borderId="0" xfId="0" applyFont="1" applyFill="1" applyBorder="1"/>
    <xf numFmtId="0" fontId="26" fillId="6" borderId="0" xfId="0" applyFont="1" applyFill="1" applyAlignment="1"/>
    <xf numFmtId="0" fontId="18" fillId="0" borderId="0" xfId="0" applyFont="1" applyBorder="1" applyAlignment="1">
      <alignment wrapText="1"/>
    </xf>
    <xf numFmtId="0" fontId="26" fillId="0" borderId="0" xfId="0" applyFont="1" applyFill="1" applyAlignment="1"/>
    <xf numFmtId="165" fontId="11" fillId="26" borderId="18" xfId="3" applyNumberFormat="1" applyFont="1" applyFill="1" applyBorder="1"/>
    <xf numFmtId="0" fontId="18" fillId="0" borderId="0" xfId="0" applyFont="1" applyFill="1" applyAlignment="1">
      <alignment horizontal="left"/>
    </xf>
    <xf numFmtId="0" fontId="18" fillId="21" borderId="0" xfId="0" applyFont="1" applyFill="1" applyAlignment="1">
      <alignment horizontal="left"/>
    </xf>
    <xf numFmtId="165" fontId="18" fillId="21" borderId="0" xfId="3" applyNumberFormat="1" applyFont="1" applyFill="1"/>
    <xf numFmtId="165" fontId="18" fillId="26" borderId="38" xfId="0" applyNumberFormat="1" applyFont="1" applyFill="1" applyBorder="1"/>
    <xf numFmtId="0" fontId="26" fillId="0" borderId="0" xfId="0" applyFont="1" applyFill="1" applyBorder="1" applyAlignment="1">
      <alignment vertical="center"/>
    </xf>
    <xf numFmtId="165" fontId="18" fillId="26" borderId="17" xfId="0" applyNumberFormat="1" applyFont="1" applyFill="1" applyBorder="1"/>
    <xf numFmtId="43" fontId="18" fillId="22" borderId="38" xfId="3" applyFont="1" applyFill="1" applyBorder="1"/>
    <xf numFmtId="165" fontId="18" fillId="0" borderId="0" xfId="0" applyNumberFormat="1" applyFont="1" applyFill="1" applyBorder="1"/>
    <xf numFmtId="165" fontId="18" fillId="0" borderId="0" xfId="3" applyNumberFormat="1" applyFont="1" applyFill="1" applyBorder="1"/>
    <xf numFmtId="0" fontId="31" fillId="0" borderId="0" xfId="0" applyFont="1" applyAlignment="1">
      <alignment horizontal="right"/>
    </xf>
    <xf numFmtId="165" fontId="18" fillId="0" borderId="12" xfId="0" applyNumberFormat="1" applyFont="1" applyFill="1" applyBorder="1"/>
    <xf numFmtId="165" fontId="18" fillId="21" borderId="13" xfId="0" applyNumberFormat="1" applyFont="1" applyFill="1" applyBorder="1"/>
    <xf numFmtId="187" fontId="18" fillId="0" borderId="14" xfId="0" applyNumberFormat="1" applyFont="1" applyBorder="1"/>
    <xf numFmtId="0" fontId="18" fillId="4" borderId="0" xfId="0" applyFont="1" applyFill="1" applyBorder="1" applyAlignment="1">
      <alignment horizontal="right"/>
    </xf>
    <xf numFmtId="165" fontId="26" fillId="7" borderId="12" xfId="1" applyNumberFormat="1" applyFont="1" applyFill="1" applyBorder="1" applyAlignment="1">
      <alignment horizontal="center"/>
    </xf>
    <xf numFmtId="165" fontId="26" fillId="7" borderId="12" xfId="0" applyNumberFormat="1" applyFont="1" applyFill="1" applyBorder="1"/>
    <xf numFmtId="165" fontId="33" fillId="7" borderId="12" xfId="0" applyNumberFormat="1" applyFont="1" applyFill="1" applyBorder="1" applyAlignment="1">
      <alignment horizontal="center"/>
    </xf>
    <xf numFmtId="165" fontId="18" fillId="7" borderId="12" xfId="1" applyNumberFormat="1" applyFont="1" applyFill="1" applyBorder="1" applyAlignment="1">
      <alignment horizontal="center"/>
    </xf>
    <xf numFmtId="0" fontId="18" fillId="7" borderId="12" xfId="0" applyFont="1" applyFill="1" applyBorder="1"/>
    <xf numFmtId="165" fontId="18" fillId="7" borderId="12" xfId="0" applyNumberFormat="1" applyFont="1" applyFill="1" applyBorder="1"/>
    <xf numFmtId="165" fontId="18" fillId="7" borderId="12" xfId="0" applyNumberFormat="1" applyFont="1" applyFill="1" applyBorder="1" applyAlignment="1">
      <alignment horizontal="center"/>
    </xf>
    <xf numFmtId="165" fontId="26" fillId="6" borderId="12" xfId="1" applyNumberFormat="1" applyFont="1" applyFill="1" applyBorder="1" applyAlignment="1">
      <alignment horizontal="center"/>
    </xf>
    <xf numFmtId="165" fontId="26" fillId="6" borderId="12" xfId="0" applyNumberFormat="1" applyFont="1" applyFill="1" applyBorder="1"/>
    <xf numFmtId="165" fontId="33" fillId="6" borderId="12" xfId="0" applyNumberFormat="1" applyFont="1" applyFill="1" applyBorder="1" applyAlignment="1">
      <alignment horizontal="center"/>
    </xf>
    <xf numFmtId="165" fontId="18" fillId="6" borderId="12" xfId="0" applyNumberFormat="1" applyFont="1" applyFill="1" applyBorder="1"/>
    <xf numFmtId="165" fontId="18" fillId="6" borderId="12" xfId="0" applyNumberFormat="1" applyFont="1" applyFill="1" applyBorder="1" applyAlignment="1">
      <alignment horizontal="center"/>
    </xf>
    <xf numFmtId="165" fontId="18" fillId="6" borderId="12" xfId="1" applyNumberFormat="1" applyFont="1" applyFill="1" applyBorder="1" applyAlignment="1">
      <alignment horizontal="center"/>
    </xf>
    <xf numFmtId="0" fontId="18" fillId="6" borderId="12" xfId="0" applyFont="1" applyFill="1" applyBorder="1"/>
    <xf numFmtId="165" fontId="21" fillId="6" borderId="12" xfId="1" applyNumberFormat="1" applyFont="1" applyFill="1" applyBorder="1" applyAlignment="1">
      <alignment horizontal="center"/>
    </xf>
    <xf numFmtId="165" fontId="21" fillId="6" borderId="12" xfId="0" applyNumberFormat="1" applyFont="1" applyFill="1" applyBorder="1" applyAlignment="1">
      <alignment horizontal="center"/>
    </xf>
    <xf numFmtId="165" fontId="26" fillId="6" borderId="12" xfId="0" applyNumberFormat="1" applyFont="1" applyFill="1" applyBorder="1" applyAlignment="1">
      <alignment horizontal="center"/>
    </xf>
    <xf numFmtId="0" fontId="26" fillId="25" borderId="12" xfId="0" applyFont="1" applyFill="1" applyBorder="1"/>
    <xf numFmtId="0" fontId="18" fillId="25" borderId="24" xfId="0" applyFont="1" applyFill="1" applyBorder="1"/>
    <xf numFmtId="165" fontId="13" fillId="25" borderId="12" xfId="0" applyNumberFormat="1" applyFont="1" applyFill="1" applyBorder="1" applyAlignment="1">
      <alignment horizontal="center"/>
    </xf>
    <xf numFmtId="165" fontId="18" fillId="4" borderId="0" xfId="0" applyNumberFormat="1" applyFont="1" applyFill="1"/>
    <xf numFmtId="0" fontId="32" fillId="4" borderId="14" xfId="0" applyFont="1" applyFill="1" applyBorder="1"/>
    <xf numFmtId="0" fontId="26" fillId="25" borderId="25" xfId="0" applyFont="1" applyFill="1" applyBorder="1"/>
    <xf numFmtId="0" fontId="18" fillId="25" borderId="12" xfId="0" applyFont="1" applyFill="1" applyBorder="1"/>
    <xf numFmtId="165" fontId="18" fillId="25" borderId="12" xfId="0" applyNumberFormat="1" applyFont="1" applyFill="1" applyBorder="1"/>
    <xf numFmtId="0" fontId="46" fillId="0" borderId="0" xfId="0" applyFont="1" applyAlignment="1">
      <alignment horizontal="center"/>
    </xf>
    <xf numFmtId="3" fontId="0" fillId="0" borderId="39" xfId="0" applyNumberFormat="1" applyBorder="1"/>
    <xf numFmtId="3" fontId="0" fillId="0" borderId="40" xfId="0" applyNumberFormat="1" applyBorder="1"/>
    <xf numFmtId="3" fontId="0" fillId="0" borderId="23" xfId="0" applyNumberFormat="1" applyBorder="1"/>
    <xf numFmtId="0" fontId="0" fillId="0" borderId="41" xfId="0" applyBorder="1" applyAlignment="1">
      <alignment horizontal="left" indent="1"/>
    </xf>
    <xf numFmtId="0" fontId="0" fillId="0" borderId="42" xfId="0" applyBorder="1" applyAlignment="1">
      <alignment horizontal="left" indent="1"/>
    </xf>
    <xf numFmtId="0" fontId="0" fillId="0" borderId="43" xfId="0" applyBorder="1" applyAlignment="1">
      <alignment horizontal="left" indent="1"/>
    </xf>
    <xf numFmtId="44" fontId="18" fillId="26" borderId="38" xfId="0" applyNumberFormat="1" applyFont="1" applyFill="1" applyBorder="1"/>
    <xf numFmtId="44" fontId="18" fillId="26" borderId="17" xfId="0" applyNumberFormat="1" applyFont="1" applyFill="1" applyBorder="1"/>
    <xf numFmtId="44" fontId="18" fillId="26" borderId="18" xfId="0" applyNumberFormat="1" applyFont="1" applyFill="1" applyBorder="1"/>
    <xf numFmtId="0" fontId="26" fillId="4" borderId="12" xfId="0" applyFont="1" applyFill="1" applyBorder="1" applyAlignment="1">
      <alignment horizontal="center"/>
    </xf>
    <xf numFmtId="0" fontId="47" fillId="0" borderId="30" xfId="0" applyFont="1" applyBorder="1" applyAlignment="1">
      <alignment horizontal="center" vertical="top"/>
    </xf>
    <xf numFmtId="0" fontId="47" fillId="0" borderId="30" xfId="0" applyFont="1" applyFill="1" applyBorder="1" applyAlignment="1">
      <alignment horizontal="center" vertical="top"/>
    </xf>
    <xf numFmtId="0" fontId="0" fillId="0" borderId="0" xfId="0" applyFill="1"/>
    <xf numFmtId="0" fontId="47" fillId="0" borderId="0" xfId="0" applyFont="1" applyBorder="1" applyAlignment="1">
      <alignment horizontal="center" vertical="top"/>
    </xf>
    <xf numFmtId="0" fontId="47" fillId="0" borderId="0" xfId="0" applyFont="1" applyFill="1" applyBorder="1" applyAlignment="1">
      <alignment horizontal="center" vertical="top"/>
    </xf>
    <xf numFmtId="43" fontId="0" fillId="0" borderId="0" xfId="3" applyNumberFormat="1" applyFont="1" applyBorder="1"/>
    <xf numFmtId="167" fontId="0" fillId="0" borderId="0" xfId="3" applyNumberFormat="1" applyFont="1" applyBorder="1"/>
    <xf numFmtId="165" fontId="26" fillId="0" borderId="12" xfId="0" applyNumberFormat="1" applyFont="1" applyFill="1" applyBorder="1"/>
    <xf numFmtId="165" fontId="26" fillId="0" borderId="12" xfId="0" applyNumberFormat="1" applyFont="1" applyFill="1" applyBorder="1" applyAlignment="1">
      <alignment horizontal="center"/>
    </xf>
    <xf numFmtId="0" fontId="26" fillId="0" borderId="12" xfId="0" applyFont="1" applyFill="1" applyBorder="1" applyAlignment="1">
      <alignment horizontal="center"/>
    </xf>
    <xf numFmtId="0" fontId="26" fillId="0" borderId="12" xfId="0" applyFont="1" applyFill="1" applyBorder="1"/>
    <xf numFmtId="0" fontId="18" fillId="22" borderId="0" xfId="0" applyFont="1" applyFill="1" applyBorder="1"/>
    <xf numFmtId="0" fontId="18" fillId="25" borderId="0" xfId="0" applyFont="1" applyFill="1"/>
    <xf numFmtId="187" fontId="18" fillId="25" borderId="0" xfId="0" applyNumberFormat="1" applyFont="1" applyFill="1"/>
    <xf numFmtId="0" fontId="26" fillId="4" borderId="12" xfId="0" applyFont="1" applyFill="1" applyBorder="1" applyAlignment="1">
      <alignment horizontal="center"/>
    </xf>
    <xf numFmtId="165" fontId="26" fillId="4" borderId="12" xfId="0" applyNumberFormat="1" applyFont="1" applyFill="1" applyBorder="1"/>
    <xf numFmtId="44" fontId="18" fillId="0" borderId="0" xfId="1" applyNumberFormat="1" applyFont="1" applyBorder="1"/>
    <xf numFmtId="165" fontId="18" fillId="0" borderId="14" xfId="1" applyNumberFormat="1" applyFont="1" applyBorder="1"/>
    <xf numFmtId="165" fontId="18" fillId="0" borderId="33" xfId="1" applyNumberFormat="1" applyFont="1" applyBorder="1"/>
    <xf numFmtId="165" fontId="18" fillId="0" borderId="3" xfId="1" applyNumberFormat="1" applyFont="1" applyBorder="1"/>
    <xf numFmtId="165" fontId="18" fillId="0" borderId="31" xfId="1" applyNumberFormat="1" applyFont="1" applyBorder="1"/>
    <xf numFmtId="0" fontId="18" fillId="0" borderId="0" xfId="0" applyFont="1" applyAlignment="1">
      <alignment horizontal="left" wrapText="1"/>
    </xf>
    <xf numFmtId="0" fontId="26" fillId="0" borderId="24" xfId="0" applyFont="1" applyBorder="1" applyAlignment="1">
      <alignment horizontal="center"/>
    </xf>
    <xf numFmtId="0" fontId="26" fillId="0" borderId="12" xfId="0" applyFont="1" applyBorder="1" applyAlignment="1">
      <alignment horizontal="center"/>
    </xf>
    <xf numFmtId="0" fontId="26" fillId="0" borderId="0" xfId="0" applyFont="1" applyBorder="1" applyAlignment="1">
      <alignment horizontal="left" wrapText="1"/>
    </xf>
    <xf numFmtId="0" fontId="26" fillId="6" borderId="0" xfId="0" applyFont="1" applyFill="1" applyAlignment="1">
      <alignment horizontal="center"/>
    </xf>
    <xf numFmtId="0" fontId="26" fillId="0" borderId="24" xfId="0" applyFont="1" applyBorder="1" applyAlignment="1">
      <alignment horizontal="center" wrapText="1"/>
    </xf>
    <xf numFmtId="0" fontId="26" fillId="0" borderId="12" xfId="0" applyFont="1" applyBorder="1" applyAlignment="1">
      <alignment horizontal="center" wrapText="1"/>
    </xf>
    <xf numFmtId="0" fontId="26" fillId="0" borderId="25" xfId="0" applyFont="1" applyBorder="1" applyAlignment="1">
      <alignment horizontal="center" wrapText="1"/>
    </xf>
    <xf numFmtId="0" fontId="26" fillId="0" borderId="25" xfId="0" applyFont="1" applyBorder="1" applyAlignment="1">
      <alignment horizontal="center"/>
    </xf>
    <xf numFmtId="0" fontId="26" fillId="0" borderId="0" xfId="0" applyFont="1" applyAlignment="1">
      <alignment horizontal="left" wrapText="1"/>
    </xf>
    <xf numFmtId="0" fontId="28" fillId="17" borderId="0" xfId="0" applyFont="1" applyFill="1" applyBorder="1" applyAlignment="1">
      <alignment horizontal="center" vertical="center" wrapText="1"/>
    </xf>
    <xf numFmtId="0" fontId="28" fillId="17" borderId="34" xfId="0" applyFont="1" applyFill="1" applyBorder="1" applyAlignment="1">
      <alignment horizontal="center" vertical="center" wrapText="1"/>
    </xf>
    <xf numFmtId="0" fontId="18" fillId="10" borderId="0" xfId="0" applyFont="1" applyFill="1" applyAlignment="1">
      <alignment horizontal="center"/>
    </xf>
    <xf numFmtId="0" fontId="18" fillId="10" borderId="0" xfId="0" applyFont="1" applyFill="1" applyAlignment="1">
      <alignment horizontal="center" readingOrder="1"/>
    </xf>
    <xf numFmtId="0" fontId="26" fillId="0" borderId="0" xfId="0" applyFont="1" applyAlignment="1">
      <alignment horizontal="center" wrapText="1"/>
    </xf>
    <xf numFmtId="0" fontId="26" fillId="25" borderId="0" xfId="0" applyFont="1" applyFill="1" applyBorder="1" applyAlignment="1">
      <alignment horizontal="center" vertical="center"/>
    </xf>
    <xf numFmtId="0" fontId="26" fillId="7" borderId="15" xfId="0" applyFont="1" applyFill="1" applyBorder="1" applyAlignment="1">
      <alignment horizontal="center" wrapText="1"/>
    </xf>
    <xf numFmtId="0" fontId="26" fillId="7" borderId="0" xfId="0" applyFont="1" applyFill="1" applyBorder="1" applyAlignment="1">
      <alignment horizontal="center" wrapText="1"/>
    </xf>
    <xf numFmtId="0" fontId="26" fillId="5" borderId="0" xfId="0" applyFont="1" applyFill="1" applyAlignment="1">
      <alignment horizontal="center" vertical="center" wrapText="1"/>
    </xf>
    <xf numFmtId="0" fontId="4" fillId="0" borderId="1" xfId="0" applyFont="1" applyBorder="1" applyAlignment="1">
      <alignment horizontal="center"/>
    </xf>
    <xf numFmtId="0" fontId="4" fillId="0" borderId="0" xfId="0" applyFont="1" applyBorder="1" applyAlignment="1">
      <alignment horizontal="center"/>
    </xf>
    <xf numFmtId="0" fontId="4" fillId="0" borderId="2" xfId="0" applyFont="1" applyBorder="1" applyAlignment="1">
      <alignment horizontal="center"/>
    </xf>
    <xf numFmtId="0" fontId="26" fillId="0" borderId="35"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38" xfId="0" applyFont="1" applyBorder="1" applyAlignment="1">
      <alignment horizontal="center" vertical="center" wrapText="1"/>
    </xf>
    <xf numFmtId="0" fontId="2" fillId="4" borderId="0" xfId="0" applyFont="1" applyFill="1" applyAlignment="1">
      <alignment horizontal="center"/>
    </xf>
    <xf numFmtId="0" fontId="26" fillId="4" borderId="12" xfId="0" applyFont="1" applyFill="1" applyBorder="1" applyAlignment="1">
      <alignment horizontal="center"/>
    </xf>
    <xf numFmtId="0" fontId="26" fillId="4" borderId="25" xfId="0" applyFont="1" applyFill="1" applyBorder="1" applyAlignment="1">
      <alignment horizontal="center"/>
    </xf>
    <xf numFmtId="0" fontId="26" fillId="6" borderId="12" xfId="0" applyFont="1" applyFill="1" applyBorder="1" applyAlignment="1">
      <alignment horizontal="center"/>
    </xf>
  </cellXfs>
  <cellStyles count="11">
    <cellStyle name="1_Header 3" xfId="9"/>
    <cellStyle name="3_RowTitle" xfId="8"/>
    <cellStyle name="4_Percent" xfId="7"/>
    <cellStyle name="Comma" xfId="3" builtinId="3"/>
    <cellStyle name="Comma 2" xfId="6"/>
    <cellStyle name="Currency" xfId="1" builtinId="4"/>
    <cellStyle name="Normal" xfId="0" builtinId="0"/>
    <cellStyle name="Normal 3" xfId="5"/>
    <cellStyle name="Normal 8" xfId="4"/>
    <cellStyle name="Number" xfId="10"/>
    <cellStyle name="Percent" xfId="2" builtinId="5"/>
  </cellStyles>
  <dxfs count="33">
    <dxf>
      <fill>
        <patternFill>
          <bgColor indexed="10"/>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50"/>
        </patternFill>
      </fill>
    </dxf>
    <dxf>
      <font>
        <b/>
        <i val="0"/>
      </font>
      <numFmt numFmtId="32" formatCode="_(&quot;$&quot;* #,##0_);_(&quot;$&quot;* \(#,##0\);_(&quot;$&quot;* &quot;-&quot;_);_(@_)"/>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800" b="1"/>
              <a:t>Incremental Cost Estimate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361653910126344E-2"/>
          <c:y val="0.10146067415730337"/>
          <c:w val="0.60375524378270273"/>
          <c:h val="0.85509687693532688"/>
        </c:manualLayout>
      </c:layout>
      <c:lineChart>
        <c:grouping val="standard"/>
        <c:varyColors val="0"/>
        <c:ser>
          <c:idx val="0"/>
          <c:order val="0"/>
          <c:tx>
            <c:v>Estimated 2% Rate Increase</c:v>
          </c:tx>
          <c:spPr>
            <a:ln w="28575" cap="rnd">
              <a:solidFill>
                <a:schemeClr val="accent1"/>
              </a:solidFill>
              <a:round/>
            </a:ln>
            <a:effectLst/>
          </c:spPr>
          <c:marker>
            <c:symbol val="none"/>
          </c:marker>
          <c:cat>
            <c:numRef>
              <c:f>'7. Incremental Cost'!$E$3:$H$3</c:f>
              <c:numCache>
                <c:formatCode>General</c:formatCode>
                <c:ptCount val="4"/>
                <c:pt idx="0">
                  <c:v>2022</c:v>
                </c:pt>
                <c:pt idx="1">
                  <c:v>2023</c:v>
                </c:pt>
                <c:pt idx="2">
                  <c:v>2024</c:v>
                </c:pt>
                <c:pt idx="3">
                  <c:v>2025</c:v>
                </c:pt>
              </c:numCache>
            </c:numRef>
          </c:cat>
          <c:val>
            <c:numRef>
              <c:f>'7. Incremental Cost'!$E$10:$H$10</c:f>
              <c:numCache>
                <c:formatCode>_(* #,##0_);_(* \(#,##0\);_(* "-"??_);_(@_)</c:formatCode>
                <c:ptCount val="4"/>
              </c:numCache>
            </c:numRef>
          </c:val>
          <c:smooth val="0"/>
          <c:extLst>
            <c:ext xmlns:c16="http://schemas.microsoft.com/office/drawing/2014/chart" uri="{C3380CC4-5D6E-409C-BE32-E72D297353CC}">
              <c16:uniqueId val="{00000000-0EE4-444F-9E1A-8D632D700D9D}"/>
            </c:ext>
          </c:extLst>
        </c:ser>
        <c:ser>
          <c:idx val="1"/>
          <c:order val="1"/>
          <c:tx>
            <c:v>Balanced Distributed Energy Resources</c:v>
          </c:tx>
          <c:spPr>
            <a:ln w="28575" cap="rnd">
              <a:solidFill>
                <a:schemeClr val="accent2"/>
              </a:solidFill>
              <a:round/>
            </a:ln>
            <a:effectLst/>
          </c:spPr>
          <c:marker>
            <c:symbol val="none"/>
          </c:marker>
          <c:cat>
            <c:numRef>
              <c:f>'7. Incremental Cost'!$E$3:$H$3</c:f>
              <c:numCache>
                <c:formatCode>General</c:formatCode>
                <c:ptCount val="4"/>
                <c:pt idx="0">
                  <c:v>2022</c:v>
                </c:pt>
                <c:pt idx="1">
                  <c:v>2023</c:v>
                </c:pt>
                <c:pt idx="2">
                  <c:v>2024</c:v>
                </c:pt>
                <c:pt idx="3">
                  <c:v>2025</c:v>
                </c:pt>
              </c:numCache>
            </c:numRef>
          </c:cat>
          <c:val>
            <c:numRef>
              <c:f>'7. Incremental Cost'!$E$57:$H$57</c:f>
              <c:numCache>
                <c:formatCode>_(* #,##0_);_(* \(#,##0\);_(* "-"??_);_(@_)</c:formatCode>
                <c:ptCount val="4"/>
              </c:numCache>
            </c:numRef>
          </c:val>
          <c:smooth val="0"/>
          <c:extLst>
            <c:ext xmlns:c16="http://schemas.microsoft.com/office/drawing/2014/chart" uri="{C3380CC4-5D6E-409C-BE32-E72D297353CC}">
              <c16:uniqueId val="{00000001-0EE4-444F-9E1A-8D632D700D9D}"/>
            </c:ext>
          </c:extLst>
        </c:ser>
        <c:ser>
          <c:idx val="2"/>
          <c:order val="2"/>
          <c:tx>
            <c:v>Maximum Customer Benefit Distributed Energy Resources</c:v>
          </c:tx>
          <c:spPr>
            <a:ln w="28575" cap="rnd">
              <a:solidFill>
                <a:schemeClr val="accent3"/>
              </a:solidFill>
              <a:round/>
            </a:ln>
            <a:effectLst/>
          </c:spPr>
          <c:marker>
            <c:symbol val="none"/>
          </c:marker>
          <c:cat>
            <c:numRef>
              <c:f>'7. Incremental Cost'!$E$3:$H$3</c:f>
              <c:numCache>
                <c:formatCode>General</c:formatCode>
                <c:ptCount val="4"/>
                <c:pt idx="0">
                  <c:v>2022</c:v>
                </c:pt>
                <c:pt idx="1">
                  <c:v>2023</c:v>
                </c:pt>
                <c:pt idx="2">
                  <c:v>2024</c:v>
                </c:pt>
                <c:pt idx="3">
                  <c:v>2025</c:v>
                </c:pt>
              </c:numCache>
            </c:numRef>
          </c:cat>
          <c:val>
            <c:numRef>
              <c:f>'7. Incremental Cost'!$E$86:$H$86</c:f>
              <c:numCache>
                <c:formatCode>_(* #,##0_);_(* \(#,##0\);_(* "-"??_);_(@_)</c:formatCode>
                <c:ptCount val="4"/>
              </c:numCache>
            </c:numRef>
          </c:val>
          <c:smooth val="0"/>
          <c:extLst>
            <c:ext xmlns:c16="http://schemas.microsoft.com/office/drawing/2014/chart" uri="{C3380CC4-5D6E-409C-BE32-E72D297353CC}">
              <c16:uniqueId val="{00000002-0EE4-444F-9E1A-8D632D700D9D}"/>
            </c:ext>
          </c:extLst>
        </c:ser>
        <c:ser>
          <c:idx val="3"/>
          <c:order val="3"/>
          <c:tx>
            <c:v>Lowest Cost Distributed Energy Resources</c:v>
          </c:tx>
          <c:spPr>
            <a:ln w="28575" cap="rnd">
              <a:solidFill>
                <a:schemeClr val="accent4"/>
              </a:solidFill>
              <a:round/>
            </a:ln>
            <a:effectLst/>
          </c:spPr>
          <c:marker>
            <c:symbol val="none"/>
          </c:marker>
          <c:cat>
            <c:numRef>
              <c:f>'7. Incremental Cost'!$E$3:$H$3</c:f>
              <c:numCache>
                <c:formatCode>General</c:formatCode>
                <c:ptCount val="4"/>
                <c:pt idx="0">
                  <c:v>2022</c:v>
                </c:pt>
                <c:pt idx="1">
                  <c:v>2023</c:v>
                </c:pt>
                <c:pt idx="2">
                  <c:v>2024</c:v>
                </c:pt>
                <c:pt idx="3">
                  <c:v>2025</c:v>
                </c:pt>
              </c:numCache>
            </c:numRef>
          </c:cat>
          <c:val>
            <c:numRef>
              <c:f>'7. Incremental Cost'!$E$23:$H$23</c:f>
              <c:numCache>
                <c:formatCode>_("$"* #,##0_);_("$"* \(#,##0\);_("$"* "-"??_);_(@_)</c:formatCode>
                <c:ptCount val="4"/>
                <c:pt idx="0" formatCode="_(&quot;$&quot;* #,##0.00_);_(&quot;$&quot;* \(#,##0.00\);_(&quot;$&quot;* &quot;-&quot;??_);_(@_)">
                  <c:v>45316.501089324178</c:v>
                </c:pt>
                <c:pt idx="1">
                  <c:v>72181.751779416561</c:v>
                </c:pt>
                <c:pt idx="2">
                  <c:v>142610.94723865483</c:v>
                </c:pt>
                <c:pt idx="3">
                  <c:v>190198.16039770236</c:v>
                </c:pt>
              </c:numCache>
            </c:numRef>
          </c:val>
          <c:smooth val="0"/>
          <c:extLst>
            <c:ext xmlns:c16="http://schemas.microsoft.com/office/drawing/2014/chart" uri="{C3380CC4-5D6E-409C-BE32-E72D297353CC}">
              <c16:uniqueId val="{00000003-0EE4-444F-9E1A-8D632D700D9D}"/>
            </c:ext>
          </c:extLst>
        </c:ser>
        <c:dLbls>
          <c:showLegendKey val="0"/>
          <c:showVal val="0"/>
          <c:showCatName val="0"/>
          <c:showSerName val="0"/>
          <c:showPercent val="0"/>
          <c:showBubbleSize val="0"/>
        </c:dLbls>
        <c:smooth val="0"/>
        <c:axId val="1329977488"/>
        <c:axId val="1329977160"/>
      </c:lineChart>
      <c:catAx>
        <c:axId val="132997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160"/>
        <c:crosses val="autoZero"/>
        <c:auto val="1"/>
        <c:lblAlgn val="ctr"/>
        <c:lblOffset val="100"/>
        <c:noMultiLvlLbl val="0"/>
      </c:catAx>
      <c:valAx>
        <c:axId val="1329977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t>Annual</a:t>
                </a:r>
                <a:r>
                  <a:rPr lang="en-US" sz="1400" b="1" baseline="0"/>
                  <a:t> Incremental Cost ($000)</a:t>
                </a:r>
                <a:endParaRPr lang="en-US" sz="1400" b="1"/>
              </a:p>
            </c:rich>
          </c:tx>
          <c:layout>
            <c:manualLayout>
              <c:xMode val="edge"/>
              <c:yMode val="edge"/>
              <c:x val="9.2439103466524803E-3"/>
              <c:y val="0.301620933746918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488"/>
        <c:crosses val="autoZero"/>
        <c:crossBetween val="between"/>
      </c:valAx>
      <c:spPr>
        <a:noFill/>
        <a:ln>
          <a:noFill/>
        </a:ln>
        <a:effectLst/>
      </c:spPr>
    </c:plotArea>
    <c:legend>
      <c:legendPos val="r"/>
      <c:layout>
        <c:manualLayout>
          <c:xMode val="edge"/>
          <c:yMode val="edge"/>
          <c:x val="0.74628956771969768"/>
          <c:y val="0.33947064201244509"/>
          <c:w val="0.23463412705941877"/>
          <c:h val="0.30641452121855556"/>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800" b="1"/>
              <a:t>Aggregate Incremental Cost Estimate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361653910126344E-2"/>
          <c:y val="0.10146067415730337"/>
          <c:w val="0.60375524378270273"/>
          <c:h val="0.85509687693532688"/>
        </c:manualLayout>
      </c:layout>
      <c:lineChart>
        <c:grouping val="standard"/>
        <c:varyColors val="0"/>
        <c:ser>
          <c:idx val="0"/>
          <c:order val="0"/>
          <c:tx>
            <c:v>Aggregate 2%</c:v>
          </c:tx>
          <c:spPr>
            <a:ln w="28575" cap="rnd">
              <a:solidFill>
                <a:schemeClr val="accent1"/>
              </a:solidFill>
              <a:round/>
            </a:ln>
            <a:effectLst/>
          </c:spPr>
          <c:marker>
            <c:symbol val="none"/>
          </c:marker>
          <c:cat>
            <c:numRef>
              <c:f>'7. Incremental Cost'!$E$3:$H$3</c:f>
              <c:numCache>
                <c:formatCode>General</c:formatCode>
                <c:ptCount val="4"/>
                <c:pt idx="0">
                  <c:v>2022</c:v>
                </c:pt>
                <c:pt idx="1">
                  <c:v>2023</c:v>
                </c:pt>
                <c:pt idx="2">
                  <c:v>2024</c:v>
                </c:pt>
                <c:pt idx="3">
                  <c:v>2025</c:v>
                </c:pt>
              </c:numCache>
            </c:numRef>
          </c:cat>
          <c:val>
            <c:numRef>
              <c:f>'2% Inc Cost Sum Charts'!$B$14:$J$14</c:f>
              <c:numCache>
                <c:formatCode>"$"#,##0_);[Red]\("$"#,##0\)</c:formatCode>
                <c:ptCount val="9"/>
                <c:pt idx="0">
                  <c:v>40761.000476842033</c:v>
                </c:pt>
                <c:pt idx="1">
                  <c:v>124117.24645198399</c:v>
                </c:pt>
                <c:pt idx="2">
                  <c:v>251965.14347261091</c:v>
                </c:pt>
                <c:pt idx="3">
                  <c:v>426265.13771278207</c:v>
                </c:pt>
              </c:numCache>
            </c:numRef>
          </c:val>
          <c:smooth val="0"/>
          <c:extLst>
            <c:ext xmlns:c16="http://schemas.microsoft.com/office/drawing/2014/chart" uri="{C3380CC4-5D6E-409C-BE32-E72D297353CC}">
              <c16:uniqueId val="{00000000-2D1E-4CD5-991B-6E731D4AD2D0}"/>
            </c:ext>
          </c:extLst>
        </c:ser>
        <c:ser>
          <c:idx val="1"/>
          <c:order val="1"/>
          <c:tx>
            <c:v>Portfolio Aggregate</c:v>
          </c:tx>
          <c:spPr>
            <a:ln w="28575" cap="rnd">
              <a:solidFill>
                <a:schemeClr val="accent2"/>
              </a:solidFill>
              <a:round/>
            </a:ln>
            <a:effectLst/>
          </c:spPr>
          <c:marker>
            <c:symbol val="none"/>
          </c:marker>
          <c:cat>
            <c:numRef>
              <c:f>'7. Incremental Cost'!$E$3:$H$3</c:f>
              <c:numCache>
                <c:formatCode>General</c:formatCode>
                <c:ptCount val="4"/>
                <c:pt idx="0">
                  <c:v>2022</c:v>
                </c:pt>
                <c:pt idx="1">
                  <c:v>2023</c:v>
                </c:pt>
                <c:pt idx="2">
                  <c:v>2024</c:v>
                </c:pt>
                <c:pt idx="3">
                  <c:v>2025</c:v>
                </c:pt>
              </c:numCache>
              <c:extLst xmlns:c15="http://schemas.microsoft.com/office/drawing/2012/chart"/>
            </c:numRef>
          </c:cat>
          <c:val>
            <c:numRef>
              <c:f>'2% Inc Cost Sum Charts'!$B$16:$J$16</c:f>
              <c:numCache>
                <c:formatCode>"$"#,##0_);[Red]\("$"#,##0\)</c:formatCode>
                <c:ptCount val="9"/>
                <c:pt idx="0">
                  <c:v>45316.501089324178</c:v>
                </c:pt>
                <c:pt idx="1">
                  <c:v>117498.25286874073</c:v>
                </c:pt>
                <c:pt idx="2">
                  <c:v>260109.20010739556</c:v>
                </c:pt>
                <c:pt idx="3">
                  <c:v>450307.36050509789</c:v>
                </c:pt>
              </c:numCache>
            </c:numRef>
          </c:val>
          <c:smooth val="0"/>
          <c:extLst xmlns:c15="http://schemas.microsoft.com/office/drawing/2012/chart">
            <c:ext xmlns:c16="http://schemas.microsoft.com/office/drawing/2014/chart" uri="{C3380CC4-5D6E-409C-BE32-E72D297353CC}">
              <c16:uniqueId val="{0000000A-2D1E-4CD5-991B-6E731D4AD2D0}"/>
            </c:ext>
          </c:extLst>
        </c:ser>
        <c:dLbls>
          <c:showLegendKey val="0"/>
          <c:showVal val="0"/>
          <c:showCatName val="0"/>
          <c:showSerName val="0"/>
          <c:showPercent val="0"/>
          <c:showBubbleSize val="0"/>
        </c:dLbls>
        <c:smooth val="0"/>
        <c:axId val="1329977488"/>
        <c:axId val="1329977160"/>
        <c:extLst/>
      </c:lineChart>
      <c:catAx>
        <c:axId val="132997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160"/>
        <c:crossesAt val="0"/>
        <c:auto val="1"/>
        <c:lblAlgn val="ctr"/>
        <c:lblOffset val="100"/>
        <c:noMultiLvlLbl val="0"/>
      </c:catAx>
      <c:valAx>
        <c:axId val="132997716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t>Annual</a:t>
                </a:r>
                <a:r>
                  <a:rPr lang="en-US" sz="1400" b="1" baseline="0"/>
                  <a:t> Incremental Cost ($000)</a:t>
                </a:r>
                <a:endParaRPr lang="en-US" sz="1400" b="1"/>
              </a:p>
            </c:rich>
          </c:tx>
          <c:layout>
            <c:manualLayout>
              <c:xMode val="edge"/>
              <c:yMode val="edge"/>
              <c:x val="9.2439103466524803E-3"/>
              <c:y val="0.301620933746918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488"/>
        <c:crosses val="autoZero"/>
        <c:crossBetween val="between"/>
      </c:valAx>
      <c:spPr>
        <a:noFill/>
        <a:ln>
          <a:noFill/>
        </a:ln>
        <a:effectLst/>
      </c:spPr>
    </c:plotArea>
    <c:legend>
      <c:legendPos val="r"/>
      <c:layout>
        <c:manualLayout>
          <c:xMode val="edge"/>
          <c:yMode val="edge"/>
          <c:x val="0.73729851932722201"/>
          <c:y val="0.40905655281835757"/>
          <c:w val="0.10675010317745914"/>
          <c:h val="0.41171818956714007"/>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800" b="1"/>
              <a:t>Incremental Cost Estimate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361653910126344E-2"/>
          <c:y val="0.10146067415730337"/>
          <c:w val="0.60375524378270273"/>
          <c:h val="0.85509687693532688"/>
        </c:manualLayout>
      </c:layout>
      <c:lineChart>
        <c:grouping val="standard"/>
        <c:varyColors val="0"/>
        <c:ser>
          <c:idx val="0"/>
          <c:order val="0"/>
          <c:tx>
            <c:v>Estimated 2% Rate Increase</c:v>
          </c:tx>
          <c:spPr>
            <a:ln w="28575" cap="rnd">
              <a:solidFill>
                <a:schemeClr val="accent1"/>
              </a:solidFill>
              <a:round/>
            </a:ln>
            <a:effectLst/>
          </c:spPr>
          <c:marker>
            <c:symbol val="none"/>
          </c:marker>
          <c:cat>
            <c:numRef>
              <c:f>'7. Incremental Cost'!$E$3:$H$3</c:f>
              <c:numCache>
                <c:formatCode>General</c:formatCode>
                <c:ptCount val="4"/>
                <c:pt idx="0">
                  <c:v>2022</c:v>
                </c:pt>
                <c:pt idx="1">
                  <c:v>2023</c:v>
                </c:pt>
                <c:pt idx="2">
                  <c:v>2024</c:v>
                </c:pt>
                <c:pt idx="3">
                  <c:v>2025</c:v>
                </c:pt>
              </c:numCache>
            </c:numRef>
          </c:cat>
          <c:val>
            <c:numRef>
              <c:f>'7. Incremental Cost'!$E$8:$H$8</c:f>
              <c:numCache>
                <c:formatCode>_("$"* #,##0_);_("$"* \(#,##0\);_("$"* "-"??_);_(@_)</c:formatCode>
                <c:ptCount val="4"/>
                <c:pt idx="0">
                  <c:v>40761.000476842033</c:v>
                </c:pt>
                <c:pt idx="1">
                  <c:v>83356.245975141952</c:v>
                </c:pt>
                <c:pt idx="2">
                  <c:v>127847.89702062693</c:v>
                </c:pt>
                <c:pt idx="3">
                  <c:v>174299.99424017116</c:v>
                </c:pt>
              </c:numCache>
            </c:numRef>
          </c:val>
          <c:smooth val="0"/>
          <c:extLst>
            <c:ext xmlns:c16="http://schemas.microsoft.com/office/drawing/2014/chart" uri="{C3380CC4-5D6E-409C-BE32-E72D297353CC}">
              <c16:uniqueId val="{00000000-C2CD-44D3-B130-45AA13A6579D}"/>
            </c:ext>
          </c:extLst>
        </c:ser>
        <c:ser>
          <c:idx val="1"/>
          <c:order val="1"/>
          <c:tx>
            <c:strRef>
              <c:f>'7. Incremental Cost'!$A$1</c:f>
              <c:strCache>
                <c:ptCount val="1"/>
                <c:pt idx="0">
                  <c:v>CEIP - Suite 6 Incremental Cost</c:v>
                </c:pt>
              </c:strCache>
              <c:extLst xmlns:c15="http://schemas.microsoft.com/office/drawing/2012/chart"/>
            </c:strRef>
          </c:tx>
          <c:spPr>
            <a:ln w="28575" cap="rnd">
              <a:solidFill>
                <a:schemeClr val="accent2"/>
              </a:solidFill>
              <a:round/>
            </a:ln>
            <a:effectLst/>
          </c:spPr>
          <c:marker>
            <c:symbol val="none"/>
          </c:marker>
          <c:cat>
            <c:numRef>
              <c:f>'7. Incremental Cost'!$E$3:$H$3</c:f>
              <c:numCache>
                <c:formatCode>General</c:formatCode>
                <c:ptCount val="4"/>
                <c:pt idx="0">
                  <c:v>2022</c:v>
                </c:pt>
                <c:pt idx="1">
                  <c:v>2023</c:v>
                </c:pt>
                <c:pt idx="2">
                  <c:v>2024</c:v>
                </c:pt>
                <c:pt idx="3">
                  <c:v>2025</c:v>
                </c:pt>
              </c:numCache>
              <c:extLst xmlns:c15="http://schemas.microsoft.com/office/drawing/2012/chart"/>
            </c:numRef>
          </c:cat>
          <c:val>
            <c:numRef>
              <c:f>'7. Incremental Cost'!$E$23:$H$23</c:f>
              <c:numCache>
                <c:formatCode>_("$"* #,##0_);_("$"* \(#,##0\);_("$"* "-"??_);_(@_)</c:formatCode>
                <c:ptCount val="4"/>
                <c:pt idx="0" formatCode="_(&quot;$&quot;* #,##0.00_);_(&quot;$&quot;* \(#,##0.00\);_(&quot;$&quot;* &quot;-&quot;??_);_(@_)">
                  <c:v>45316.501089324178</c:v>
                </c:pt>
                <c:pt idx="1">
                  <c:v>72181.751779416561</c:v>
                </c:pt>
                <c:pt idx="2">
                  <c:v>142610.94723865483</c:v>
                </c:pt>
                <c:pt idx="3">
                  <c:v>190198.16039770236</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1-C2CD-44D3-B130-45AA13A6579D}"/>
            </c:ext>
          </c:extLst>
        </c:ser>
        <c:dLbls>
          <c:showLegendKey val="0"/>
          <c:showVal val="0"/>
          <c:showCatName val="0"/>
          <c:showSerName val="0"/>
          <c:showPercent val="0"/>
          <c:showBubbleSize val="0"/>
        </c:dLbls>
        <c:smooth val="0"/>
        <c:axId val="1329977488"/>
        <c:axId val="1329977160"/>
        <c:extLst/>
      </c:lineChart>
      <c:catAx>
        <c:axId val="132997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160"/>
        <c:crosses val="autoZero"/>
        <c:auto val="1"/>
        <c:lblAlgn val="ctr"/>
        <c:lblOffset val="100"/>
        <c:noMultiLvlLbl val="0"/>
      </c:catAx>
      <c:valAx>
        <c:axId val="1329977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t>Annual</a:t>
                </a:r>
                <a:r>
                  <a:rPr lang="en-US" sz="1400" b="1" baseline="0"/>
                  <a:t> Incremental Cost ($000)</a:t>
                </a:r>
                <a:endParaRPr lang="en-US" sz="1400" b="1"/>
              </a:p>
            </c:rich>
          </c:tx>
          <c:layout>
            <c:manualLayout>
              <c:xMode val="edge"/>
              <c:yMode val="edge"/>
              <c:x val="9.2439103466524803E-3"/>
              <c:y val="0.301620933746918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488"/>
        <c:crosses val="autoZero"/>
        <c:crossBetween val="between"/>
      </c:valAx>
      <c:spPr>
        <a:noFill/>
        <a:ln>
          <a:noFill/>
        </a:ln>
        <a:effectLst/>
      </c:spPr>
    </c:plotArea>
    <c:legend>
      <c:legendPos val="r"/>
      <c:layout>
        <c:manualLayout>
          <c:xMode val="edge"/>
          <c:yMode val="edge"/>
          <c:x val="0.74246242606770929"/>
          <c:y val="0.39498751680430189"/>
          <c:w val="0.23428210577660094"/>
          <c:h val="0.18093928719436383"/>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889001</xdr:colOff>
      <xdr:row>95</xdr:row>
      <xdr:rowOff>155575</xdr:rowOff>
    </xdr:from>
    <xdr:to>
      <xdr:col>8</xdr:col>
      <xdr:colOff>946150</xdr:colOff>
      <xdr:row>131</xdr:row>
      <xdr:rowOff>85725</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51</xdr:row>
      <xdr:rowOff>0</xdr:rowOff>
    </xdr:from>
    <xdr:to>
      <xdr:col>12</xdr:col>
      <xdr:colOff>57150</xdr:colOff>
      <xdr:row>82</xdr:row>
      <xdr:rowOff>19050</xdr:rowOff>
    </xdr:to>
    <xdr:graphicFrame macro="">
      <xdr:nvGraphicFramePr>
        <xdr:cNvPr id="3" name="Chart 2">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88900</xdr:colOff>
      <xdr:row>17</xdr:row>
      <xdr:rowOff>25400</xdr:rowOff>
    </xdr:from>
    <xdr:to>
      <xdr:col>9</xdr:col>
      <xdr:colOff>793750</xdr:colOff>
      <xdr:row>43</xdr:row>
      <xdr:rowOff>63500</xdr:rowOff>
    </xdr:to>
    <xdr:graphicFrame macro="">
      <xdr:nvGraphicFramePr>
        <xdr:cNvPr id="4" name="Chart 3">
          <a:extLst>
            <a:ext uri="{FF2B5EF4-FFF2-40B4-BE49-F238E27FC236}">
              <a16:creationId xmlns:a16="http://schemas.microsoft.com/office/drawing/2014/main" id="{00000000-0008-0000-1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CEIP/W2%20Outp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am/Users/jdoole/Downloads/PSE%20Resources_Aurora%20Inputs_2021%20IRP_01242021_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eam/Documents%20and%20Settings/nsarru/My%20Documents/PriceEstFor2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eam/2019%20IRP/Aurora/LTCE/2019%20IRP%20Final%20Portfolio/2019%20IRP%20Base%20Offshore%20Test/old%20Files/PSM%20III%2025.8_2018%20RFP_Base%20No%20CO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eam/2011IRP%20-%20Post%20Analysis/Aurora/Model%20Runs/RFP%20Phase%20II/Rev12_Base_Oct2011Gasprice/XMP_DB_2010-02_2011RFP_PhaseII_Oct2011GasPrice_111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Summary=&gt;"/>
      <sheetName val="Evaluation Summary"/>
      <sheetName val="Resource Additions Table"/>
      <sheetName val="Metrics"/>
      <sheetName val="Yearly Breakdown Tables"/>
      <sheetName val="LTCE Summary_Capacity"/>
      <sheetName val="LTCE Summary_Unit"/>
      <sheetName val="Alternative Compliance"/>
      <sheetName val="Charts for Slides=&gt;"/>
      <sheetName val="Energy by Resource Type Aggv2"/>
      <sheetName val="Energy by Resource Type Aggr"/>
      <sheetName val="ExistingEnergy_No Generics"/>
      <sheetName val="Peak Capacity Need"/>
      <sheetName val="CETA Need Chart_MWh Agg"/>
      <sheetName val="Emissions Chart by Resource"/>
      <sheetName val="Existing GFG CF"/>
      <sheetName val="Data Check=&gt;"/>
      <sheetName val="Planning Margin"/>
      <sheetName val="Constraint Check"/>
      <sheetName val="DSM"/>
      <sheetName val="LTCE New Build_Units Data"/>
      <sheetName val="LTCE New Build_Capacity Data"/>
      <sheetName val="LTCE Nameplate_for Cummulative"/>
      <sheetName val="Emissions=&gt;"/>
      <sheetName val="Emissions Costs_Calc"/>
      <sheetName val="Emissions Amount"/>
      <sheetName val="Emissions Amount_no Upstream"/>
      <sheetName val="Emissions Costs_Aurora"/>
      <sheetName val="Tables=&gt;"/>
      <sheetName val="Assumptions"/>
      <sheetName val="CETA Analysis"/>
      <sheetName val="Load Check"/>
      <sheetName val="Energy Summary"/>
      <sheetName val="Costs Summary"/>
      <sheetName val="GFG Capacity Factor"/>
      <sheetName val="GFG Detail"/>
      <sheetName val="Resource Peak Capacity"/>
      <sheetName val="NG Plants"/>
      <sheetName val="Aurora Output=&gt;"/>
      <sheetName val="Energy"/>
      <sheetName val="Costs"/>
      <sheetName val="$ per MWh"/>
      <sheetName val="Emissions"/>
      <sheetName val="AllEmissions"/>
      <sheetName val="Emissions_Costs"/>
      <sheetName val="Capacity Factor"/>
      <sheetName val="Aurora Peak Capacity"/>
      <sheetName val="Portfolio Summary"/>
      <sheetName val="Mapping"/>
      <sheetName val="Other Charts Not used=&gt;"/>
      <sheetName val="Existing GFG CF (2)"/>
      <sheetName val="Energy by Resource Type"/>
      <sheetName val="Energy by Resource Type No Sale"/>
      <sheetName val="Cummulative Build Capacity"/>
      <sheetName val="New Build Capacity"/>
      <sheetName val="New Build Count"/>
      <sheetName val="Existing Resources"/>
      <sheetName val="Peak Cap by resource"/>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7">
          <cell r="B7">
            <v>43830</v>
          </cell>
        </row>
        <row r="18">
          <cell r="E18">
            <v>6.9699999999999998E-2</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Jennifer"/>
      <sheetName val="Change_Log"/>
      <sheetName val="To do"/>
      <sheetName val="Aurora_TSAnnual"/>
      <sheetName val="Existing Contracts"/>
      <sheetName val="To Aurora _Ancillary Services"/>
      <sheetName val="To Aurora_Resources"/>
      <sheetName val="Existing Thermal_21IRP"/>
      <sheetName val="21IRP Reliable Capacity"/>
      <sheetName val="Reliable Capacity"/>
      <sheetName val="New ELCC Sheet"/>
      <sheetName val="Aurora_New Resources"/>
      <sheetName val="Aurora_Portfolio Resources"/>
      <sheetName val="Aurora_Portfolio Contracts"/>
      <sheetName val="To Aurora_Fuel"/>
      <sheetName val="CETA"/>
      <sheetName val="To Aurora_TS Monthly"/>
      <sheetName val="To Aurora_TS Weekly"/>
      <sheetName val="To Aurora_DemandMo"/>
      <sheetName val="To Aurora_Storage"/>
      <sheetName val="To Aurora_Esc Demand"/>
      <sheetName val="To Aurora_General Info"/>
      <sheetName val="To Aurora_Hydro Vectors"/>
      <sheetName val="To Aurora_Emission Rate"/>
      <sheetName val="To Aurora_Constraint"/>
      <sheetName val="Ancillary Services"/>
      <sheetName val="Generic Fuel Adder"/>
      <sheetName val="Existing Thermal"/>
      <sheetName val="Existing Gas Transport &amp; TX"/>
      <sheetName val="Existing Fixed O&amp;M"/>
      <sheetName val="Colstrip Dispatch Costs"/>
      <sheetName val="Chart - Cost curve"/>
      <sheetName val="Thermal Options"/>
      <sheetName val="Energy Storage Summary"/>
      <sheetName val="Renewable Resource Summary"/>
      <sheetName val="Combo Resource Summary"/>
      <sheetName val="CC_HR"/>
      <sheetName val="P_HR"/>
      <sheetName val="Saturation Curves"/>
      <sheetName val="Aero Peaker"/>
      <sheetName val="Gas Transport Costs"/>
      <sheetName val="PTC"/>
      <sheetName val="Cost curves"/>
      <sheetName val="Assumptions"/>
      <sheetName val="CCCT"/>
      <sheetName val="Frame Peaker"/>
      <sheetName val="Recip Peaker"/>
      <sheetName val="WA Wind"/>
      <sheetName val="WA Wind + 2 Hr Li-Ion"/>
      <sheetName val="MT Wind + PHES"/>
      <sheetName val="ID Wind"/>
      <sheetName val="WY West Wind"/>
      <sheetName val="WY East Wind"/>
      <sheetName val="MT Wind"/>
      <sheetName val="Offshore Wind"/>
      <sheetName val="Solar with ITC Levelized Costs"/>
      <sheetName val="Solar + Battery w ITC Lev Costs"/>
      <sheetName val="Solar_No ITC"/>
      <sheetName val="ID Solar ITC 2020-2023 30%"/>
      <sheetName val="AntiWY Solar ITC 2020-2023 30%"/>
      <sheetName val="WWY Solar ITC 2020-2023 30%"/>
      <sheetName val="Solar ITC 2020-2023 30%"/>
      <sheetName val="ID Solar ITC 2024 26%"/>
      <sheetName val="AntiWY Solar ITC 2024 26%"/>
      <sheetName val="WWY Solar ITC 2024 26%"/>
      <sheetName val="Solar ITC 2024 26%"/>
      <sheetName val="ID Solar ITC 2025 22%"/>
      <sheetName val="AntiWY Solar ITC 2025 22%"/>
      <sheetName val="WWY Solar ITC 2025 22%"/>
      <sheetName val="Solar ITC 2025 22%"/>
      <sheetName val="ID Solar ITC  &gt;2025 10%"/>
      <sheetName val="AntiWY Solar ITC  &gt;2025 10%"/>
      <sheetName val="WWY Solar ITC  &gt;2025 10%"/>
      <sheetName val="Solar ITC  &gt;2025 10%"/>
      <sheetName val="Ground DER Solar, ITC 10%"/>
      <sheetName val="Roof DER Solar, ITC 10%"/>
      <sheetName val="Battery ITC 2020-2023 30%"/>
      <sheetName val="Battery ITC 2024 24%"/>
      <sheetName val="Battery ITC 2025 19%"/>
      <sheetName val="Battery ITC  &gt;2025 10%"/>
      <sheetName val="Biomass"/>
      <sheetName val="2hr Li-Ion Battery"/>
      <sheetName val="4hr Li-Ion Battery"/>
      <sheetName val="4hr Flow Battery"/>
      <sheetName val="6hr Flow Battery"/>
      <sheetName val="Pumped Storage Hydro"/>
      <sheetName val="Test Calc"/>
      <sheetName val="Transmission"/>
      <sheetName val="TX Updates"/>
      <sheetName val="DSM"/>
      <sheetName val="Electron"/>
      <sheetName val="Oil Backup"/>
      <sheetName val="Decomissioning Costs"/>
      <sheetName val="Demand Response"/>
      <sheetName val="Mid C Capacity"/>
      <sheetName val="Mid-C Hydro Monthly"/>
      <sheetName val="Wells Extension"/>
      <sheetName val="Market emissions rate"/>
      <sheetName val="Flex cost savings"/>
      <sheetName val="SCC Adder_Base no CETA"/>
      <sheetName val="SCC Adder_Base"/>
      <sheetName val="SCC"/>
      <sheetName val="DER Potential"/>
      <sheetName val="Sheet2"/>
    </sheetNames>
    <sheetDataSet>
      <sheetData sheetId="0"/>
      <sheetData sheetId="1"/>
      <sheetData sheetId="2"/>
      <sheetData sheetId="3"/>
      <sheetData sheetId="4"/>
      <sheetData sheetId="5"/>
      <sheetData sheetId="6"/>
      <sheetData sheetId="7"/>
      <sheetData sheetId="8"/>
      <sheetData sheetId="9"/>
      <sheetData sheetId="10"/>
      <sheetData sheetId="11">
        <row r="2">
          <cell r="C2">
            <v>2012</v>
          </cell>
        </row>
        <row r="4">
          <cell r="C4">
            <v>2.5000000000000001E-2</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ow r="2">
          <cell r="H2">
            <v>2020</v>
          </cell>
        </row>
      </sheetData>
      <sheetData sheetId="33"/>
      <sheetData sheetId="34"/>
      <sheetData sheetId="35"/>
      <sheetData sheetId="36"/>
      <sheetData sheetId="37"/>
      <sheetData sheetId="38"/>
      <sheetData sheetId="39"/>
      <sheetData sheetId="40"/>
      <sheetData sheetId="41"/>
      <sheetData sheetId="42"/>
      <sheetData sheetId="43">
        <row r="10">
          <cell r="B10">
            <v>1.1429999999999999E-2</v>
          </cell>
        </row>
        <row r="11">
          <cell r="B11">
            <v>0.39771400000000001</v>
          </cell>
        </row>
        <row r="12">
          <cell r="B12">
            <v>4.7899999999999999E-4</v>
          </cell>
        </row>
        <row r="13">
          <cell r="B13">
            <v>0.79</v>
          </cell>
        </row>
        <row r="15">
          <cell r="B15">
            <v>0.21</v>
          </cell>
        </row>
        <row r="17">
          <cell r="B17">
            <v>5.1469999999999999E-4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a_Kulshan"/>
      <sheetName val="March Point1"/>
      <sheetName val="March Point2"/>
      <sheetName val="GDP Forecast"/>
    </sheetNames>
    <sheetDataSet>
      <sheetData sheetId="0" refreshError="1"/>
      <sheetData sheetId="1" refreshError="1"/>
      <sheetData sheetId="2" refreshError="1">
        <row r="4">
          <cell r="E4">
            <v>8</v>
          </cell>
        </row>
        <row r="9">
          <cell r="M9">
            <v>86.7</v>
          </cell>
        </row>
        <row r="10">
          <cell r="M10">
            <v>80.959999999999994</v>
          </cell>
        </row>
        <row r="11">
          <cell r="M11">
            <v>80.709999999999994</v>
          </cell>
        </row>
      </sheetData>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Metrics"/>
      <sheetName val="Evaluation Summary"/>
      <sheetName val="Comments"/>
      <sheetName val="LPProblem"/>
      <sheetName val="Peak Capacity Need"/>
      <sheetName val="Assumptions"/>
      <sheetName val="Aurora_LTBuildReport"/>
      <sheetName val="AuroraEnergyAll"/>
      <sheetName val="AuroraCostAll"/>
      <sheetName val="AuroraRevenueAll"/>
      <sheetName val="AuroraCO2EmissionsAll"/>
      <sheetName val="Peak Inputs"/>
      <sheetName val="CO2_Emissions"/>
      <sheetName val="Load_Market_DSM"/>
      <sheetName val="REC Credit"/>
      <sheetName val="Thermal Acq Inputs"/>
      <sheetName val="Renewable Acq Inputs"/>
      <sheetName val="Renewable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Biomass"/>
      <sheetName val="Batteries_1"/>
      <sheetName val="Batteries_1 (2)"/>
      <sheetName val="Batteries_2"/>
      <sheetName val="Batteries_3"/>
      <sheetName val="Batteries_3 (2)"/>
      <sheetName val="Batteries_4"/>
      <sheetName val="Pumped Storage"/>
      <sheetName val="Wind"/>
      <sheetName val="MT Wind"/>
      <sheetName val="Solar"/>
      <sheetName val="Solar (2)"/>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Battery_2 Replacement Rev Req"/>
      <sheetName val="Battery_3 Replacement Rev Req"/>
      <sheetName val="Battery_4 Replacement Rev Req"/>
      <sheetName val="PSH Replacement Rev Req"/>
      <sheetName val="WACC"/>
      <sheetName val="Colstrip Inputs"/>
      <sheetName val="Colstrip 1&amp;2"/>
      <sheetName val="Colstrip 3&amp;4"/>
      <sheetName val="Colstrip 3&amp;4 Add'l Share"/>
      <sheetName val="Colstrip Transmission"/>
    </sheetNames>
    <sheetDataSet>
      <sheetData sheetId="0" refreshError="1"/>
      <sheetData sheetId="1" refreshError="1"/>
      <sheetData sheetId="2" refreshError="1"/>
      <sheetData sheetId="3" refreshError="1"/>
      <sheetData sheetId="4">
        <row r="32">
          <cell r="AA32">
            <v>685.00945895990515</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RORA_Input_Databases_Follow"/>
      <sheetName val="Annual_Vectors_11GRC_060111"/>
      <sheetName val="Mo_Vectors_11GRC_060111"/>
      <sheetName val="Weekly_Vectors_11GRC_060111"/>
      <sheetName val="Gas_Price_Data_Follow"/>
      <sheetName val="Gas Price Nominal Input"/>
      <sheetName val="Stanfield_Convert_Real"/>
      <sheetName val="Kingsgate_Convert_Real"/>
      <sheetName val="PGECityG_Convert_Real"/>
      <sheetName val="HH_Convert_Real"/>
      <sheetName val="Rockies_Convert_Real"/>
      <sheetName val="San_Juan_Convert_Real"/>
      <sheetName val="Topock_Convert_Real"/>
      <sheetName val="Klamath_Convert_Real "/>
      <sheetName val="Malin_Convert_Real"/>
      <sheetName val="AECO_Convert_Real"/>
      <sheetName val="Sumas_Convert_Real"/>
      <sheetName val="WNP3_Return_Convert_Real"/>
      <sheetName val="Encogen_Convert_Real"/>
      <sheetName val="Whitehorn_23_Convert_Real"/>
      <sheetName val="Fredonia_34_Convert_Real"/>
      <sheetName val="Fredonia_12_Convert_Real"/>
      <sheetName val="Fred_12_Convert_Real"/>
      <sheetName val="Sumas_Full_NWP_Con_Real"/>
      <sheetName val="Sumas_Cogen_Con_Real"/>
      <sheetName val="Frederickson_CC_Con_Real"/>
      <sheetName val="Mint_Farm_Con_Real "/>
      <sheetName val="Mint_Farm_ DFiring_C_Real"/>
      <sheetName val="Goldendale_Con_Real"/>
      <sheetName val="Goldendale DFiring_C_Real"/>
      <sheetName val="Sumas_Var_NWP_Con_Real"/>
      <sheetName val="Emission_Charges"/>
      <sheetName val="Coal_Price_Data"/>
      <sheetName val="Coal_Price_Data_IRP2009"/>
      <sheetName val="Contract_Data_Follow"/>
      <sheetName val="Baker_Replacement"/>
      <sheetName val="BC_Hydro_Point_Roberts"/>
      <sheetName val="CEAEA"/>
      <sheetName val="Nooksack_Hydro"/>
      <sheetName val="North_Wasco"/>
      <sheetName val="PG_E_Exchange_in"/>
      <sheetName val="PG_E_Exchange_out"/>
      <sheetName val="Qualco"/>
      <sheetName val="QF_Koma_Kulshan"/>
      <sheetName val="QF_Port_Townsend_Hydro"/>
      <sheetName val="QF_Spokane_MSW"/>
      <sheetName val="QF_Sygitowicz"/>
      <sheetName val="QF_Twin_Falls"/>
      <sheetName val="QF_Weeks_Falls"/>
      <sheetName val="Short Term Contracts"/>
      <sheetName val="Klondike III PPA"/>
      <sheetName val="WNP3_BPA_Exchange"/>
      <sheetName val="Priest_Rapids_Displacement_Prod"/>
      <sheetName val="Sch91"/>
      <sheetName val="Resource_Data_Follow"/>
      <sheetName val="Resource_Data"/>
      <sheetName val="NUG_Contract_Data"/>
      <sheetName val="Klamath"/>
      <sheetName val="WildHorse"/>
      <sheetName val="Hopkins"/>
      <sheetName val="KlondikeWind"/>
      <sheetName val="LSR1"/>
      <sheetName val="NewGenericResourceFOM"/>
      <sheetName val="RPS"/>
      <sheetName val="PTCs"/>
      <sheetName val="Regional Dema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90">
          <cell r="E90">
            <v>39814</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ow r="75">
          <cell r="E75">
            <v>39814</v>
          </cell>
          <cell r="F75">
            <v>39845</v>
          </cell>
          <cell r="G75">
            <v>39873</v>
          </cell>
          <cell r="H75">
            <v>39904</v>
          </cell>
          <cell r="I75">
            <v>39934</v>
          </cell>
          <cell r="J75">
            <v>39965</v>
          </cell>
          <cell r="K75">
            <v>39995</v>
          </cell>
          <cell r="L75">
            <v>40026</v>
          </cell>
          <cell r="M75">
            <v>40057</v>
          </cell>
          <cell r="N75">
            <v>40087</v>
          </cell>
          <cell r="O75">
            <v>40118</v>
          </cell>
          <cell r="P75">
            <v>40148</v>
          </cell>
          <cell r="Q75">
            <v>40179</v>
          </cell>
          <cell r="R75">
            <v>40210</v>
          </cell>
          <cell r="S75">
            <v>40238</v>
          </cell>
          <cell r="T75">
            <v>40269</v>
          </cell>
          <cell r="U75">
            <v>40299</v>
          </cell>
          <cell r="V75">
            <v>40330</v>
          </cell>
          <cell r="W75">
            <v>40360</v>
          </cell>
          <cell r="X75">
            <v>40391</v>
          </cell>
          <cell r="Y75">
            <v>40422</v>
          </cell>
          <cell r="Z75">
            <v>40452</v>
          </cell>
          <cell r="AA75">
            <v>40483</v>
          </cell>
          <cell r="AB75">
            <v>40513</v>
          </cell>
          <cell r="AC75">
            <v>40544</v>
          </cell>
          <cell r="AD75">
            <v>40575</v>
          </cell>
          <cell r="AE75">
            <v>40603</v>
          </cell>
          <cell r="AF75">
            <v>40634</v>
          </cell>
          <cell r="AG75">
            <v>40664</v>
          </cell>
          <cell r="AH75">
            <v>40695</v>
          </cell>
          <cell r="AI75">
            <v>40725</v>
          </cell>
          <cell r="AJ75">
            <v>40756</v>
          </cell>
          <cell r="AK75">
            <v>40787</v>
          </cell>
          <cell r="AL75">
            <v>40817</v>
          </cell>
          <cell r="AM75">
            <v>40848</v>
          </cell>
          <cell r="AN75">
            <v>40878</v>
          </cell>
          <cell r="AO75">
            <v>40909</v>
          </cell>
          <cell r="AP75">
            <v>40940</v>
          </cell>
          <cell r="AQ75">
            <v>40969</v>
          </cell>
          <cell r="AR75">
            <v>41000</v>
          </cell>
        </row>
        <row r="76">
          <cell r="D76">
            <v>1</v>
          </cell>
          <cell r="E76">
            <v>1.3076224702099486</v>
          </cell>
          <cell r="F76">
            <v>1.3080472602102526</v>
          </cell>
          <cell r="G76">
            <v>1.2945368171021376</v>
          </cell>
          <cell r="H76">
            <v>1.295358649789029</v>
          </cell>
          <cell r="O76">
            <v>1.3672896699269002</v>
          </cell>
          <cell r="P76">
            <v>1.3671607753705823</v>
          </cell>
          <cell r="Q76">
            <v>1.3671607753705823</v>
          </cell>
          <cell r="R76">
            <v>1.3675622622991039</v>
          </cell>
          <cell r="S76">
            <v>1.3548412965725196</v>
          </cell>
          <cell r="T76">
            <v>1.3555908850026503</v>
          </cell>
          <cell r="AA76">
            <v>1.3672896699269002</v>
          </cell>
          <cell r="AB76">
            <v>1.3671607753705823</v>
          </cell>
          <cell r="AC76">
            <v>1.3076224702099486</v>
          </cell>
          <cell r="AD76">
            <v>1.3080472602102526</v>
          </cell>
          <cell r="AE76">
            <v>1.2945368171021376</v>
          </cell>
          <cell r="AF76">
            <v>1.295358649789029</v>
          </cell>
          <cell r="AM76">
            <v>1.3610733723620612</v>
          </cell>
          <cell r="AN76">
            <v>1.3609470756528876</v>
          </cell>
          <cell r="AO76">
            <v>1.3609470756528876</v>
          </cell>
          <cell r="AP76">
            <v>1.3266393261895317</v>
          </cell>
          <cell r="AQ76">
            <v>1.3485391444713466</v>
          </cell>
          <cell r="AR76">
            <v>1.3493087327183177</v>
          </cell>
        </row>
        <row r="77">
          <cell r="D77">
            <v>2</v>
          </cell>
          <cell r="E77">
            <v>1.3076224702099486</v>
          </cell>
          <cell r="F77">
            <v>1.3080472602102526</v>
          </cell>
          <cell r="G77">
            <v>1.2945368171021376</v>
          </cell>
          <cell r="H77">
            <v>1.295358649789029</v>
          </cell>
          <cell r="O77">
            <v>1.3672896699269002</v>
          </cell>
          <cell r="P77">
            <v>1.3671607753705823</v>
          </cell>
          <cell r="Q77">
            <v>1.3671607753705823</v>
          </cell>
          <cell r="R77">
            <v>1.3675622622991039</v>
          </cell>
          <cell r="S77">
            <v>1.3548412965725196</v>
          </cell>
          <cell r="T77">
            <v>1.3555908850026503</v>
          </cell>
          <cell r="AA77">
            <v>1.3672896699269002</v>
          </cell>
          <cell r="AB77">
            <v>1.3671607753705823</v>
          </cell>
          <cell r="AC77">
            <v>1.3076224702099486</v>
          </cell>
          <cell r="AD77">
            <v>1.3080472602102526</v>
          </cell>
          <cell r="AE77">
            <v>1.2945368171021376</v>
          </cell>
          <cell r="AF77">
            <v>1.295358649789029</v>
          </cell>
          <cell r="AM77">
            <v>1.3610733723620612</v>
          </cell>
          <cell r="AN77">
            <v>1.3609470756528876</v>
          </cell>
          <cell r="AO77">
            <v>1.3609470756528876</v>
          </cell>
          <cell r="AP77">
            <v>1.3266393261895317</v>
          </cell>
          <cell r="AQ77">
            <v>1.3485391444713466</v>
          </cell>
          <cell r="AR77">
            <v>1.3493087327183177</v>
          </cell>
        </row>
        <row r="78">
          <cell r="D78">
            <v>3</v>
          </cell>
          <cell r="E78">
            <v>1.3076224702099486</v>
          </cell>
          <cell r="F78">
            <v>1.3080472602102526</v>
          </cell>
          <cell r="G78">
            <v>1.2945368171021376</v>
          </cell>
          <cell r="H78">
            <v>1.295358649789029</v>
          </cell>
          <cell r="O78">
            <v>1.3672896699269002</v>
          </cell>
          <cell r="P78">
            <v>1.3671607753705823</v>
          </cell>
          <cell r="Q78">
            <v>1.3671607753705823</v>
          </cell>
          <cell r="R78">
            <v>1.3675622622991039</v>
          </cell>
          <cell r="S78">
            <v>1.3548412965725196</v>
          </cell>
          <cell r="T78">
            <v>1.3555908850026503</v>
          </cell>
          <cell r="AA78">
            <v>1.3672896699269002</v>
          </cell>
          <cell r="AB78">
            <v>1.3671607753705823</v>
          </cell>
          <cell r="AC78">
            <v>1.3076224702099486</v>
          </cell>
          <cell r="AD78">
            <v>1.3080472602102526</v>
          </cell>
          <cell r="AE78">
            <v>1.2945368171021376</v>
          </cell>
          <cell r="AF78">
            <v>1.295358649789029</v>
          </cell>
          <cell r="AM78">
            <v>1.3610733723620612</v>
          </cell>
          <cell r="AN78">
            <v>1.3609470756528876</v>
          </cell>
          <cell r="AO78">
            <v>1.3609470756528876</v>
          </cell>
          <cell r="AP78">
            <v>1.3266393261895317</v>
          </cell>
          <cell r="AQ78">
            <v>1.3485391444713466</v>
          </cell>
          <cell r="AR78">
            <v>1.3493087327183177</v>
          </cell>
        </row>
        <row r="79">
          <cell r="D79">
            <v>4</v>
          </cell>
          <cell r="E79">
            <v>1.3076224702099486</v>
          </cell>
          <cell r="F79">
            <v>1.3080472602102526</v>
          </cell>
          <cell r="G79">
            <v>1.2945368171021376</v>
          </cell>
          <cell r="H79">
            <v>1.295358649789029</v>
          </cell>
          <cell r="O79">
            <v>1.3672896699269002</v>
          </cell>
          <cell r="P79">
            <v>1.3671607753705823</v>
          </cell>
          <cell r="Q79">
            <v>1.3671607753705823</v>
          </cell>
          <cell r="R79">
            <v>1.3675622622991039</v>
          </cell>
          <cell r="S79">
            <v>1.3548412965725196</v>
          </cell>
          <cell r="T79">
            <v>1.3555908850026503</v>
          </cell>
          <cell r="AA79">
            <v>1.3672896699269002</v>
          </cell>
          <cell r="AB79">
            <v>1.3671607753705823</v>
          </cell>
          <cell r="AC79">
            <v>1.3076224702099486</v>
          </cell>
          <cell r="AD79">
            <v>1.3080472602102526</v>
          </cell>
          <cell r="AE79">
            <v>1.2945368171021376</v>
          </cell>
          <cell r="AF79">
            <v>1.295358649789029</v>
          </cell>
          <cell r="AM79">
            <v>1.3610733723620612</v>
          </cell>
          <cell r="AN79">
            <v>1.3609470756528876</v>
          </cell>
          <cell r="AO79">
            <v>1.3609470756528876</v>
          </cell>
          <cell r="AP79">
            <v>1.3266393261895317</v>
          </cell>
          <cell r="AQ79">
            <v>1.3485391444713466</v>
          </cell>
          <cell r="AR79">
            <v>1.3493087327183177</v>
          </cell>
        </row>
        <row r="80">
          <cell r="D80">
            <v>5</v>
          </cell>
          <cell r="E80">
            <v>1.3076224702099486</v>
          </cell>
          <cell r="F80">
            <v>1.3080472602102526</v>
          </cell>
          <cell r="G80">
            <v>1.2945368171021376</v>
          </cell>
          <cell r="H80">
            <v>1.295358649789029</v>
          </cell>
          <cell r="O80">
            <v>1.3672896699269002</v>
          </cell>
          <cell r="P80">
            <v>1.3671607753705823</v>
          </cell>
          <cell r="Q80">
            <v>1.3671607753705823</v>
          </cell>
          <cell r="R80">
            <v>1.3675622622991039</v>
          </cell>
          <cell r="S80">
            <v>1.3548412965725196</v>
          </cell>
          <cell r="T80">
            <v>1.3555908850026503</v>
          </cell>
          <cell r="AA80">
            <v>1.3672896699269002</v>
          </cell>
          <cell r="AB80">
            <v>1.3671607753705823</v>
          </cell>
          <cell r="AC80">
            <v>1.3076224702099486</v>
          </cell>
          <cell r="AD80">
            <v>1.3080472602102526</v>
          </cell>
          <cell r="AE80">
            <v>1.2945368171021376</v>
          </cell>
          <cell r="AF80">
            <v>1.295358649789029</v>
          </cell>
          <cell r="AM80">
            <v>1.3610733723620612</v>
          </cell>
          <cell r="AN80">
            <v>1.3609470756528876</v>
          </cell>
          <cell r="AO80">
            <v>1.3609470756528876</v>
          </cell>
          <cell r="AP80">
            <v>1.3266393261895317</v>
          </cell>
          <cell r="AQ80">
            <v>1.3485391444713466</v>
          </cell>
          <cell r="AR80">
            <v>1.3493087327183177</v>
          </cell>
        </row>
        <row r="81">
          <cell r="D81">
            <v>6</v>
          </cell>
          <cell r="E81">
            <v>1.3076224702099486</v>
          </cell>
          <cell r="F81">
            <v>1.3080472602102526</v>
          </cell>
          <cell r="G81">
            <v>1.2945368171021376</v>
          </cell>
          <cell r="H81">
            <v>1.295358649789029</v>
          </cell>
          <cell r="O81">
            <v>1.3672896699269002</v>
          </cell>
          <cell r="P81">
            <v>1.3671607753705823</v>
          </cell>
          <cell r="Q81">
            <v>1.3671607753705823</v>
          </cell>
          <cell r="R81">
            <v>1.3675622622991039</v>
          </cell>
          <cell r="S81">
            <v>1.3548412965725196</v>
          </cell>
          <cell r="T81">
            <v>1.3555908850026503</v>
          </cell>
          <cell r="AA81">
            <v>1.3672896699269002</v>
          </cell>
          <cell r="AB81">
            <v>1.3671607753705823</v>
          </cell>
          <cell r="AC81">
            <v>1.3076224702099486</v>
          </cell>
          <cell r="AD81">
            <v>1.3080472602102526</v>
          </cell>
          <cell r="AE81">
            <v>1.2945368171021376</v>
          </cell>
          <cell r="AF81">
            <v>1.295358649789029</v>
          </cell>
          <cell r="AM81">
            <v>1.3610733723620612</v>
          </cell>
          <cell r="AN81">
            <v>1.3609470756528876</v>
          </cell>
          <cell r="AO81">
            <v>1.3609470756528876</v>
          </cell>
          <cell r="AP81">
            <v>1.3266393261895317</v>
          </cell>
          <cell r="AQ81">
            <v>1.3485391444713466</v>
          </cell>
          <cell r="AR81">
            <v>1.3493087327183177</v>
          </cell>
        </row>
        <row r="82">
          <cell r="D82">
            <v>7</v>
          </cell>
          <cell r="E82">
            <v>0.76928314734253833</v>
          </cell>
          <cell r="F82">
            <v>0.76896455484231097</v>
          </cell>
          <cell r="G82">
            <v>0.77909738717339672</v>
          </cell>
          <cell r="H82">
            <v>0.77848101265822789</v>
          </cell>
          <cell r="O82">
            <v>0.72453274755482466</v>
          </cell>
          <cell r="P82">
            <v>0.72462941847206386</v>
          </cell>
          <cell r="Q82">
            <v>0.72462941847206386</v>
          </cell>
          <cell r="R82">
            <v>0.72432830327567177</v>
          </cell>
          <cell r="S82">
            <v>0.73386902757061057</v>
          </cell>
          <cell r="T82">
            <v>0.73330683624801274</v>
          </cell>
          <cell r="AA82">
            <v>0.72453274755482466</v>
          </cell>
          <cell r="AB82">
            <v>0.72462941847206386</v>
          </cell>
          <cell r="AC82">
            <v>0.76928314734253833</v>
          </cell>
          <cell r="AD82">
            <v>0.76896455484231097</v>
          </cell>
          <cell r="AE82">
            <v>0.77909738717339672</v>
          </cell>
          <cell r="AF82">
            <v>0.77848101265822789</v>
          </cell>
          <cell r="AM82">
            <v>0.72919497072845385</v>
          </cell>
          <cell r="AN82">
            <v>0.72928969326033422</v>
          </cell>
          <cell r="AO82">
            <v>0.72928969326033422</v>
          </cell>
          <cell r="AP82">
            <v>0.75502050535785148</v>
          </cell>
          <cell r="AQ82">
            <v>0.73859564164648916</v>
          </cell>
          <cell r="AR82">
            <v>0.73801845046126158</v>
          </cell>
        </row>
        <row r="83">
          <cell r="D83">
            <v>8</v>
          </cell>
          <cell r="E83">
            <v>0.76928314734253833</v>
          </cell>
          <cell r="F83">
            <v>0.76896455484231097</v>
          </cell>
          <cell r="G83">
            <v>0.77909738717339672</v>
          </cell>
          <cell r="H83">
            <v>0.77848101265822789</v>
          </cell>
          <cell r="O83">
            <v>0.72453274755482466</v>
          </cell>
          <cell r="P83">
            <v>0.72462941847206386</v>
          </cell>
          <cell r="Q83">
            <v>0.72462941847206386</v>
          </cell>
          <cell r="R83">
            <v>0.72432830327567177</v>
          </cell>
          <cell r="S83">
            <v>0.73386902757061057</v>
          </cell>
          <cell r="T83">
            <v>0.73330683624801274</v>
          </cell>
          <cell r="AA83">
            <v>0.72453274755482466</v>
          </cell>
          <cell r="AB83">
            <v>0.72462941847206386</v>
          </cell>
          <cell r="AC83">
            <v>0.76928314734253833</v>
          </cell>
          <cell r="AD83">
            <v>0.76896455484231097</v>
          </cell>
          <cell r="AE83">
            <v>0.77909738717339672</v>
          </cell>
          <cell r="AF83">
            <v>0.77848101265822789</v>
          </cell>
          <cell r="AM83">
            <v>0.72919497072845385</v>
          </cell>
          <cell r="AN83">
            <v>0.72928969326033422</v>
          </cell>
          <cell r="AO83">
            <v>0.72928969326033422</v>
          </cell>
          <cell r="AP83">
            <v>0.75502050535785148</v>
          </cell>
          <cell r="AQ83">
            <v>0.73859564164648916</v>
          </cell>
          <cell r="AR83">
            <v>0.73801845046126158</v>
          </cell>
        </row>
        <row r="84">
          <cell r="D84">
            <v>9</v>
          </cell>
          <cell r="E84">
            <v>0.76928314734253833</v>
          </cell>
          <cell r="F84">
            <v>0.76896455484231097</v>
          </cell>
          <cell r="G84">
            <v>0.77909738717339672</v>
          </cell>
          <cell r="H84">
            <v>0.77848101265822789</v>
          </cell>
          <cell r="O84">
            <v>0.72453274755482466</v>
          </cell>
          <cell r="P84">
            <v>0.72462941847206386</v>
          </cell>
          <cell r="Q84">
            <v>0.72462941847206386</v>
          </cell>
          <cell r="R84">
            <v>0.72432830327567177</v>
          </cell>
          <cell r="S84">
            <v>0.73386902757061057</v>
          </cell>
          <cell r="T84">
            <v>0.73330683624801274</v>
          </cell>
          <cell r="AA84">
            <v>0.72453274755482466</v>
          </cell>
          <cell r="AB84">
            <v>0.72462941847206386</v>
          </cell>
          <cell r="AC84">
            <v>0.76928314734253833</v>
          </cell>
          <cell r="AD84">
            <v>0.76896455484231097</v>
          </cell>
          <cell r="AE84">
            <v>0.77909738717339672</v>
          </cell>
          <cell r="AF84">
            <v>0.77848101265822789</v>
          </cell>
          <cell r="AM84">
            <v>0.72919497072845385</v>
          </cell>
          <cell r="AN84">
            <v>0.72928969326033422</v>
          </cell>
          <cell r="AO84">
            <v>0.72928969326033422</v>
          </cell>
          <cell r="AP84">
            <v>0.75502050535785148</v>
          </cell>
          <cell r="AQ84">
            <v>0.73859564164648916</v>
          </cell>
          <cell r="AR84">
            <v>0.73801845046126158</v>
          </cell>
        </row>
        <row r="85">
          <cell r="D85">
            <v>10</v>
          </cell>
          <cell r="E85">
            <v>0.76928314734253833</v>
          </cell>
          <cell r="F85">
            <v>0.76896455484231097</v>
          </cell>
          <cell r="G85">
            <v>0.77909738717339672</v>
          </cell>
          <cell r="H85">
            <v>0.77848101265822789</v>
          </cell>
          <cell r="O85">
            <v>0.72453274755482466</v>
          </cell>
          <cell r="P85">
            <v>0.72462941847206386</v>
          </cell>
          <cell r="Q85">
            <v>0.72462941847206386</v>
          </cell>
          <cell r="R85">
            <v>0.72432830327567177</v>
          </cell>
          <cell r="S85">
            <v>0.73386902757061057</v>
          </cell>
          <cell r="T85">
            <v>0.73330683624801274</v>
          </cell>
          <cell r="AA85">
            <v>0.72453274755482466</v>
          </cell>
          <cell r="AB85">
            <v>0.72462941847206386</v>
          </cell>
          <cell r="AC85">
            <v>0.76928314734253833</v>
          </cell>
          <cell r="AD85">
            <v>0.76896455484231097</v>
          </cell>
          <cell r="AE85">
            <v>0.77909738717339672</v>
          </cell>
          <cell r="AF85">
            <v>0.77848101265822789</v>
          </cell>
          <cell r="AM85">
            <v>0.72919497072845385</v>
          </cell>
          <cell r="AN85">
            <v>0.72928969326033422</v>
          </cell>
          <cell r="AO85">
            <v>0.72928969326033422</v>
          </cell>
          <cell r="AP85">
            <v>0.75502050535785148</v>
          </cell>
          <cell r="AQ85">
            <v>0.73859564164648916</v>
          </cell>
          <cell r="AR85">
            <v>0.73801845046126158</v>
          </cell>
        </row>
        <row r="86">
          <cell r="D86">
            <v>11</v>
          </cell>
          <cell r="E86">
            <v>0.76928314734253833</v>
          </cell>
          <cell r="F86">
            <v>0.76896455484231097</v>
          </cell>
          <cell r="G86">
            <v>0.77909738717339672</v>
          </cell>
          <cell r="H86">
            <v>0.77848101265822789</v>
          </cell>
          <cell r="O86">
            <v>0.72453274755482466</v>
          </cell>
          <cell r="P86">
            <v>0.72462941847206386</v>
          </cell>
          <cell r="Q86">
            <v>0.72462941847206386</v>
          </cell>
          <cell r="R86">
            <v>0.72432830327567177</v>
          </cell>
          <cell r="S86">
            <v>0.73386902757061057</v>
          </cell>
          <cell r="T86">
            <v>0.73330683624801274</v>
          </cell>
          <cell r="AA86">
            <v>0.72453274755482466</v>
          </cell>
          <cell r="AB86">
            <v>0.72462941847206386</v>
          </cell>
          <cell r="AC86">
            <v>0.76928314734253833</v>
          </cell>
          <cell r="AD86">
            <v>0.76896455484231097</v>
          </cell>
          <cell r="AE86">
            <v>0.77909738717339672</v>
          </cell>
          <cell r="AF86">
            <v>0.77848101265822789</v>
          </cell>
          <cell r="AM86">
            <v>0.72919497072845385</v>
          </cell>
          <cell r="AN86">
            <v>0.72928969326033422</v>
          </cell>
          <cell r="AO86">
            <v>0.72928969326033422</v>
          </cell>
          <cell r="AP86">
            <v>0.75502050535785148</v>
          </cell>
          <cell r="AQ86">
            <v>0.73859564164648916</v>
          </cell>
          <cell r="AR86">
            <v>0.73801845046126158</v>
          </cell>
        </row>
        <row r="87">
          <cell r="D87">
            <v>12</v>
          </cell>
          <cell r="E87">
            <v>0.76928314734253833</v>
          </cell>
          <cell r="F87">
            <v>0.76896455484231097</v>
          </cell>
          <cell r="G87">
            <v>0.77909738717339672</v>
          </cell>
          <cell r="H87">
            <v>0.77848101265822789</v>
          </cell>
          <cell r="O87">
            <v>0.72453274755482466</v>
          </cell>
          <cell r="P87">
            <v>0.72462941847206386</v>
          </cell>
          <cell r="Q87">
            <v>0.72462941847206386</v>
          </cell>
          <cell r="R87">
            <v>0.72432830327567177</v>
          </cell>
          <cell r="S87">
            <v>0.73386902757061057</v>
          </cell>
          <cell r="T87">
            <v>0.73330683624801274</v>
          </cell>
          <cell r="AA87">
            <v>0.72453274755482466</v>
          </cell>
          <cell r="AB87">
            <v>0.72462941847206386</v>
          </cell>
          <cell r="AC87">
            <v>0.76928314734253833</v>
          </cell>
          <cell r="AD87">
            <v>0.76896455484231097</v>
          </cell>
          <cell r="AE87">
            <v>0.77909738717339672</v>
          </cell>
          <cell r="AF87">
            <v>0.77848101265822789</v>
          </cell>
          <cell r="AM87">
            <v>0.72919497072845385</v>
          </cell>
          <cell r="AN87">
            <v>0.72928969326033422</v>
          </cell>
          <cell r="AO87">
            <v>0.72928969326033422</v>
          </cell>
          <cell r="AP87">
            <v>0.75502050535785148</v>
          </cell>
          <cell r="AQ87">
            <v>0.73859564164648916</v>
          </cell>
          <cell r="AR87">
            <v>0.73801845046126158</v>
          </cell>
        </row>
        <row r="88">
          <cell r="D88">
            <v>13</v>
          </cell>
          <cell r="E88">
            <v>0.76928314734253833</v>
          </cell>
          <cell r="F88">
            <v>0.76896455484231097</v>
          </cell>
          <cell r="G88">
            <v>0.77909738717339672</v>
          </cell>
          <cell r="H88">
            <v>0.77848101265822789</v>
          </cell>
          <cell r="O88">
            <v>0.72453274755482466</v>
          </cell>
          <cell r="P88">
            <v>0.72462941847206386</v>
          </cell>
          <cell r="Q88">
            <v>0.72462941847206386</v>
          </cell>
          <cell r="R88">
            <v>0.72432830327567177</v>
          </cell>
          <cell r="S88">
            <v>0.73386902757061057</v>
          </cell>
          <cell r="T88">
            <v>0.73330683624801274</v>
          </cell>
          <cell r="AA88">
            <v>0.72453274755482466</v>
          </cell>
          <cell r="AB88">
            <v>0.72462941847206386</v>
          </cell>
          <cell r="AC88">
            <v>0.76928314734253833</v>
          </cell>
          <cell r="AD88">
            <v>0.76896455484231097</v>
          </cell>
          <cell r="AE88">
            <v>0.77909738717339672</v>
          </cell>
          <cell r="AF88">
            <v>0.77848101265822789</v>
          </cell>
          <cell r="AM88">
            <v>0.72919497072845385</v>
          </cell>
          <cell r="AN88">
            <v>0.72928969326033422</v>
          </cell>
          <cell r="AO88">
            <v>0.72928969326033422</v>
          </cell>
          <cell r="AP88">
            <v>0.75502050535785148</v>
          </cell>
          <cell r="AQ88">
            <v>0.73859564164648916</v>
          </cell>
          <cell r="AR88">
            <v>0.73801845046126158</v>
          </cell>
        </row>
        <row r="89">
          <cell r="D89">
            <v>14</v>
          </cell>
          <cell r="E89">
            <v>0.76928314734253833</v>
          </cell>
          <cell r="F89">
            <v>0.76896455484231097</v>
          </cell>
          <cell r="G89">
            <v>0.77909738717339672</v>
          </cell>
          <cell r="H89">
            <v>0.77848101265822789</v>
          </cell>
          <cell r="O89">
            <v>0.72453274755482466</v>
          </cell>
          <cell r="P89">
            <v>0.72462941847206386</v>
          </cell>
          <cell r="Q89">
            <v>0.72462941847206386</v>
          </cell>
          <cell r="R89">
            <v>0.72432830327567177</v>
          </cell>
          <cell r="S89">
            <v>0.73386902757061057</v>
          </cell>
          <cell r="T89">
            <v>0.73330683624801274</v>
          </cell>
          <cell r="AA89">
            <v>0.72453274755482466</v>
          </cell>
          <cell r="AB89">
            <v>0.72462941847206386</v>
          </cell>
          <cell r="AC89">
            <v>0.76928314734253833</v>
          </cell>
          <cell r="AD89">
            <v>0.76896455484231097</v>
          </cell>
          <cell r="AE89">
            <v>0.77909738717339672</v>
          </cell>
          <cell r="AF89">
            <v>0.77848101265822789</v>
          </cell>
          <cell r="AM89">
            <v>0.72919497072845385</v>
          </cell>
          <cell r="AN89">
            <v>0.72928969326033422</v>
          </cell>
          <cell r="AO89">
            <v>0.72928969326033422</v>
          </cell>
          <cell r="AP89">
            <v>0.75502050535785148</v>
          </cell>
          <cell r="AQ89">
            <v>0.73859564164648916</v>
          </cell>
          <cell r="AR89">
            <v>0.73801845046126158</v>
          </cell>
        </row>
        <row r="90">
          <cell r="D90">
            <v>15</v>
          </cell>
          <cell r="E90">
            <v>0.76928314734253833</v>
          </cell>
          <cell r="F90">
            <v>0.76896455484231097</v>
          </cell>
          <cell r="G90">
            <v>0.77909738717339672</v>
          </cell>
          <cell r="H90">
            <v>0.77848101265822789</v>
          </cell>
          <cell r="O90">
            <v>0.72453274755482466</v>
          </cell>
          <cell r="P90">
            <v>0.72462941847206386</v>
          </cell>
          <cell r="Q90">
            <v>0.72462941847206386</v>
          </cell>
          <cell r="R90">
            <v>0.72432830327567177</v>
          </cell>
          <cell r="S90">
            <v>0.73386902757061057</v>
          </cell>
          <cell r="T90">
            <v>0.73330683624801274</v>
          </cell>
          <cell r="AA90">
            <v>0.72453274755482466</v>
          </cell>
          <cell r="AB90">
            <v>0.72462941847206386</v>
          </cell>
          <cell r="AC90">
            <v>0.76928314734253833</v>
          </cell>
          <cell r="AD90">
            <v>0.76896455484231097</v>
          </cell>
          <cell r="AE90">
            <v>0.77909738717339672</v>
          </cell>
          <cell r="AF90">
            <v>0.77848101265822789</v>
          </cell>
          <cell r="AM90">
            <v>0.72919497072845385</v>
          </cell>
          <cell r="AN90">
            <v>0.72928969326033422</v>
          </cell>
          <cell r="AO90">
            <v>0.72928969326033422</v>
          </cell>
          <cell r="AP90">
            <v>0.75502050535785148</v>
          </cell>
          <cell r="AQ90">
            <v>0.73859564164648916</v>
          </cell>
          <cell r="AR90">
            <v>0.73801845046126158</v>
          </cell>
        </row>
        <row r="91">
          <cell r="D91">
            <v>16</v>
          </cell>
          <cell r="E91">
            <v>0.76928314734253833</v>
          </cell>
          <cell r="F91">
            <v>0.76896455484231097</v>
          </cell>
          <cell r="G91">
            <v>0.77909738717339672</v>
          </cell>
          <cell r="H91">
            <v>0.77848101265822789</v>
          </cell>
          <cell r="O91">
            <v>0.72453274755482466</v>
          </cell>
          <cell r="P91">
            <v>0.72462941847206386</v>
          </cell>
          <cell r="Q91">
            <v>0.72462941847206386</v>
          </cell>
          <cell r="R91">
            <v>0.72432830327567177</v>
          </cell>
          <cell r="S91">
            <v>0.73386902757061057</v>
          </cell>
          <cell r="T91">
            <v>0.73330683624801274</v>
          </cell>
          <cell r="AA91">
            <v>0.72453274755482466</v>
          </cell>
          <cell r="AB91">
            <v>0.72462941847206386</v>
          </cell>
          <cell r="AC91">
            <v>0.76928314734253833</v>
          </cell>
          <cell r="AD91">
            <v>0.76896455484231097</v>
          </cell>
          <cell r="AE91">
            <v>0.77909738717339672</v>
          </cell>
          <cell r="AF91">
            <v>0.77848101265822789</v>
          </cell>
          <cell r="AM91">
            <v>0.72919497072845385</v>
          </cell>
          <cell r="AN91">
            <v>0.72928969326033422</v>
          </cell>
          <cell r="AO91">
            <v>0.72928969326033422</v>
          </cell>
          <cell r="AP91">
            <v>0.75502050535785148</v>
          </cell>
          <cell r="AQ91">
            <v>0.73859564164648916</v>
          </cell>
          <cell r="AR91">
            <v>0.73801845046126158</v>
          </cell>
        </row>
        <row r="92">
          <cell r="D92">
            <v>17</v>
          </cell>
          <cell r="E92">
            <v>0.76928314734253833</v>
          </cell>
          <cell r="F92">
            <v>0.76896455484231097</v>
          </cell>
          <cell r="G92">
            <v>0.77909738717339672</v>
          </cell>
          <cell r="H92">
            <v>0.77848101265822789</v>
          </cell>
          <cell r="O92">
            <v>0.72453274755482466</v>
          </cell>
          <cell r="P92">
            <v>0.72462941847206386</v>
          </cell>
          <cell r="Q92">
            <v>0.72462941847206386</v>
          </cell>
          <cell r="R92">
            <v>0.72432830327567177</v>
          </cell>
          <cell r="S92">
            <v>0.73386902757061057</v>
          </cell>
          <cell r="T92">
            <v>0.73330683624801274</v>
          </cell>
          <cell r="AA92">
            <v>0.72453274755482466</v>
          </cell>
          <cell r="AB92">
            <v>0.72462941847206386</v>
          </cell>
          <cell r="AC92">
            <v>0.76928314734253833</v>
          </cell>
          <cell r="AD92">
            <v>0.76896455484231097</v>
          </cell>
          <cell r="AE92">
            <v>0.77909738717339672</v>
          </cell>
          <cell r="AF92">
            <v>0.77848101265822789</v>
          </cell>
          <cell r="AM92">
            <v>0.72919497072845385</v>
          </cell>
          <cell r="AN92">
            <v>0.72928969326033422</v>
          </cell>
          <cell r="AO92">
            <v>0.72928969326033422</v>
          </cell>
          <cell r="AP92">
            <v>0.75502050535785148</v>
          </cell>
          <cell r="AQ92">
            <v>0.73859564164648916</v>
          </cell>
          <cell r="AR92">
            <v>0.73801845046126158</v>
          </cell>
        </row>
        <row r="93">
          <cell r="D93">
            <v>18</v>
          </cell>
          <cell r="E93">
            <v>0.76928314734253833</v>
          </cell>
          <cell r="F93">
            <v>0.76896455484231097</v>
          </cell>
          <cell r="G93">
            <v>0.77909738717339672</v>
          </cell>
          <cell r="H93">
            <v>0.77848101265822789</v>
          </cell>
          <cell r="O93">
            <v>0.72453274755482466</v>
          </cell>
          <cell r="P93">
            <v>0.72462941847206386</v>
          </cell>
          <cell r="Q93">
            <v>0.72462941847206386</v>
          </cell>
          <cell r="R93">
            <v>0.72432830327567177</v>
          </cell>
          <cell r="S93">
            <v>0.73386902757061057</v>
          </cell>
          <cell r="T93">
            <v>0.73330683624801274</v>
          </cell>
          <cell r="AA93">
            <v>0.72453274755482466</v>
          </cell>
          <cell r="AB93">
            <v>0.72462941847206386</v>
          </cell>
          <cell r="AC93">
            <v>0.76928314734253833</v>
          </cell>
          <cell r="AD93">
            <v>0.76896455484231097</v>
          </cell>
          <cell r="AE93">
            <v>0.77909738717339672</v>
          </cell>
          <cell r="AF93">
            <v>0.77848101265822789</v>
          </cell>
          <cell r="AM93">
            <v>0.72919497072845385</v>
          </cell>
          <cell r="AN93">
            <v>0.72928969326033422</v>
          </cell>
          <cell r="AO93">
            <v>0.72928969326033422</v>
          </cell>
          <cell r="AP93">
            <v>0.75502050535785148</v>
          </cell>
          <cell r="AQ93">
            <v>0.73859564164648916</v>
          </cell>
          <cell r="AR93">
            <v>0.73801845046126158</v>
          </cell>
        </row>
        <row r="94">
          <cell r="D94">
            <v>19</v>
          </cell>
          <cell r="E94">
            <v>0.76928314734253833</v>
          </cell>
          <cell r="F94">
            <v>0.76896455484231097</v>
          </cell>
          <cell r="G94">
            <v>0.77909738717339672</v>
          </cell>
          <cell r="H94">
            <v>0.77848101265822789</v>
          </cell>
          <cell r="O94">
            <v>0.72453274755482466</v>
          </cell>
          <cell r="P94">
            <v>0.72462941847206386</v>
          </cell>
          <cell r="Q94">
            <v>0.72462941847206386</v>
          </cell>
          <cell r="R94">
            <v>0.72432830327567177</v>
          </cell>
          <cell r="S94">
            <v>0.73386902757061057</v>
          </cell>
          <cell r="T94">
            <v>0.73330683624801274</v>
          </cell>
          <cell r="AA94">
            <v>0.72453274755482466</v>
          </cell>
          <cell r="AB94">
            <v>0.72462941847206386</v>
          </cell>
          <cell r="AC94">
            <v>0.76928314734253833</v>
          </cell>
          <cell r="AD94">
            <v>0.76896455484231097</v>
          </cell>
          <cell r="AE94">
            <v>0.77909738717339672</v>
          </cell>
          <cell r="AF94">
            <v>0.77848101265822789</v>
          </cell>
          <cell r="AM94">
            <v>0.72919497072845385</v>
          </cell>
          <cell r="AN94">
            <v>0.72928969326033422</v>
          </cell>
          <cell r="AO94">
            <v>0.72928969326033422</v>
          </cell>
          <cell r="AP94">
            <v>0.75502050535785148</v>
          </cell>
          <cell r="AQ94">
            <v>0.73859564164648916</v>
          </cell>
          <cell r="AR94">
            <v>0.73801845046126158</v>
          </cell>
        </row>
        <row r="95">
          <cell r="D95">
            <v>20</v>
          </cell>
          <cell r="E95">
            <v>0.76928314734253833</v>
          </cell>
          <cell r="F95">
            <v>0.76896455484231097</v>
          </cell>
          <cell r="G95">
            <v>0.77909738717339672</v>
          </cell>
          <cell r="H95">
            <v>0.77848101265822789</v>
          </cell>
          <cell r="O95">
            <v>0.72453274755482466</v>
          </cell>
          <cell r="P95">
            <v>0.72462941847206386</v>
          </cell>
          <cell r="Q95">
            <v>0.72462941847206386</v>
          </cell>
          <cell r="R95">
            <v>0.72432830327567177</v>
          </cell>
          <cell r="S95">
            <v>0.73386902757061057</v>
          </cell>
          <cell r="T95">
            <v>0.73330683624801274</v>
          </cell>
          <cell r="AA95">
            <v>0.72453274755482466</v>
          </cell>
          <cell r="AB95">
            <v>0.72462941847206386</v>
          </cell>
          <cell r="AC95">
            <v>0.76928314734253833</v>
          </cell>
          <cell r="AD95">
            <v>0.76896455484231097</v>
          </cell>
          <cell r="AE95">
            <v>0.77909738717339672</v>
          </cell>
          <cell r="AF95">
            <v>0.77848101265822789</v>
          </cell>
          <cell r="AM95">
            <v>0.72919497072845385</v>
          </cell>
          <cell r="AN95">
            <v>0.72928969326033422</v>
          </cell>
          <cell r="AO95">
            <v>0.72928969326033422</v>
          </cell>
          <cell r="AP95">
            <v>0.75502050535785148</v>
          </cell>
          <cell r="AQ95">
            <v>0.73859564164648916</v>
          </cell>
          <cell r="AR95">
            <v>0.73801845046126158</v>
          </cell>
        </row>
        <row r="96">
          <cell r="D96">
            <v>21</v>
          </cell>
          <cell r="E96">
            <v>0.76928314734253833</v>
          </cell>
          <cell r="F96">
            <v>0.76896455484231097</v>
          </cell>
          <cell r="G96">
            <v>0.77909738717339672</v>
          </cell>
          <cell r="H96">
            <v>0.77848101265822789</v>
          </cell>
          <cell r="O96">
            <v>0.72453274755482466</v>
          </cell>
          <cell r="P96">
            <v>0.72462941847206386</v>
          </cell>
          <cell r="Q96">
            <v>0.72462941847206386</v>
          </cell>
          <cell r="R96">
            <v>0.72432830327567177</v>
          </cell>
          <cell r="S96">
            <v>0.73386902757061057</v>
          </cell>
          <cell r="T96">
            <v>0.73330683624801274</v>
          </cell>
          <cell r="AA96">
            <v>0.72453274755482466</v>
          </cell>
          <cell r="AB96">
            <v>0.72462941847206386</v>
          </cell>
          <cell r="AC96">
            <v>0.76928314734253833</v>
          </cell>
          <cell r="AD96">
            <v>0.76896455484231097</v>
          </cell>
          <cell r="AE96">
            <v>0.77909738717339672</v>
          </cell>
          <cell r="AF96">
            <v>0.77848101265822789</v>
          </cell>
          <cell r="AM96">
            <v>0.72919497072845385</v>
          </cell>
          <cell r="AN96">
            <v>0.72928969326033422</v>
          </cell>
          <cell r="AO96">
            <v>0.72928969326033422</v>
          </cell>
          <cell r="AP96">
            <v>0.75502050535785148</v>
          </cell>
          <cell r="AQ96">
            <v>0.73859564164648916</v>
          </cell>
          <cell r="AR96">
            <v>0.73801845046126158</v>
          </cell>
        </row>
        <row r="97">
          <cell r="D97">
            <v>22</v>
          </cell>
          <cell r="E97">
            <v>0.76928314734253833</v>
          </cell>
          <cell r="F97">
            <v>0.76896455484231097</v>
          </cell>
          <cell r="G97">
            <v>0.77909738717339672</v>
          </cell>
          <cell r="H97">
            <v>0.77848101265822789</v>
          </cell>
          <cell r="O97">
            <v>0.72453274755482466</v>
          </cell>
          <cell r="P97">
            <v>0.72462941847206386</v>
          </cell>
          <cell r="Q97">
            <v>0.72462941847206386</v>
          </cell>
          <cell r="R97">
            <v>0.72432830327567177</v>
          </cell>
          <cell r="S97">
            <v>0.73386902757061057</v>
          </cell>
          <cell r="T97">
            <v>0.73330683624801274</v>
          </cell>
          <cell r="AA97">
            <v>0.72453274755482466</v>
          </cell>
          <cell r="AB97">
            <v>0.72462941847206386</v>
          </cell>
          <cell r="AC97">
            <v>0.76928314734253833</v>
          </cell>
          <cell r="AD97">
            <v>0.76896455484231097</v>
          </cell>
          <cell r="AE97">
            <v>0.77909738717339672</v>
          </cell>
          <cell r="AF97">
            <v>0.77848101265822789</v>
          </cell>
          <cell r="AM97">
            <v>0.72919497072845385</v>
          </cell>
          <cell r="AN97">
            <v>0.72928969326033422</v>
          </cell>
          <cell r="AO97">
            <v>0.72928969326033422</v>
          </cell>
          <cell r="AP97">
            <v>0.75502050535785148</v>
          </cell>
          <cell r="AQ97">
            <v>0.73859564164648916</v>
          </cell>
          <cell r="AR97">
            <v>0.73801845046126158</v>
          </cell>
        </row>
        <row r="98">
          <cell r="D98">
            <v>23</v>
          </cell>
          <cell r="E98">
            <v>1.3076224702099486</v>
          </cell>
          <cell r="F98">
            <v>1.3080472602102526</v>
          </cell>
          <cell r="G98">
            <v>1.2945368171021376</v>
          </cell>
          <cell r="H98">
            <v>1.295358649789029</v>
          </cell>
          <cell r="O98">
            <v>1.3672896699269002</v>
          </cell>
          <cell r="P98">
            <v>1.3671607753705823</v>
          </cell>
          <cell r="Q98">
            <v>1.3671607753705823</v>
          </cell>
          <cell r="R98">
            <v>1.3675622622991039</v>
          </cell>
          <cell r="S98">
            <v>1.3548412965725196</v>
          </cell>
          <cell r="T98">
            <v>1.3555908850026503</v>
          </cell>
          <cell r="AA98">
            <v>1.3672896699269002</v>
          </cell>
          <cell r="AB98">
            <v>1.3671607753705823</v>
          </cell>
          <cell r="AC98">
            <v>1.3076224702099486</v>
          </cell>
          <cell r="AD98">
            <v>1.3080472602102526</v>
          </cell>
          <cell r="AE98">
            <v>1.2945368171021376</v>
          </cell>
          <cell r="AF98">
            <v>1.295358649789029</v>
          </cell>
          <cell r="AM98">
            <v>1.3610733723620612</v>
          </cell>
          <cell r="AN98">
            <v>1.3609470756528876</v>
          </cell>
          <cell r="AO98">
            <v>1.3609470756528876</v>
          </cell>
          <cell r="AP98">
            <v>1.3266393261895317</v>
          </cell>
          <cell r="AQ98">
            <v>1.3485391444713466</v>
          </cell>
          <cell r="AR98">
            <v>1.3493087327183177</v>
          </cell>
        </row>
        <row r="99">
          <cell r="D99">
            <v>24</v>
          </cell>
          <cell r="E99">
            <v>1.3076224702099486</v>
          </cell>
          <cell r="F99">
            <v>1.3080472602102526</v>
          </cell>
          <cell r="G99">
            <v>1.2945368171021376</v>
          </cell>
          <cell r="H99">
            <v>1.295358649789029</v>
          </cell>
          <cell r="O99">
            <v>1.3672896699269002</v>
          </cell>
          <cell r="P99">
            <v>1.3671607753705823</v>
          </cell>
          <cell r="Q99">
            <v>1.3671607753705823</v>
          </cell>
          <cell r="R99">
            <v>1.3675622622991039</v>
          </cell>
          <cell r="S99">
            <v>1.3548412965725196</v>
          </cell>
          <cell r="T99">
            <v>1.3555908850026503</v>
          </cell>
          <cell r="AA99">
            <v>1.3672896699269002</v>
          </cell>
          <cell r="AB99">
            <v>1.3671607753705823</v>
          </cell>
          <cell r="AC99">
            <v>1.3076224702099486</v>
          </cell>
          <cell r="AD99">
            <v>1.3080472602102526</v>
          </cell>
          <cell r="AE99">
            <v>1.2945368171021376</v>
          </cell>
          <cell r="AF99">
            <v>1.295358649789029</v>
          </cell>
          <cell r="AM99">
            <v>1.3610733723620612</v>
          </cell>
          <cell r="AN99">
            <v>1.3609470756528876</v>
          </cell>
          <cell r="AO99">
            <v>1.3609470756528876</v>
          </cell>
          <cell r="AP99">
            <v>1.3266393261895317</v>
          </cell>
          <cell r="AQ99">
            <v>1.3485391444713466</v>
          </cell>
          <cell r="AR99">
            <v>1.3493087327183177</v>
          </cell>
        </row>
        <row r="100">
          <cell r="D100">
            <v>25</v>
          </cell>
          <cell r="E100">
            <v>1.3076224702099486</v>
          </cell>
          <cell r="F100">
            <v>1.3080472602102526</v>
          </cell>
          <cell r="G100">
            <v>1.2945368171021376</v>
          </cell>
          <cell r="H100">
            <v>1.295358649789029</v>
          </cell>
          <cell r="O100">
            <v>1.3672896699269002</v>
          </cell>
          <cell r="P100">
            <v>1.3671607753705823</v>
          </cell>
          <cell r="Q100">
            <v>1.3671607753705823</v>
          </cell>
          <cell r="R100">
            <v>1.3675622622991039</v>
          </cell>
          <cell r="S100">
            <v>1.3548412965725196</v>
          </cell>
          <cell r="T100">
            <v>1.3555908850026503</v>
          </cell>
          <cell r="AA100">
            <v>1.3672896699269002</v>
          </cell>
          <cell r="AB100">
            <v>1.3671607753705823</v>
          </cell>
          <cell r="AC100">
            <v>1.3076224702099486</v>
          </cell>
          <cell r="AD100">
            <v>1.3080472602102526</v>
          </cell>
          <cell r="AE100">
            <v>1.2945368171021376</v>
          </cell>
          <cell r="AF100">
            <v>1.295358649789029</v>
          </cell>
          <cell r="AM100">
            <v>1.3610733723620612</v>
          </cell>
          <cell r="AN100">
            <v>1.3609470756528876</v>
          </cell>
          <cell r="AO100">
            <v>1.3609470756528876</v>
          </cell>
          <cell r="AP100">
            <v>1.3266393261895317</v>
          </cell>
          <cell r="AQ100">
            <v>1.3485391444713466</v>
          </cell>
          <cell r="AR100">
            <v>1.3493087327183177</v>
          </cell>
        </row>
        <row r="101">
          <cell r="D101">
            <v>26</v>
          </cell>
          <cell r="E101">
            <v>1.3076224702099486</v>
          </cell>
          <cell r="F101">
            <v>1.3080472602102526</v>
          </cell>
          <cell r="G101">
            <v>1.2945368171021376</v>
          </cell>
          <cell r="H101">
            <v>1.295358649789029</v>
          </cell>
          <cell r="O101">
            <v>1.3672896699269002</v>
          </cell>
          <cell r="P101">
            <v>1.3671607753705823</v>
          </cell>
          <cell r="Q101">
            <v>1.3671607753705823</v>
          </cell>
          <cell r="R101">
            <v>1.3675622622991039</v>
          </cell>
          <cell r="S101">
            <v>1.3548412965725196</v>
          </cell>
          <cell r="T101">
            <v>1.3555908850026503</v>
          </cell>
          <cell r="AA101">
            <v>1.3672896699269002</v>
          </cell>
          <cell r="AB101">
            <v>1.3671607753705823</v>
          </cell>
          <cell r="AC101">
            <v>1.3076224702099486</v>
          </cell>
          <cell r="AD101">
            <v>1.3080472602102526</v>
          </cell>
          <cell r="AE101">
            <v>1.2945368171021376</v>
          </cell>
          <cell r="AF101">
            <v>1.295358649789029</v>
          </cell>
          <cell r="AM101">
            <v>1.3610733723620612</v>
          </cell>
          <cell r="AN101">
            <v>1.3609470756528876</v>
          </cell>
          <cell r="AO101">
            <v>1.3609470756528876</v>
          </cell>
          <cell r="AP101">
            <v>1.3266393261895317</v>
          </cell>
          <cell r="AQ101">
            <v>1.3485391444713466</v>
          </cell>
          <cell r="AR101">
            <v>1.3493087327183177</v>
          </cell>
        </row>
        <row r="102">
          <cell r="D102">
            <v>27</v>
          </cell>
          <cell r="E102">
            <v>1.3076224702099486</v>
          </cell>
          <cell r="F102">
            <v>1.3080472602102526</v>
          </cell>
          <cell r="G102">
            <v>1.2945368171021376</v>
          </cell>
          <cell r="H102">
            <v>1.295358649789029</v>
          </cell>
          <cell r="O102">
            <v>1.3672896699269002</v>
          </cell>
          <cell r="P102">
            <v>1.3671607753705823</v>
          </cell>
          <cell r="Q102">
            <v>1.3671607753705823</v>
          </cell>
          <cell r="R102">
            <v>1.3675622622991039</v>
          </cell>
          <cell r="S102">
            <v>1.3548412965725196</v>
          </cell>
          <cell r="T102">
            <v>1.3555908850026503</v>
          </cell>
          <cell r="AA102">
            <v>1.3672896699269002</v>
          </cell>
          <cell r="AB102">
            <v>1.3671607753705823</v>
          </cell>
          <cell r="AC102">
            <v>1.3076224702099486</v>
          </cell>
          <cell r="AD102">
            <v>1.3080472602102526</v>
          </cell>
          <cell r="AE102">
            <v>1.2945368171021376</v>
          </cell>
          <cell r="AF102">
            <v>1.295358649789029</v>
          </cell>
          <cell r="AM102">
            <v>1.3610733723620612</v>
          </cell>
          <cell r="AN102">
            <v>1.3609470756528876</v>
          </cell>
          <cell r="AO102">
            <v>1.3609470756528876</v>
          </cell>
          <cell r="AP102">
            <v>1.3266393261895317</v>
          </cell>
          <cell r="AQ102">
            <v>1.3485391444713466</v>
          </cell>
          <cell r="AR102">
            <v>1.3493087327183177</v>
          </cell>
        </row>
        <row r="103">
          <cell r="D103">
            <v>28</v>
          </cell>
          <cell r="E103">
            <v>1.3076224702099486</v>
          </cell>
          <cell r="F103">
            <v>1.3080472602102526</v>
          </cell>
          <cell r="G103">
            <v>1.2945368171021376</v>
          </cell>
          <cell r="H103">
            <v>1.295358649789029</v>
          </cell>
          <cell r="O103">
            <v>1.3672896699269002</v>
          </cell>
          <cell r="P103">
            <v>1.3671607753705823</v>
          </cell>
          <cell r="Q103">
            <v>1.3671607753705823</v>
          </cell>
          <cell r="R103">
            <v>1.3675622622991039</v>
          </cell>
          <cell r="S103">
            <v>1.3548412965725196</v>
          </cell>
          <cell r="T103">
            <v>1.3555908850026503</v>
          </cell>
          <cell r="AA103">
            <v>1.3672896699269002</v>
          </cell>
          <cell r="AB103">
            <v>1.3671607753705823</v>
          </cell>
          <cell r="AC103">
            <v>1.3076224702099486</v>
          </cell>
          <cell r="AD103">
            <v>1.3080472602102526</v>
          </cell>
          <cell r="AE103">
            <v>1.2945368171021376</v>
          </cell>
          <cell r="AF103">
            <v>1.295358649789029</v>
          </cell>
          <cell r="AM103">
            <v>1.3610733723620612</v>
          </cell>
          <cell r="AN103">
            <v>1.3609470756528876</v>
          </cell>
          <cell r="AO103">
            <v>1.3609470756528876</v>
          </cell>
          <cell r="AP103">
            <v>1.3266393261895317</v>
          </cell>
          <cell r="AQ103">
            <v>1.3485391444713466</v>
          </cell>
          <cell r="AR103">
            <v>1.3493087327183177</v>
          </cell>
        </row>
        <row r="104">
          <cell r="D104">
            <v>29</v>
          </cell>
          <cell r="E104">
            <v>1.3076224702099486</v>
          </cell>
          <cell r="F104">
            <v>1.3080472602102526</v>
          </cell>
          <cell r="G104">
            <v>1.2945368171021376</v>
          </cell>
          <cell r="H104">
            <v>1.295358649789029</v>
          </cell>
          <cell r="O104">
            <v>1.3672896699269002</v>
          </cell>
          <cell r="P104">
            <v>1.3671607753705823</v>
          </cell>
          <cell r="Q104">
            <v>1.3671607753705823</v>
          </cell>
          <cell r="R104">
            <v>1.3675622622991039</v>
          </cell>
          <cell r="S104">
            <v>1.3548412965725196</v>
          </cell>
          <cell r="T104">
            <v>1.3555908850026503</v>
          </cell>
          <cell r="AA104">
            <v>1.3672896699269002</v>
          </cell>
          <cell r="AB104">
            <v>1.3671607753705823</v>
          </cell>
          <cell r="AC104">
            <v>1.3076224702099486</v>
          </cell>
          <cell r="AD104">
            <v>1.3080472602102526</v>
          </cell>
          <cell r="AE104">
            <v>1.2945368171021376</v>
          </cell>
          <cell r="AF104">
            <v>1.295358649789029</v>
          </cell>
          <cell r="AM104">
            <v>1.3610733723620612</v>
          </cell>
          <cell r="AN104">
            <v>1.3609470756528876</v>
          </cell>
          <cell r="AO104">
            <v>1.3609470756528876</v>
          </cell>
          <cell r="AP104">
            <v>1.3266393261895317</v>
          </cell>
          <cell r="AQ104">
            <v>1.3485391444713466</v>
          </cell>
          <cell r="AR104">
            <v>1.3493087327183177</v>
          </cell>
        </row>
        <row r="105">
          <cell r="D105">
            <v>30</v>
          </cell>
          <cell r="E105">
            <v>1.3076224702099486</v>
          </cell>
          <cell r="F105">
            <v>1.3080472602102526</v>
          </cell>
          <cell r="G105">
            <v>1.2945368171021376</v>
          </cell>
          <cell r="H105">
            <v>1.295358649789029</v>
          </cell>
          <cell r="O105">
            <v>1.3672896699269002</v>
          </cell>
          <cell r="P105">
            <v>1.3671607753705823</v>
          </cell>
          <cell r="Q105">
            <v>1.3671607753705823</v>
          </cell>
          <cell r="R105">
            <v>1.3675622622991039</v>
          </cell>
          <cell r="S105">
            <v>1.3548412965725196</v>
          </cell>
          <cell r="T105">
            <v>1.3555908850026503</v>
          </cell>
          <cell r="AA105">
            <v>1.3672896699269002</v>
          </cell>
          <cell r="AB105">
            <v>1.3671607753705823</v>
          </cell>
          <cell r="AC105">
            <v>1.3076224702099486</v>
          </cell>
          <cell r="AD105">
            <v>1.3080472602102526</v>
          </cell>
          <cell r="AE105">
            <v>1.2945368171021376</v>
          </cell>
          <cell r="AF105">
            <v>1.295358649789029</v>
          </cell>
          <cell r="AM105">
            <v>1.3610733723620612</v>
          </cell>
          <cell r="AN105">
            <v>1.3609470756528876</v>
          </cell>
          <cell r="AO105">
            <v>1.3609470756528876</v>
          </cell>
          <cell r="AP105">
            <v>1.3266393261895317</v>
          </cell>
          <cell r="AQ105">
            <v>1.3485391444713466</v>
          </cell>
          <cell r="AR105">
            <v>1.3493087327183177</v>
          </cell>
        </row>
        <row r="106">
          <cell r="D106">
            <v>31</v>
          </cell>
          <cell r="E106">
            <v>0.76928314734253833</v>
          </cell>
          <cell r="F106">
            <v>0.76896455484231097</v>
          </cell>
          <cell r="G106">
            <v>0.77909738717339672</v>
          </cell>
          <cell r="H106">
            <v>0.77848101265822789</v>
          </cell>
          <cell r="O106">
            <v>0.72453274755482466</v>
          </cell>
          <cell r="P106">
            <v>0.72462941847206386</v>
          </cell>
          <cell r="Q106">
            <v>0.72462941847206386</v>
          </cell>
          <cell r="R106">
            <v>0.72432830327567177</v>
          </cell>
          <cell r="S106">
            <v>0.73386902757061057</v>
          </cell>
          <cell r="T106">
            <v>0.73330683624801274</v>
          </cell>
          <cell r="AA106">
            <v>0.72453274755482466</v>
          </cell>
          <cell r="AB106">
            <v>0.72462941847206386</v>
          </cell>
          <cell r="AC106">
            <v>0.76928314734253833</v>
          </cell>
          <cell r="AD106">
            <v>0.76896455484231097</v>
          </cell>
          <cell r="AE106">
            <v>0.77909738717339672</v>
          </cell>
          <cell r="AF106">
            <v>0.77848101265822789</v>
          </cell>
          <cell r="AM106">
            <v>0.72919497072845385</v>
          </cell>
          <cell r="AN106">
            <v>0.72928969326033422</v>
          </cell>
          <cell r="AO106">
            <v>0.72928969326033422</v>
          </cell>
          <cell r="AP106">
            <v>0.75502050535785148</v>
          </cell>
          <cell r="AQ106">
            <v>0.73859564164648916</v>
          </cell>
          <cell r="AR106">
            <v>0.73801845046126158</v>
          </cell>
        </row>
        <row r="107">
          <cell r="D107">
            <v>32</v>
          </cell>
          <cell r="E107">
            <v>0.76928314734253833</v>
          </cell>
          <cell r="F107">
            <v>0.76896455484231097</v>
          </cell>
          <cell r="G107">
            <v>0.77909738717339672</v>
          </cell>
          <cell r="H107">
            <v>0.77848101265822789</v>
          </cell>
          <cell r="O107">
            <v>0.72453274755482466</v>
          </cell>
          <cell r="P107">
            <v>0.72462941847206386</v>
          </cell>
          <cell r="Q107">
            <v>0.72462941847206386</v>
          </cell>
          <cell r="R107">
            <v>0.72432830327567177</v>
          </cell>
          <cell r="S107">
            <v>0.73386902757061057</v>
          </cell>
          <cell r="T107">
            <v>0.73330683624801274</v>
          </cell>
          <cell r="AA107">
            <v>0.72453274755482466</v>
          </cell>
          <cell r="AB107">
            <v>0.72462941847206386</v>
          </cell>
          <cell r="AC107">
            <v>0.76928314734253833</v>
          </cell>
          <cell r="AD107">
            <v>0.76896455484231097</v>
          </cell>
          <cell r="AE107">
            <v>0.77909738717339672</v>
          </cell>
          <cell r="AF107">
            <v>0.77848101265822789</v>
          </cell>
          <cell r="AM107">
            <v>0.72919497072845385</v>
          </cell>
          <cell r="AN107">
            <v>0.72928969326033422</v>
          </cell>
          <cell r="AO107">
            <v>0.72928969326033422</v>
          </cell>
          <cell r="AP107">
            <v>0.75502050535785148</v>
          </cell>
          <cell r="AQ107">
            <v>0.73859564164648916</v>
          </cell>
          <cell r="AR107">
            <v>0.73801845046126158</v>
          </cell>
        </row>
        <row r="108">
          <cell r="D108">
            <v>33</v>
          </cell>
          <cell r="E108">
            <v>0.76928314734253833</v>
          </cell>
          <cell r="F108">
            <v>0.76896455484231097</v>
          </cell>
          <cell r="G108">
            <v>0.77909738717339672</v>
          </cell>
          <cell r="H108">
            <v>0.77848101265822789</v>
          </cell>
          <cell r="O108">
            <v>0.72453274755482466</v>
          </cell>
          <cell r="P108">
            <v>0.72462941847206386</v>
          </cell>
          <cell r="Q108">
            <v>0.72462941847206386</v>
          </cell>
          <cell r="R108">
            <v>0.72432830327567177</v>
          </cell>
          <cell r="S108">
            <v>0.73386902757061057</v>
          </cell>
          <cell r="T108">
            <v>0.73330683624801274</v>
          </cell>
          <cell r="AA108">
            <v>0.72453274755482466</v>
          </cell>
          <cell r="AB108">
            <v>0.72462941847206386</v>
          </cell>
          <cell r="AC108">
            <v>0.76928314734253833</v>
          </cell>
          <cell r="AD108">
            <v>0.76896455484231097</v>
          </cell>
          <cell r="AE108">
            <v>0.77909738717339672</v>
          </cell>
          <cell r="AF108">
            <v>0.77848101265822789</v>
          </cell>
          <cell r="AM108">
            <v>0.72919497072845385</v>
          </cell>
          <cell r="AN108">
            <v>0.72928969326033422</v>
          </cell>
          <cell r="AO108">
            <v>0.72928969326033422</v>
          </cell>
          <cell r="AP108">
            <v>0.75502050535785148</v>
          </cell>
          <cell r="AQ108">
            <v>0.73859564164648916</v>
          </cell>
          <cell r="AR108">
            <v>0.73801845046126158</v>
          </cell>
        </row>
        <row r="109">
          <cell r="D109">
            <v>34</v>
          </cell>
          <cell r="E109">
            <v>0.76928314734253833</v>
          </cell>
          <cell r="F109">
            <v>0.76896455484231097</v>
          </cell>
          <cell r="G109">
            <v>0.77909738717339672</v>
          </cell>
          <cell r="H109">
            <v>0.77848101265822789</v>
          </cell>
          <cell r="O109">
            <v>0.72453274755482466</v>
          </cell>
          <cell r="P109">
            <v>0.72462941847206386</v>
          </cell>
          <cell r="Q109">
            <v>0.72462941847206386</v>
          </cell>
          <cell r="R109">
            <v>0.72432830327567177</v>
          </cell>
          <cell r="S109">
            <v>0.73386902757061057</v>
          </cell>
          <cell r="T109">
            <v>0.73330683624801274</v>
          </cell>
          <cell r="AA109">
            <v>0.72453274755482466</v>
          </cell>
          <cell r="AB109">
            <v>0.72462941847206386</v>
          </cell>
          <cell r="AC109">
            <v>0.76928314734253833</v>
          </cell>
          <cell r="AD109">
            <v>0.76896455484231097</v>
          </cell>
          <cell r="AE109">
            <v>0.77909738717339672</v>
          </cell>
          <cell r="AF109">
            <v>0.77848101265822789</v>
          </cell>
          <cell r="AM109">
            <v>0.72919497072845385</v>
          </cell>
          <cell r="AN109">
            <v>0.72928969326033422</v>
          </cell>
          <cell r="AO109">
            <v>0.72928969326033422</v>
          </cell>
          <cell r="AP109">
            <v>0.75502050535785148</v>
          </cell>
          <cell r="AQ109">
            <v>0.73859564164648916</v>
          </cell>
          <cell r="AR109">
            <v>0.73801845046126158</v>
          </cell>
        </row>
        <row r="110">
          <cell r="D110">
            <v>35</v>
          </cell>
          <cell r="E110">
            <v>0.76928314734253833</v>
          </cell>
          <cell r="F110">
            <v>0.76896455484231097</v>
          </cell>
          <cell r="G110">
            <v>0.77909738717339672</v>
          </cell>
          <cell r="H110">
            <v>0.77848101265822789</v>
          </cell>
          <cell r="O110">
            <v>0.72453274755482466</v>
          </cell>
          <cell r="P110">
            <v>0.72462941847206386</v>
          </cell>
          <cell r="Q110">
            <v>0.72462941847206386</v>
          </cell>
          <cell r="R110">
            <v>0.72432830327567177</v>
          </cell>
          <cell r="S110">
            <v>0.73386902757061057</v>
          </cell>
          <cell r="T110">
            <v>0.73330683624801274</v>
          </cell>
          <cell r="AA110">
            <v>0.72453274755482466</v>
          </cell>
          <cell r="AB110">
            <v>0.72462941847206386</v>
          </cell>
          <cell r="AC110">
            <v>0.76928314734253833</v>
          </cell>
          <cell r="AD110">
            <v>0.76896455484231097</v>
          </cell>
          <cell r="AE110">
            <v>0.77909738717339672</v>
          </cell>
          <cell r="AF110">
            <v>0.77848101265822789</v>
          </cell>
          <cell r="AM110">
            <v>0.72919497072845385</v>
          </cell>
          <cell r="AN110">
            <v>0.72928969326033422</v>
          </cell>
          <cell r="AO110">
            <v>0.72928969326033422</v>
          </cell>
          <cell r="AP110">
            <v>0.75502050535785148</v>
          </cell>
          <cell r="AQ110">
            <v>0.73859564164648916</v>
          </cell>
          <cell r="AR110">
            <v>0.73801845046126158</v>
          </cell>
        </row>
        <row r="111">
          <cell r="D111">
            <v>36</v>
          </cell>
          <cell r="E111">
            <v>0.76928314734253833</v>
          </cell>
          <cell r="F111">
            <v>0.76896455484231097</v>
          </cell>
          <cell r="G111">
            <v>0.77909738717339672</v>
          </cell>
          <cell r="H111">
            <v>0.77848101265822789</v>
          </cell>
          <cell r="O111">
            <v>0.72453274755482466</v>
          </cell>
          <cell r="P111">
            <v>0.72462941847206386</v>
          </cell>
          <cell r="Q111">
            <v>0.72462941847206386</v>
          </cell>
          <cell r="R111">
            <v>0.72432830327567177</v>
          </cell>
          <cell r="S111">
            <v>0.73386902757061057</v>
          </cell>
          <cell r="T111">
            <v>0.73330683624801274</v>
          </cell>
          <cell r="AA111">
            <v>0.72453274755482466</v>
          </cell>
          <cell r="AB111">
            <v>0.72462941847206386</v>
          </cell>
          <cell r="AC111">
            <v>0.76928314734253833</v>
          </cell>
          <cell r="AD111">
            <v>0.76896455484231097</v>
          </cell>
          <cell r="AE111">
            <v>0.77909738717339672</v>
          </cell>
          <cell r="AF111">
            <v>0.77848101265822789</v>
          </cell>
          <cell r="AM111">
            <v>0.72919497072845385</v>
          </cell>
          <cell r="AN111">
            <v>0.72928969326033422</v>
          </cell>
          <cell r="AO111">
            <v>0.72928969326033422</v>
          </cell>
          <cell r="AP111">
            <v>0.75502050535785148</v>
          </cell>
          <cell r="AQ111">
            <v>0.73859564164648916</v>
          </cell>
          <cell r="AR111">
            <v>0.73801845046126158</v>
          </cell>
        </row>
        <row r="112">
          <cell r="D112">
            <v>37</v>
          </cell>
          <cell r="E112">
            <v>0.76928314734253833</v>
          </cell>
          <cell r="F112">
            <v>0.76896455484231097</v>
          </cell>
          <cell r="G112">
            <v>0.77909738717339672</v>
          </cell>
          <cell r="H112">
            <v>0.77848101265822789</v>
          </cell>
          <cell r="O112">
            <v>0.72453274755482466</v>
          </cell>
          <cell r="P112">
            <v>0.72462941847206386</v>
          </cell>
          <cell r="Q112">
            <v>0.72462941847206386</v>
          </cell>
          <cell r="R112">
            <v>0.72432830327567177</v>
          </cell>
          <cell r="S112">
            <v>0.73386902757061057</v>
          </cell>
          <cell r="T112">
            <v>0.73330683624801274</v>
          </cell>
          <cell r="AA112">
            <v>0.72453274755482466</v>
          </cell>
          <cell r="AB112">
            <v>0.72462941847206386</v>
          </cell>
          <cell r="AC112">
            <v>0.76928314734253833</v>
          </cell>
          <cell r="AD112">
            <v>0.76896455484231097</v>
          </cell>
          <cell r="AE112">
            <v>0.77909738717339672</v>
          </cell>
          <cell r="AF112">
            <v>0.77848101265822789</v>
          </cell>
          <cell r="AM112">
            <v>0.72919497072845385</v>
          </cell>
          <cell r="AN112">
            <v>0.72928969326033422</v>
          </cell>
          <cell r="AO112">
            <v>0.72928969326033422</v>
          </cell>
          <cell r="AP112">
            <v>0.75502050535785148</v>
          </cell>
          <cell r="AQ112">
            <v>0.73859564164648916</v>
          </cell>
          <cell r="AR112">
            <v>0.73801845046126158</v>
          </cell>
        </row>
        <row r="113">
          <cell r="D113">
            <v>38</v>
          </cell>
          <cell r="E113">
            <v>0.76928314734253833</v>
          </cell>
          <cell r="F113">
            <v>0.76896455484231097</v>
          </cell>
          <cell r="G113">
            <v>0.77909738717339672</v>
          </cell>
          <cell r="H113">
            <v>0.77848101265822789</v>
          </cell>
          <cell r="O113">
            <v>0.72453274755482466</v>
          </cell>
          <cell r="P113">
            <v>0.72462941847206386</v>
          </cell>
          <cell r="Q113">
            <v>0.72462941847206386</v>
          </cell>
          <cell r="R113">
            <v>0.72432830327567177</v>
          </cell>
          <cell r="S113">
            <v>0.73386902757061057</v>
          </cell>
          <cell r="T113">
            <v>0.73330683624801274</v>
          </cell>
          <cell r="AA113">
            <v>0.72453274755482466</v>
          </cell>
          <cell r="AB113">
            <v>0.72462941847206386</v>
          </cell>
          <cell r="AC113">
            <v>0.76928314734253833</v>
          </cell>
          <cell r="AD113">
            <v>0.76896455484231097</v>
          </cell>
          <cell r="AE113">
            <v>0.77909738717339672</v>
          </cell>
          <cell r="AF113">
            <v>0.77848101265822789</v>
          </cell>
          <cell r="AM113">
            <v>0.72919497072845385</v>
          </cell>
          <cell r="AN113">
            <v>0.72928969326033422</v>
          </cell>
          <cell r="AO113">
            <v>0.72928969326033422</v>
          </cell>
          <cell r="AP113">
            <v>0.75502050535785148</v>
          </cell>
          <cell r="AQ113">
            <v>0.73859564164648916</v>
          </cell>
          <cell r="AR113">
            <v>0.73801845046126158</v>
          </cell>
        </row>
        <row r="114">
          <cell r="D114">
            <v>39</v>
          </cell>
          <cell r="E114">
            <v>0.76928314734253833</v>
          </cell>
          <cell r="F114">
            <v>0.76896455484231097</v>
          </cell>
          <cell r="G114">
            <v>0.77909738717339672</v>
          </cell>
          <cell r="H114">
            <v>0.77848101265822789</v>
          </cell>
          <cell r="O114">
            <v>0.72453274755482466</v>
          </cell>
          <cell r="P114">
            <v>0.72462941847206386</v>
          </cell>
          <cell r="Q114">
            <v>0.72462941847206386</v>
          </cell>
          <cell r="R114">
            <v>0.72432830327567177</v>
          </cell>
          <cell r="S114">
            <v>0.73386902757061057</v>
          </cell>
          <cell r="T114">
            <v>0.73330683624801274</v>
          </cell>
          <cell r="AA114">
            <v>0.72453274755482466</v>
          </cell>
          <cell r="AB114">
            <v>0.72462941847206386</v>
          </cell>
          <cell r="AC114">
            <v>0.76928314734253833</v>
          </cell>
          <cell r="AD114">
            <v>0.76896455484231097</v>
          </cell>
          <cell r="AE114">
            <v>0.77909738717339672</v>
          </cell>
          <cell r="AF114">
            <v>0.77848101265822789</v>
          </cell>
          <cell r="AM114">
            <v>0.72919497072845385</v>
          </cell>
          <cell r="AN114">
            <v>0.72928969326033422</v>
          </cell>
          <cell r="AO114">
            <v>0.72928969326033422</v>
          </cell>
          <cell r="AP114">
            <v>0.75502050535785148</v>
          </cell>
          <cell r="AQ114">
            <v>0.73859564164648916</v>
          </cell>
          <cell r="AR114">
            <v>0.73801845046126158</v>
          </cell>
        </row>
        <row r="115">
          <cell r="D115">
            <v>40</v>
          </cell>
          <cell r="E115">
            <v>0.76928314734253833</v>
          </cell>
          <cell r="F115">
            <v>0.76896455484231097</v>
          </cell>
          <cell r="G115">
            <v>0.77909738717339672</v>
          </cell>
          <cell r="H115">
            <v>0.77848101265822789</v>
          </cell>
          <cell r="O115">
            <v>0.72453274755482466</v>
          </cell>
          <cell r="P115">
            <v>0.72462941847206386</v>
          </cell>
          <cell r="Q115">
            <v>0.72462941847206386</v>
          </cell>
          <cell r="R115">
            <v>0.72432830327567177</v>
          </cell>
          <cell r="S115">
            <v>0.73386902757061057</v>
          </cell>
          <cell r="T115">
            <v>0.73330683624801274</v>
          </cell>
          <cell r="AA115">
            <v>0.72453274755482466</v>
          </cell>
          <cell r="AB115">
            <v>0.72462941847206386</v>
          </cell>
          <cell r="AC115">
            <v>0.76928314734253833</v>
          </cell>
          <cell r="AD115">
            <v>0.76896455484231097</v>
          </cell>
          <cell r="AE115">
            <v>0.77909738717339672</v>
          </cell>
          <cell r="AF115">
            <v>0.77848101265822789</v>
          </cell>
          <cell r="AM115">
            <v>0.72919497072845385</v>
          </cell>
          <cell r="AN115">
            <v>0.72928969326033422</v>
          </cell>
          <cell r="AO115">
            <v>0.72928969326033422</v>
          </cell>
          <cell r="AP115">
            <v>0.75502050535785148</v>
          </cell>
          <cell r="AQ115">
            <v>0.73859564164648916</v>
          </cell>
          <cell r="AR115">
            <v>0.73801845046126158</v>
          </cell>
        </row>
        <row r="116">
          <cell r="D116">
            <v>41</v>
          </cell>
          <cell r="E116">
            <v>0.76928314734253833</v>
          </cell>
          <cell r="F116">
            <v>0.76896455484231097</v>
          </cell>
          <cell r="G116">
            <v>0.77909738717339672</v>
          </cell>
          <cell r="H116">
            <v>0.77848101265822789</v>
          </cell>
          <cell r="O116">
            <v>0.72453274755482466</v>
          </cell>
          <cell r="P116">
            <v>0.72462941847206386</v>
          </cell>
          <cell r="Q116">
            <v>0.72462941847206386</v>
          </cell>
          <cell r="R116">
            <v>0.72432830327567177</v>
          </cell>
          <cell r="S116">
            <v>0.73386902757061057</v>
          </cell>
          <cell r="T116">
            <v>0.73330683624801274</v>
          </cell>
          <cell r="AA116">
            <v>0.72453274755482466</v>
          </cell>
          <cell r="AB116">
            <v>0.72462941847206386</v>
          </cell>
          <cell r="AC116">
            <v>0.76928314734253833</v>
          </cell>
          <cell r="AD116">
            <v>0.76896455484231097</v>
          </cell>
          <cell r="AE116">
            <v>0.77909738717339672</v>
          </cell>
          <cell r="AF116">
            <v>0.77848101265822789</v>
          </cell>
          <cell r="AM116">
            <v>0.72919497072845385</v>
          </cell>
          <cell r="AN116">
            <v>0.72928969326033422</v>
          </cell>
          <cell r="AO116">
            <v>0.72928969326033422</v>
          </cell>
          <cell r="AP116">
            <v>0.75502050535785148</v>
          </cell>
          <cell r="AQ116">
            <v>0.73859564164648916</v>
          </cell>
          <cell r="AR116">
            <v>0.73801845046126158</v>
          </cell>
        </row>
        <row r="117">
          <cell r="D117">
            <v>42</v>
          </cell>
          <cell r="E117">
            <v>0.76928314734253833</v>
          </cell>
          <cell r="F117">
            <v>0.76896455484231097</v>
          </cell>
          <cell r="G117">
            <v>0.77909738717339672</v>
          </cell>
          <cell r="H117">
            <v>0.77848101265822789</v>
          </cell>
          <cell r="O117">
            <v>0.72453274755482466</v>
          </cell>
          <cell r="P117">
            <v>0.72462941847206386</v>
          </cell>
          <cell r="Q117">
            <v>0.72462941847206386</v>
          </cell>
          <cell r="R117">
            <v>0.72432830327567177</v>
          </cell>
          <cell r="S117">
            <v>0.73386902757061057</v>
          </cell>
          <cell r="T117">
            <v>0.73330683624801274</v>
          </cell>
          <cell r="AA117">
            <v>0.72453274755482466</v>
          </cell>
          <cell r="AB117">
            <v>0.72462941847206386</v>
          </cell>
          <cell r="AC117">
            <v>0.76928314734253833</v>
          </cell>
          <cell r="AD117">
            <v>0.76896455484231097</v>
          </cell>
          <cell r="AE117">
            <v>0.77909738717339672</v>
          </cell>
          <cell r="AF117">
            <v>0.77848101265822789</v>
          </cell>
          <cell r="AM117">
            <v>0.72919497072845385</v>
          </cell>
          <cell r="AN117">
            <v>0.72928969326033422</v>
          </cell>
          <cell r="AO117">
            <v>0.72928969326033422</v>
          </cell>
          <cell r="AP117">
            <v>0.75502050535785148</v>
          </cell>
          <cell r="AQ117">
            <v>0.73859564164648916</v>
          </cell>
          <cell r="AR117">
            <v>0.73801845046126158</v>
          </cell>
        </row>
        <row r="118">
          <cell r="D118">
            <v>43</v>
          </cell>
          <cell r="E118">
            <v>0.76928314734253833</v>
          </cell>
          <cell r="F118">
            <v>0.76896455484231097</v>
          </cell>
          <cell r="G118">
            <v>0.77909738717339672</v>
          </cell>
          <cell r="H118">
            <v>0.77848101265822789</v>
          </cell>
          <cell r="O118">
            <v>0.72453274755482466</v>
          </cell>
          <cell r="P118">
            <v>0.72462941847206386</v>
          </cell>
          <cell r="Q118">
            <v>0.72462941847206386</v>
          </cell>
          <cell r="R118">
            <v>0.72432830327567177</v>
          </cell>
          <cell r="S118">
            <v>0.73386902757061057</v>
          </cell>
          <cell r="T118">
            <v>0.73330683624801274</v>
          </cell>
          <cell r="AA118">
            <v>0.72453274755482466</v>
          </cell>
          <cell r="AB118">
            <v>0.72462941847206386</v>
          </cell>
          <cell r="AC118">
            <v>0.76928314734253833</v>
          </cell>
          <cell r="AD118">
            <v>0.76896455484231097</v>
          </cell>
          <cell r="AE118">
            <v>0.77909738717339672</v>
          </cell>
          <cell r="AF118">
            <v>0.77848101265822789</v>
          </cell>
          <cell r="AM118">
            <v>0.72919497072845385</v>
          </cell>
          <cell r="AN118">
            <v>0.72928969326033422</v>
          </cell>
          <cell r="AO118">
            <v>0.72928969326033422</v>
          </cell>
          <cell r="AP118">
            <v>0.75502050535785148</v>
          </cell>
          <cell r="AQ118">
            <v>0.73859564164648916</v>
          </cell>
          <cell r="AR118">
            <v>0.73801845046126158</v>
          </cell>
        </row>
        <row r="119">
          <cell r="D119">
            <v>44</v>
          </cell>
          <cell r="E119">
            <v>0.76928314734253833</v>
          </cell>
          <cell r="F119">
            <v>0.76896455484231097</v>
          </cell>
          <cell r="G119">
            <v>0.77909738717339672</v>
          </cell>
          <cell r="H119">
            <v>0.77848101265822789</v>
          </cell>
          <cell r="O119">
            <v>0.72453274755482466</v>
          </cell>
          <cell r="P119">
            <v>0.72462941847206386</v>
          </cell>
          <cell r="Q119">
            <v>0.72462941847206386</v>
          </cell>
          <cell r="R119">
            <v>0.72432830327567177</v>
          </cell>
          <cell r="S119">
            <v>0.73386902757061057</v>
          </cell>
          <cell r="T119">
            <v>0.73330683624801274</v>
          </cell>
          <cell r="AA119">
            <v>0.72453274755482466</v>
          </cell>
          <cell r="AB119">
            <v>0.72462941847206386</v>
          </cell>
          <cell r="AC119">
            <v>0.76928314734253833</v>
          </cell>
          <cell r="AD119">
            <v>0.76896455484231097</v>
          </cell>
          <cell r="AE119">
            <v>0.77909738717339672</v>
          </cell>
          <cell r="AF119">
            <v>0.77848101265822789</v>
          </cell>
          <cell r="AM119">
            <v>0.72919497072845385</v>
          </cell>
          <cell r="AN119">
            <v>0.72928969326033422</v>
          </cell>
          <cell r="AO119">
            <v>0.72928969326033422</v>
          </cell>
          <cell r="AP119">
            <v>0.75502050535785148</v>
          </cell>
          <cell r="AQ119">
            <v>0.73859564164648916</v>
          </cell>
          <cell r="AR119">
            <v>0.73801845046126158</v>
          </cell>
        </row>
        <row r="120">
          <cell r="D120">
            <v>45</v>
          </cell>
          <cell r="E120">
            <v>0.76928314734253833</v>
          </cell>
          <cell r="F120">
            <v>0.76896455484231097</v>
          </cell>
          <cell r="G120">
            <v>0.77909738717339672</v>
          </cell>
          <cell r="H120">
            <v>0.77848101265822789</v>
          </cell>
          <cell r="O120">
            <v>0.72453274755482466</v>
          </cell>
          <cell r="P120">
            <v>0.72462941847206386</v>
          </cell>
          <cell r="Q120">
            <v>0.72462941847206386</v>
          </cell>
          <cell r="R120">
            <v>0.72432830327567177</v>
          </cell>
          <cell r="S120">
            <v>0.73386902757061057</v>
          </cell>
          <cell r="T120">
            <v>0.73330683624801274</v>
          </cell>
          <cell r="AA120">
            <v>0.72453274755482466</v>
          </cell>
          <cell r="AB120">
            <v>0.72462941847206386</v>
          </cell>
          <cell r="AC120">
            <v>0.76928314734253833</v>
          </cell>
          <cell r="AD120">
            <v>0.76896455484231097</v>
          </cell>
          <cell r="AE120">
            <v>0.77909738717339672</v>
          </cell>
          <cell r="AF120">
            <v>0.77848101265822789</v>
          </cell>
          <cell r="AM120">
            <v>0.72919497072845385</v>
          </cell>
          <cell r="AN120">
            <v>0.72928969326033422</v>
          </cell>
          <cell r="AO120">
            <v>0.72928969326033422</v>
          </cell>
          <cell r="AP120">
            <v>0.75502050535785148</v>
          </cell>
          <cell r="AQ120">
            <v>0.73859564164648916</v>
          </cell>
          <cell r="AR120">
            <v>0.73801845046126158</v>
          </cell>
        </row>
        <row r="121">
          <cell r="D121">
            <v>46</v>
          </cell>
          <cell r="E121">
            <v>0.76928314734253833</v>
          </cell>
          <cell r="F121">
            <v>0.76896455484231097</v>
          </cell>
          <cell r="G121">
            <v>0.77909738717339672</v>
          </cell>
          <cell r="H121">
            <v>0.77848101265822789</v>
          </cell>
          <cell r="O121">
            <v>0.72453274755482466</v>
          </cell>
          <cell r="P121">
            <v>0.72462941847206386</v>
          </cell>
          <cell r="Q121">
            <v>0.72462941847206386</v>
          </cell>
          <cell r="R121">
            <v>0.72432830327567177</v>
          </cell>
          <cell r="S121">
            <v>0.73386902757061057</v>
          </cell>
          <cell r="T121">
            <v>0.73330683624801274</v>
          </cell>
          <cell r="AA121">
            <v>0.72453274755482466</v>
          </cell>
          <cell r="AB121">
            <v>0.72462941847206386</v>
          </cell>
          <cell r="AC121">
            <v>0.76928314734253833</v>
          </cell>
          <cell r="AD121">
            <v>0.76896455484231097</v>
          </cell>
          <cell r="AE121">
            <v>0.77909738717339672</v>
          </cell>
          <cell r="AF121">
            <v>0.77848101265822789</v>
          </cell>
          <cell r="AM121">
            <v>0.72919497072845385</v>
          </cell>
          <cell r="AN121">
            <v>0.72928969326033422</v>
          </cell>
          <cell r="AO121">
            <v>0.72928969326033422</v>
          </cell>
          <cell r="AP121">
            <v>0.75502050535785148</v>
          </cell>
          <cell r="AQ121">
            <v>0.73859564164648916</v>
          </cell>
          <cell r="AR121">
            <v>0.73801845046126158</v>
          </cell>
        </row>
        <row r="122">
          <cell r="D122">
            <v>47</v>
          </cell>
          <cell r="E122">
            <v>1.3076224702099486</v>
          </cell>
          <cell r="F122">
            <v>1.3080472602102526</v>
          </cell>
          <cell r="G122">
            <v>1.2945368171021376</v>
          </cell>
          <cell r="H122">
            <v>1.295358649789029</v>
          </cell>
          <cell r="O122">
            <v>1.3672896699269002</v>
          </cell>
          <cell r="P122">
            <v>1.3671607753705823</v>
          </cell>
          <cell r="Q122">
            <v>1.3671607753705823</v>
          </cell>
          <cell r="R122">
            <v>1.3675622622991039</v>
          </cell>
          <cell r="S122">
            <v>1.3548412965725196</v>
          </cell>
          <cell r="T122">
            <v>1.3555908850026503</v>
          </cell>
          <cell r="AA122">
            <v>1.3672896699269002</v>
          </cell>
          <cell r="AB122">
            <v>1.3671607753705823</v>
          </cell>
          <cell r="AC122">
            <v>1.3076224702099486</v>
          </cell>
          <cell r="AD122">
            <v>1.3080472602102526</v>
          </cell>
          <cell r="AE122">
            <v>1.2945368171021376</v>
          </cell>
          <cell r="AF122">
            <v>1.295358649789029</v>
          </cell>
          <cell r="AM122">
            <v>1.3610733723620612</v>
          </cell>
          <cell r="AN122">
            <v>1.3609470756528876</v>
          </cell>
          <cell r="AO122">
            <v>1.3609470756528876</v>
          </cell>
          <cell r="AP122">
            <v>1.3266393261895317</v>
          </cell>
          <cell r="AQ122">
            <v>1.3485391444713466</v>
          </cell>
          <cell r="AR122">
            <v>1.3493087327183177</v>
          </cell>
        </row>
        <row r="123">
          <cell r="D123">
            <v>48</v>
          </cell>
          <cell r="E123">
            <v>1.3076224702099486</v>
          </cell>
          <cell r="F123">
            <v>1.3080472602102526</v>
          </cell>
          <cell r="G123">
            <v>1.2945368171021376</v>
          </cell>
          <cell r="H123">
            <v>1.295358649789029</v>
          </cell>
          <cell r="O123">
            <v>1.3672896699269002</v>
          </cell>
          <cell r="P123">
            <v>1.3671607753705823</v>
          </cell>
          <cell r="Q123">
            <v>1.3671607753705823</v>
          </cell>
          <cell r="R123">
            <v>1.3675622622991039</v>
          </cell>
          <cell r="S123">
            <v>1.3548412965725196</v>
          </cell>
          <cell r="T123">
            <v>1.3555908850026503</v>
          </cell>
          <cell r="AA123">
            <v>1.3672896699269002</v>
          </cell>
          <cell r="AB123">
            <v>1.3671607753705823</v>
          </cell>
          <cell r="AC123">
            <v>1.3076224702099486</v>
          </cell>
          <cell r="AD123">
            <v>1.3080472602102526</v>
          </cell>
          <cell r="AE123">
            <v>1.2945368171021376</v>
          </cell>
          <cell r="AF123">
            <v>1.295358649789029</v>
          </cell>
          <cell r="AM123">
            <v>1.3610733723620612</v>
          </cell>
          <cell r="AN123">
            <v>1.3609470756528876</v>
          </cell>
          <cell r="AO123">
            <v>1.3609470756528876</v>
          </cell>
          <cell r="AP123">
            <v>1.3266393261895317</v>
          </cell>
          <cell r="AQ123">
            <v>1.3485391444713466</v>
          </cell>
          <cell r="AR123">
            <v>1.3493087327183177</v>
          </cell>
        </row>
        <row r="124">
          <cell r="D124">
            <v>49</v>
          </cell>
          <cell r="E124">
            <v>1.3076224702099486</v>
          </cell>
          <cell r="F124">
            <v>1.3080472602102526</v>
          </cell>
          <cell r="G124">
            <v>1.2945368171021376</v>
          </cell>
          <cell r="H124">
            <v>1.295358649789029</v>
          </cell>
          <cell r="O124">
            <v>1.3672896699269002</v>
          </cell>
          <cell r="P124">
            <v>1.3671607753705823</v>
          </cell>
          <cell r="Q124">
            <v>1.3671607753705823</v>
          </cell>
          <cell r="R124">
            <v>1.3675622622991039</v>
          </cell>
          <cell r="S124">
            <v>1.3548412965725196</v>
          </cell>
          <cell r="T124">
            <v>1.3555908850026503</v>
          </cell>
          <cell r="AA124">
            <v>1.3672896699269002</v>
          </cell>
          <cell r="AB124">
            <v>1.3671607753705823</v>
          </cell>
          <cell r="AC124">
            <v>1.3076224702099486</v>
          </cell>
          <cell r="AD124">
            <v>1.3080472602102526</v>
          </cell>
          <cell r="AE124">
            <v>1.2945368171021376</v>
          </cell>
          <cell r="AF124">
            <v>1.295358649789029</v>
          </cell>
          <cell r="AM124">
            <v>1.3610733723620612</v>
          </cell>
          <cell r="AN124">
            <v>1.3609470756528876</v>
          </cell>
          <cell r="AO124">
            <v>1.3609470756528876</v>
          </cell>
          <cell r="AP124">
            <v>1.3266393261895317</v>
          </cell>
          <cell r="AQ124">
            <v>1.3485391444713466</v>
          </cell>
          <cell r="AR124">
            <v>1.3493087327183177</v>
          </cell>
        </row>
        <row r="125">
          <cell r="D125">
            <v>50</v>
          </cell>
          <cell r="E125">
            <v>1.3076224702099486</v>
          </cell>
          <cell r="F125">
            <v>1.3080472602102526</v>
          </cell>
          <cell r="G125">
            <v>1.2945368171021376</v>
          </cell>
          <cell r="H125">
            <v>1.295358649789029</v>
          </cell>
          <cell r="O125">
            <v>1.3672896699269002</v>
          </cell>
          <cell r="P125">
            <v>1.3671607753705823</v>
          </cell>
          <cell r="Q125">
            <v>1.3671607753705823</v>
          </cell>
          <cell r="R125">
            <v>1.3675622622991039</v>
          </cell>
          <cell r="S125">
            <v>1.3548412965725196</v>
          </cell>
          <cell r="T125">
            <v>1.3555908850026503</v>
          </cell>
          <cell r="AA125">
            <v>1.3672896699269002</v>
          </cell>
          <cell r="AB125">
            <v>1.3671607753705823</v>
          </cell>
          <cell r="AC125">
            <v>1.3076224702099486</v>
          </cell>
          <cell r="AD125">
            <v>1.3080472602102526</v>
          </cell>
          <cell r="AE125">
            <v>1.2945368171021376</v>
          </cell>
          <cell r="AF125">
            <v>1.295358649789029</v>
          </cell>
          <cell r="AM125">
            <v>1.3610733723620612</v>
          </cell>
          <cell r="AN125">
            <v>1.3609470756528876</v>
          </cell>
          <cell r="AO125">
            <v>1.3609470756528876</v>
          </cell>
          <cell r="AP125">
            <v>1.3266393261895317</v>
          </cell>
          <cell r="AQ125">
            <v>1.3485391444713466</v>
          </cell>
          <cell r="AR125">
            <v>1.3493087327183177</v>
          </cell>
        </row>
        <row r="126">
          <cell r="D126">
            <v>51</v>
          </cell>
          <cell r="E126">
            <v>1.3076224702099486</v>
          </cell>
          <cell r="F126">
            <v>1.3080472602102526</v>
          </cell>
          <cell r="G126">
            <v>1.2945368171021376</v>
          </cell>
          <cell r="H126">
            <v>1.295358649789029</v>
          </cell>
          <cell r="O126">
            <v>1.3672896699269002</v>
          </cell>
          <cell r="P126">
            <v>1.3671607753705823</v>
          </cell>
          <cell r="Q126">
            <v>1.3671607753705823</v>
          </cell>
          <cell r="R126">
            <v>1.3675622622991039</v>
          </cell>
          <cell r="S126">
            <v>1.3548412965725196</v>
          </cell>
          <cell r="T126">
            <v>1.3555908850026503</v>
          </cell>
          <cell r="AA126">
            <v>1.3672896699269002</v>
          </cell>
          <cell r="AB126">
            <v>1.3671607753705823</v>
          </cell>
          <cell r="AC126">
            <v>1.3076224702099486</v>
          </cell>
          <cell r="AD126">
            <v>1.3080472602102526</v>
          </cell>
          <cell r="AE126">
            <v>1.2945368171021376</v>
          </cell>
          <cell r="AF126">
            <v>1.295358649789029</v>
          </cell>
          <cell r="AM126">
            <v>1.3610733723620612</v>
          </cell>
          <cell r="AN126">
            <v>1.3609470756528876</v>
          </cell>
          <cell r="AO126">
            <v>1.3609470756528876</v>
          </cell>
          <cell r="AP126">
            <v>1.3266393261895317</v>
          </cell>
          <cell r="AQ126">
            <v>1.3485391444713466</v>
          </cell>
          <cell r="AR126">
            <v>1.3493087327183177</v>
          </cell>
        </row>
        <row r="127">
          <cell r="D127">
            <v>52</v>
          </cell>
          <cell r="E127">
            <v>1.3076224702099486</v>
          </cell>
          <cell r="F127">
            <v>1.3080472602102526</v>
          </cell>
          <cell r="G127">
            <v>1.2945368171021376</v>
          </cell>
          <cell r="H127">
            <v>1.295358649789029</v>
          </cell>
          <cell r="O127">
            <v>1.3672896699269002</v>
          </cell>
          <cell r="P127">
            <v>1.3671607753705823</v>
          </cell>
          <cell r="Q127">
            <v>1.3671607753705823</v>
          </cell>
          <cell r="R127">
            <v>1.3675622622991039</v>
          </cell>
          <cell r="S127">
            <v>1.3548412965725196</v>
          </cell>
          <cell r="T127">
            <v>1.3555908850026503</v>
          </cell>
          <cell r="AA127">
            <v>1.3672896699269002</v>
          </cell>
          <cell r="AB127">
            <v>1.3671607753705823</v>
          </cell>
          <cell r="AC127">
            <v>1.3076224702099486</v>
          </cell>
          <cell r="AD127">
            <v>1.3080472602102526</v>
          </cell>
          <cell r="AE127">
            <v>1.2945368171021376</v>
          </cell>
          <cell r="AF127">
            <v>1.295358649789029</v>
          </cell>
          <cell r="AM127">
            <v>1.3610733723620612</v>
          </cell>
          <cell r="AN127">
            <v>1.3609470756528876</v>
          </cell>
          <cell r="AO127">
            <v>1.3609470756528876</v>
          </cell>
          <cell r="AP127">
            <v>1.3266393261895317</v>
          </cell>
          <cell r="AQ127">
            <v>1.3485391444713466</v>
          </cell>
          <cell r="AR127">
            <v>1.3493087327183177</v>
          </cell>
        </row>
        <row r="128">
          <cell r="D128">
            <v>53</v>
          </cell>
          <cell r="E128">
            <v>1.3076224702099486</v>
          </cell>
          <cell r="F128">
            <v>1.3080472602102526</v>
          </cell>
          <cell r="G128">
            <v>1.2945368171021376</v>
          </cell>
          <cell r="H128">
            <v>1.295358649789029</v>
          </cell>
          <cell r="O128">
            <v>1.3672896699269002</v>
          </cell>
          <cell r="P128">
            <v>1.3671607753705823</v>
          </cell>
          <cell r="Q128">
            <v>1.3671607753705823</v>
          </cell>
          <cell r="R128">
            <v>1.3675622622991039</v>
          </cell>
          <cell r="S128">
            <v>1.3548412965725196</v>
          </cell>
          <cell r="T128">
            <v>1.3555908850026503</v>
          </cell>
          <cell r="AA128">
            <v>1.3672896699269002</v>
          </cell>
          <cell r="AB128">
            <v>1.3671607753705823</v>
          </cell>
          <cell r="AC128">
            <v>1.3076224702099486</v>
          </cell>
          <cell r="AD128">
            <v>1.3080472602102526</v>
          </cell>
          <cell r="AE128">
            <v>1.2945368171021376</v>
          </cell>
          <cell r="AF128">
            <v>1.295358649789029</v>
          </cell>
          <cell r="AM128">
            <v>1.3610733723620612</v>
          </cell>
          <cell r="AN128">
            <v>1.3609470756528876</v>
          </cell>
          <cell r="AO128">
            <v>1.3609470756528876</v>
          </cell>
          <cell r="AP128">
            <v>1.3266393261895317</v>
          </cell>
          <cell r="AQ128">
            <v>1.3485391444713466</v>
          </cell>
          <cell r="AR128">
            <v>1.3493087327183177</v>
          </cell>
        </row>
        <row r="129">
          <cell r="D129">
            <v>54</v>
          </cell>
          <cell r="E129">
            <v>1.3076224702099486</v>
          </cell>
          <cell r="F129">
            <v>1.3080472602102526</v>
          </cell>
          <cell r="G129">
            <v>1.2945368171021376</v>
          </cell>
          <cell r="H129">
            <v>1.295358649789029</v>
          </cell>
          <cell r="O129">
            <v>1.3672896699269002</v>
          </cell>
          <cell r="P129">
            <v>1.3671607753705823</v>
          </cell>
          <cell r="Q129">
            <v>1.3671607753705823</v>
          </cell>
          <cell r="R129">
            <v>1.3675622622991039</v>
          </cell>
          <cell r="S129">
            <v>1.3548412965725196</v>
          </cell>
          <cell r="T129">
            <v>1.3555908850026503</v>
          </cell>
          <cell r="AA129">
            <v>1.3672896699269002</v>
          </cell>
          <cell r="AB129">
            <v>1.3671607753705823</v>
          </cell>
          <cell r="AC129">
            <v>1.3076224702099486</v>
          </cell>
          <cell r="AD129">
            <v>1.3080472602102526</v>
          </cell>
          <cell r="AE129">
            <v>1.2945368171021376</v>
          </cell>
          <cell r="AF129">
            <v>1.295358649789029</v>
          </cell>
          <cell r="AM129">
            <v>1.3610733723620612</v>
          </cell>
          <cell r="AN129">
            <v>1.3609470756528876</v>
          </cell>
          <cell r="AO129">
            <v>1.3609470756528876</v>
          </cell>
          <cell r="AP129">
            <v>1.3266393261895317</v>
          </cell>
          <cell r="AQ129">
            <v>1.3485391444713466</v>
          </cell>
          <cell r="AR129">
            <v>1.3493087327183177</v>
          </cell>
        </row>
        <row r="130">
          <cell r="D130">
            <v>55</v>
          </cell>
          <cell r="E130">
            <v>0.76928314734253833</v>
          </cell>
          <cell r="F130">
            <v>0.76896455484231097</v>
          </cell>
          <cell r="G130">
            <v>0.77909738717339672</v>
          </cell>
          <cell r="H130">
            <v>0.77848101265822789</v>
          </cell>
          <cell r="O130">
            <v>0.72453274755482466</v>
          </cell>
          <cell r="P130">
            <v>0.72462941847206386</v>
          </cell>
          <cell r="Q130">
            <v>0.72462941847206386</v>
          </cell>
          <cell r="R130">
            <v>0.72432830327567177</v>
          </cell>
          <cell r="S130">
            <v>0.73386902757061057</v>
          </cell>
          <cell r="T130">
            <v>0.73330683624801274</v>
          </cell>
          <cell r="AA130">
            <v>0.72453274755482466</v>
          </cell>
          <cell r="AB130">
            <v>0.72462941847206386</v>
          </cell>
          <cell r="AC130">
            <v>0.76928314734253833</v>
          </cell>
          <cell r="AD130">
            <v>0.76896455484231097</v>
          </cell>
          <cell r="AE130">
            <v>0.77909738717339672</v>
          </cell>
          <cell r="AF130">
            <v>0.77848101265822789</v>
          </cell>
          <cell r="AM130">
            <v>0.72919497072845385</v>
          </cell>
          <cell r="AN130">
            <v>0.72928969326033422</v>
          </cell>
          <cell r="AO130">
            <v>0.72928969326033422</v>
          </cell>
          <cell r="AP130">
            <v>0.75502050535785148</v>
          </cell>
          <cell r="AQ130">
            <v>0.73859564164648916</v>
          </cell>
          <cell r="AR130">
            <v>0.73801845046126158</v>
          </cell>
        </row>
        <row r="131">
          <cell r="D131">
            <v>56</v>
          </cell>
          <cell r="E131">
            <v>0.76928314734253833</v>
          </cell>
          <cell r="F131">
            <v>0.76896455484231097</v>
          </cell>
          <cell r="G131">
            <v>0.77909738717339672</v>
          </cell>
          <cell r="H131">
            <v>0.77848101265822789</v>
          </cell>
          <cell r="O131">
            <v>0.72453274755482466</v>
          </cell>
          <cell r="P131">
            <v>0.72462941847206386</v>
          </cell>
          <cell r="Q131">
            <v>0.72462941847206386</v>
          </cell>
          <cell r="R131">
            <v>0.72432830327567177</v>
          </cell>
          <cell r="S131">
            <v>0.73386902757061057</v>
          </cell>
          <cell r="T131">
            <v>0.73330683624801274</v>
          </cell>
          <cell r="AA131">
            <v>0.72453274755482466</v>
          </cell>
          <cell r="AB131">
            <v>0.72462941847206386</v>
          </cell>
          <cell r="AC131">
            <v>0.76928314734253833</v>
          </cell>
          <cell r="AD131">
            <v>0.76896455484231097</v>
          </cell>
          <cell r="AE131">
            <v>0.77909738717339672</v>
          </cell>
          <cell r="AF131">
            <v>0.77848101265822789</v>
          </cell>
          <cell r="AM131">
            <v>0.72919497072845385</v>
          </cell>
          <cell r="AN131">
            <v>0.72928969326033422</v>
          </cell>
          <cell r="AO131">
            <v>0.72928969326033422</v>
          </cell>
          <cell r="AP131">
            <v>0.75502050535785148</v>
          </cell>
          <cell r="AQ131">
            <v>0.73859564164648916</v>
          </cell>
          <cell r="AR131">
            <v>0.73801845046126158</v>
          </cell>
        </row>
        <row r="132">
          <cell r="D132">
            <v>57</v>
          </cell>
          <cell r="E132">
            <v>0.76928314734253833</v>
          </cell>
          <cell r="F132">
            <v>0.76896455484231097</v>
          </cell>
          <cell r="G132">
            <v>0.77909738717339672</v>
          </cell>
          <cell r="H132">
            <v>0.77848101265822789</v>
          </cell>
          <cell r="O132">
            <v>0.72453274755482466</v>
          </cell>
          <cell r="P132">
            <v>0.72462941847206386</v>
          </cell>
          <cell r="Q132">
            <v>0.72462941847206386</v>
          </cell>
          <cell r="R132">
            <v>0.72432830327567177</v>
          </cell>
          <cell r="S132">
            <v>0.73386902757061057</v>
          </cell>
          <cell r="T132">
            <v>0.73330683624801274</v>
          </cell>
          <cell r="AA132">
            <v>0.72453274755482466</v>
          </cell>
          <cell r="AB132">
            <v>0.72462941847206386</v>
          </cell>
          <cell r="AC132">
            <v>0.76928314734253833</v>
          </cell>
          <cell r="AD132">
            <v>0.76896455484231097</v>
          </cell>
          <cell r="AE132">
            <v>0.77909738717339672</v>
          </cell>
          <cell r="AF132">
            <v>0.77848101265822789</v>
          </cell>
          <cell r="AM132">
            <v>0.72919497072845385</v>
          </cell>
          <cell r="AN132">
            <v>0.72928969326033422</v>
          </cell>
          <cell r="AO132">
            <v>0.72928969326033422</v>
          </cell>
          <cell r="AP132">
            <v>0.75502050535785148</v>
          </cell>
          <cell r="AQ132">
            <v>0.73859564164648916</v>
          </cell>
          <cell r="AR132">
            <v>0.73801845046126158</v>
          </cell>
        </row>
        <row r="133">
          <cell r="D133">
            <v>58</v>
          </cell>
          <cell r="E133">
            <v>0.76928314734253833</v>
          </cell>
          <cell r="F133">
            <v>0.76896455484231097</v>
          </cell>
          <cell r="G133">
            <v>0.77909738717339672</v>
          </cell>
          <cell r="H133">
            <v>0.77848101265822789</v>
          </cell>
          <cell r="O133">
            <v>0.72453274755482466</v>
          </cell>
          <cell r="P133">
            <v>0.72462941847206386</v>
          </cell>
          <cell r="Q133">
            <v>0.72462941847206386</v>
          </cell>
          <cell r="R133">
            <v>0.72432830327567177</v>
          </cell>
          <cell r="S133">
            <v>0.73386902757061057</v>
          </cell>
          <cell r="T133">
            <v>0.73330683624801274</v>
          </cell>
          <cell r="AA133">
            <v>0.72453274755482466</v>
          </cell>
          <cell r="AB133">
            <v>0.72462941847206386</v>
          </cell>
          <cell r="AC133">
            <v>0.76928314734253833</v>
          </cell>
          <cell r="AD133">
            <v>0.76896455484231097</v>
          </cell>
          <cell r="AE133">
            <v>0.77909738717339672</v>
          </cell>
          <cell r="AF133">
            <v>0.77848101265822789</v>
          </cell>
          <cell r="AM133">
            <v>0.72919497072845385</v>
          </cell>
          <cell r="AN133">
            <v>0.72928969326033422</v>
          </cell>
          <cell r="AO133">
            <v>0.72928969326033422</v>
          </cell>
          <cell r="AP133">
            <v>0.75502050535785148</v>
          </cell>
          <cell r="AQ133">
            <v>0.73859564164648916</v>
          </cell>
          <cell r="AR133">
            <v>0.73801845046126158</v>
          </cell>
        </row>
        <row r="134">
          <cell r="D134">
            <v>59</v>
          </cell>
          <cell r="E134">
            <v>0.76928314734253833</v>
          </cell>
          <cell r="F134">
            <v>0.76896455484231097</v>
          </cell>
          <cell r="G134">
            <v>0.77909738717339672</v>
          </cell>
          <cell r="H134">
            <v>0.77848101265822789</v>
          </cell>
          <cell r="O134">
            <v>0.72453274755482466</v>
          </cell>
          <cell r="P134">
            <v>0.72462941847206386</v>
          </cell>
          <cell r="Q134">
            <v>0.72462941847206386</v>
          </cell>
          <cell r="R134">
            <v>0.72432830327567177</v>
          </cell>
          <cell r="S134">
            <v>0.73386902757061057</v>
          </cell>
          <cell r="T134">
            <v>0.73330683624801274</v>
          </cell>
          <cell r="AA134">
            <v>0.72453274755482466</v>
          </cell>
          <cell r="AB134">
            <v>0.72462941847206386</v>
          </cell>
          <cell r="AC134">
            <v>0.76928314734253833</v>
          </cell>
          <cell r="AD134">
            <v>0.76896455484231097</v>
          </cell>
          <cell r="AE134">
            <v>0.77909738717339672</v>
          </cell>
          <cell r="AF134">
            <v>0.77848101265822789</v>
          </cell>
          <cell r="AM134">
            <v>0.72919497072845385</v>
          </cell>
          <cell r="AN134">
            <v>0.72928969326033422</v>
          </cell>
          <cell r="AO134">
            <v>0.72928969326033422</v>
          </cell>
          <cell r="AP134">
            <v>0.75502050535785148</v>
          </cell>
          <cell r="AQ134">
            <v>0.73859564164648916</v>
          </cell>
          <cell r="AR134">
            <v>0.73801845046126158</v>
          </cell>
        </row>
        <row r="135">
          <cell r="D135">
            <v>60</v>
          </cell>
          <cell r="E135">
            <v>0.76928314734253833</v>
          </cell>
          <cell r="F135">
            <v>0.76896455484231097</v>
          </cell>
          <cell r="G135">
            <v>0.77909738717339672</v>
          </cell>
          <cell r="H135">
            <v>0.77848101265822789</v>
          </cell>
          <cell r="O135">
            <v>0.72453274755482466</v>
          </cell>
          <cell r="P135">
            <v>0.72462941847206386</v>
          </cell>
          <cell r="Q135">
            <v>0.72462941847206386</v>
          </cell>
          <cell r="R135">
            <v>0.72432830327567177</v>
          </cell>
          <cell r="S135">
            <v>0.73386902757061057</v>
          </cell>
          <cell r="T135">
            <v>0.73330683624801274</v>
          </cell>
          <cell r="AA135">
            <v>0.72453274755482466</v>
          </cell>
          <cell r="AB135">
            <v>0.72462941847206386</v>
          </cell>
          <cell r="AC135">
            <v>0.76928314734253833</v>
          </cell>
          <cell r="AD135">
            <v>0.76896455484231097</v>
          </cell>
          <cell r="AE135">
            <v>0.77909738717339672</v>
          </cell>
          <cell r="AF135">
            <v>0.77848101265822789</v>
          </cell>
          <cell r="AM135">
            <v>0.72919497072845385</v>
          </cell>
          <cell r="AN135">
            <v>0.72928969326033422</v>
          </cell>
          <cell r="AO135">
            <v>0.72928969326033422</v>
          </cell>
          <cell r="AP135">
            <v>0.75502050535785148</v>
          </cell>
          <cell r="AQ135">
            <v>0.73859564164648916</v>
          </cell>
          <cell r="AR135">
            <v>0.73801845046126158</v>
          </cell>
        </row>
        <row r="136">
          <cell r="D136">
            <v>61</v>
          </cell>
          <cell r="E136">
            <v>0.76928314734253833</v>
          </cell>
          <cell r="F136">
            <v>0.76896455484231097</v>
          </cell>
          <cell r="G136">
            <v>0.77909738717339672</v>
          </cell>
          <cell r="H136">
            <v>0.77848101265822789</v>
          </cell>
          <cell r="O136">
            <v>0.72453274755482466</v>
          </cell>
          <cell r="P136">
            <v>0.72462941847206386</v>
          </cell>
          <cell r="Q136">
            <v>0.72462941847206386</v>
          </cell>
          <cell r="R136">
            <v>0.72432830327567177</v>
          </cell>
          <cell r="S136">
            <v>0.73386902757061057</v>
          </cell>
          <cell r="T136">
            <v>0.73330683624801274</v>
          </cell>
          <cell r="AA136">
            <v>0.72453274755482466</v>
          </cell>
          <cell r="AB136">
            <v>0.72462941847206386</v>
          </cell>
          <cell r="AC136">
            <v>0.76928314734253833</v>
          </cell>
          <cell r="AD136">
            <v>0.76896455484231097</v>
          </cell>
          <cell r="AE136">
            <v>0.77909738717339672</v>
          </cell>
          <cell r="AF136">
            <v>0.77848101265822789</v>
          </cell>
          <cell r="AM136">
            <v>0.72919497072845385</v>
          </cell>
          <cell r="AN136">
            <v>0.72928969326033422</v>
          </cell>
          <cell r="AO136">
            <v>0.72928969326033422</v>
          </cell>
          <cell r="AP136">
            <v>0.75502050535785148</v>
          </cell>
          <cell r="AQ136">
            <v>0.73859564164648916</v>
          </cell>
          <cell r="AR136">
            <v>0.73801845046126158</v>
          </cell>
        </row>
        <row r="137">
          <cell r="D137">
            <v>62</v>
          </cell>
          <cell r="E137">
            <v>0.76928314734253833</v>
          </cell>
          <cell r="F137">
            <v>0.76896455484231097</v>
          </cell>
          <cell r="G137">
            <v>0.77909738717339672</v>
          </cell>
          <cell r="H137">
            <v>0.77848101265822789</v>
          </cell>
          <cell r="O137">
            <v>0.72453274755482466</v>
          </cell>
          <cell r="P137">
            <v>0.72462941847206386</v>
          </cell>
          <cell r="Q137">
            <v>0.72462941847206386</v>
          </cell>
          <cell r="R137">
            <v>0.72432830327567177</v>
          </cell>
          <cell r="S137">
            <v>0.73386902757061057</v>
          </cell>
          <cell r="T137">
            <v>0.73330683624801274</v>
          </cell>
          <cell r="AA137">
            <v>0.72453274755482466</v>
          </cell>
          <cell r="AB137">
            <v>0.72462941847206386</v>
          </cell>
          <cell r="AC137">
            <v>0.76928314734253833</v>
          </cell>
          <cell r="AD137">
            <v>0.76896455484231097</v>
          </cell>
          <cell r="AE137">
            <v>0.77909738717339672</v>
          </cell>
          <cell r="AF137">
            <v>0.77848101265822789</v>
          </cell>
          <cell r="AM137">
            <v>0.72919497072845385</v>
          </cell>
          <cell r="AN137">
            <v>0.72928969326033422</v>
          </cell>
          <cell r="AO137">
            <v>0.72928969326033422</v>
          </cell>
          <cell r="AP137">
            <v>0.75502050535785148</v>
          </cell>
          <cell r="AQ137">
            <v>0.73859564164648916</v>
          </cell>
          <cell r="AR137">
            <v>0.73801845046126158</v>
          </cell>
        </row>
        <row r="138">
          <cell r="D138">
            <v>63</v>
          </cell>
          <cell r="E138">
            <v>0.76928314734253833</v>
          </cell>
          <cell r="F138">
            <v>0.76896455484231097</v>
          </cell>
          <cell r="G138">
            <v>0.77909738717339672</v>
          </cell>
          <cell r="H138">
            <v>0.77848101265822789</v>
          </cell>
          <cell r="O138">
            <v>0.72453274755482466</v>
          </cell>
          <cell r="P138">
            <v>0.72462941847206386</v>
          </cell>
          <cell r="Q138">
            <v>0.72462941847206386</v>
          </cell>
          <cell r="R138">
            <v>0.72432830327567177</v>
          </cell>
          <cell r="S138">
            <v>0.73386902757061057</v>
          </cell>
          <cell r="T138">
            <v>0.73330683624801274</v>
          </cell>
          <cell r="AA138">
            <v>0.72453274755482466</v>
          </cell>
          <cell r="AB138">
            <v>0.72462941847206386</v>
          </cell>
          <cell r="AC138">
            <v>0.76928314734253833</v>
          </cell>
          <cell r="AD138">
            <v>0.76896455484231097</v>
          </cell>
          <cell r="AE138">
            <v>0.77909738717339672</v>
          </cell>
          <cell r="AF138">
            <v>0.77848101265822789</v>
          </cell>
          <cell r="AM138">
            <v>0.72919497072845385</v>
          </cell>
          <cell r="AN138">
            <v>0.72928969326033422</v>
          </cell>
          <cell r="AO138">
            <v>0.72928969326033422</v>
          </cell>
          <cell r="AP138">
            <v>0.75502050535785148</v>
          </cell>
          <cell r="AQ138">
            <v>0.73859564164648916</v>
          </cell>
          <cell r="AR138">
            <v>0.73801845046126158</v>
          </cell>
        </row>
        <row r="139">
          <cell r="D139">
            <v>64</v>
          </cell>
          <cell r="E139">
            <v>0.76928314734253833</v>
          </cell>
          <cell r="F139">
            <v>0.76896455484231097</v>
          </cell>
          <cell r="G139">
            <v>0.77909738717339672</v>
          </cell>
          <cell r="H139">
            <v>0.77848101265822789</v>
          </cell>
          <cell r="O139">
            <v>0.72453274755482466</v>
          </cell>
          <cell r="P139">
            <v>0.72462941847206386</v>
          </cell>
          <cell r="Q139">
            <v>0.72462941847206386</v>
          </cell>
          <cell r="R139">
            <v>0.72432830327567177</v>
          </cell>
          <cell r="S139">
            <v>0.73386902757061057</v>
          </cell>
          <cell r="T139">
            <v>0.73330683624801274</v>
          </cell>
          <cell r="AA139">
            <v>0.72453274755482466</v>
          </cell>
          <cell r="AB139">
            <v>0.72462941847206386</v>
          </cell>
          <cell r="AC139">
            <v>0.76928314734253833</v>
          </cell>
          <cell r="AD139">
            <v>0.76896455484231097</v>
          </cell>
          <cell r="AE139">
            <v>0.77909738717339672</v>
          </cell>
          <cell r="AF139">
            <v>0.77848101265822789</v>
          </cell>
          <cell r="AM139">
            <v>0.72919497072845385</v>
          </cell>
          <cell r="AN139">
            <v>0.72928969326033422</v>
          </cell>
          <cell r="AO139">
            <v>0.72928969326033422</v>
          </cell>
          <cell r="AP139">
            <v>0.75502050535785148</v>
          </cell>
          <cell r="AQ139">
            <v>0.73859564164648916</v>
          </cell>
          <cell r="AR139">
            <v>0.73801845046126158</v>
          </cell>
        </row>
        <row r="140">
          <cell r="D140">
            <v>65</v>
          </cell>
          <cell r="E140">
            <v>0.76928314734253833</v>
          </cell>
          <cell r="F140">
            <v>0.76896455484231097</v>
          </cell>
          <cell r="G140">
            <v>0.77909738717339672</v>
          </cell>
          <cell r="H140">
            <v>0.77848101265822789</v>
          </cell>
          <cell r="O140">
            <v>0.72453274755482466</v>
          </cell>
          <cell r="P140">
            <v>0.72462941847206386</v>
          </cell>
          <cell r="Q140">
            <v>0.72462941847206386</v>
          </cell>
          <cell r="R140">
            <v>0.72432830327567177</v>
          </cell>
          <cell r="S140">
            <v>0.73386902757061057</v>
          </cell>
          <cell r="T140">
            <v>0.73330683624801274</v>
          </cell>
          <cell r="AA140">
            <v>0.72453274755482466</v>
          </cell>
          <cell r="AB140">
            <v>0.72462941847206386</v>
          </cell>
          <cell r="AC140">
            <v>0.76928314734253833</v>
          </cell>
          <cell r="AD140">
            <v>0.76896455484231097</v>
          </cell>
          <cell r="AE140">
            <v>0.77909738717339672</v>
          </cell>
          <cell r="AF140">
            <v>0.77848101265822789</v>
          </cell>
          <cell r="AM140">
            <v>0.72919497072845385</v>
          </cell>
          <cell r="AN140">
            <v>0.72928969326033422</v>
          </cell>
          <cell r="AO140">
            <v>0.72928969326033422</v>
          </cell>
          <cell r="AP140">
            <v>0.75502050535785148</v>
          </cell>
          <cell r="AQ140">
            <v>0.73859564164648916</v>
          </cell>
          <cell r="AR140">
            <v>0.73801845046126158</v>
          </cell>
        </row>
        <row r="141">
          <cell r="D141">
            <v>66</v>
          </cell>
          <cell r="E141">
            <v>0.76928314734253833</v>
          </cell>
          <cell r="F141">
            <v>0.76896455484231097</v>
          </cell>
          <cell r="G141">
            <v>0.77909738717339672</v>
          </cell>
          <cell r="H141">
            <v>0.77848101265822789</v>
          </cell>
          <cell r="O141">
            <v>0.72453274755482466</v>
          </cell>
          <cell r="P141">
            <v>0.72462941847206386</v>
          </cell>
          <cell r="Q141">
            <v>0.72462941847206386</v>
          </cell>
          <cell r="R141">
            <v>0.72432830327567177</v>
          </cell>
          <cell r="S141">
            <v>0.73386902757061057</v>
          </cell>
          <cell r="T141">
            <v>0.73330683624801274</v>
          </cell>
          <cell r="AA141">
            <v>0.72453274755482466</v>
          </cell>
          <cell r="AB141">
            <v>0.72462941847206386</v>
          </cell>
          <cell r="AC141">
            <v>0.76928314734253833</v>
          </cell>
          <cell r="AD141">
            <v>0.76896455484231097</v>
          </cell>
          <cell r="AE141">
            <v>0.77909738717339672</v>
          </cell>
          <cell r="AF141">
            <v>0.77848101265822789</v>
          </cell>
          <cell r="AM141">
            <v>0.72919497072845385</v>
          </cell>
          <cell r="AN141">
            <v>0.72928969326033422</v>
          </cell>
          <cell r="AO141">
            <v>0.72928969326033422</v>
          </cell>
          <cell r="AP141">
            <v>0.75502050535785148</v>
          </cell>
          <cell r="AQ141">
            <v>0.73859564164648916</v>
          </cell>
          <cell r="AR141">
            <v>0.73801845046126158</v>
          </cell>
        </row>
        <row r="142">
          <cell r="D142">
            <v>67</v>
          </cell>
          <cell r="E142">
            <v>0.76928314734253833</v>
          </cell>
          <cell r="F142">
            <v>0.76896455484231097</v>
          </cell>
          <cell r="G142">
            <v>0.77909738717339672</v>
          </cell>
          <cell r="H142">
            <v>0.77848101265822789</v>
          </cell>
          <cell r="O142">
            <v>0.72453274755482466</v>
          </cell>
          <cell r="P142">
            <v>0.72462941847206386</v>
          </cell>
          <cell r="Q142">
            <v>0.72462941847206386</v>
          </cell>
          <cell r="R142">
            <v>0.72432830327567177</v>
          </cell>
          <cell r="S142">
            <v>0.73386902757061057</v>
          </cell>
          <cell r="T142">
            <v>0.73330683624801274</v>
          </cell>
          <cell r="AA142">
            <v>0.72453274755482466</v>
          </cell>
          <cell r="AB142">
            <v>0.72462941847206386</v>
          </cell>
          <cell r="AC142">
            <v>0.76928314734253833</v>
          </cell>
          <cell r="AD142">
            <v>0.76896455484231097</v>
          </cell>
          <cell r="AE142">
            <v>0.77909738717339672</v>
          </cell>
          <cell r="AF142">
            <v>0.77848101265822789</v>
          </cell>
          <cell r="AM142">
            <v>0.72919497072845385</v>
          </cell>
          <cell r="AN142">
            <v>0.72928969326033422</v>
          </cell>
          <cell r="AO142">
            <v>0.72928969326033422</v>
          </cell>
          <cell r="AP142">
            <v>0.75502050535785148</v>
          </cell>
          <cell r="AQ142">
            <v>0.73859564164648916</v>
          </cell>
          <cell r="AR142">
            <v>0.73801845046126158</v>
          </cell>
        </row>
        <row r="143">
          <cell r="D143">
            <v>68</v>
          </cell>
          <cell r="E143">
            <v>0.76928314734253833</v>
          </cell>
          <cell r="F143">
            <v>0.76896455484231097</v>
          </cell>
          <cell r="G143">
            <v>0.77909738717339672</v>
          </cell>
          <cell r="H143">
            <v>0.77848101265822789</v>
          </cell>
          <cell r="O143">
            <v>0.72453274755482466</v>
          </cell>
          <cell r="P143">
            <v>0.72462941847206386</v>
          </cell>
          <cell r="Q143">
            <v>0.72462941847206386</v>
          </cell>
          <cell r="R143">
            <v>0.72432830327567177</v>
          </cell>
          <cell r="S143">
            <v>0.73386902757061057</v>
          </cell>
          <cell r="T143">
            <v>0.73330683624801274</v>
          </cell>
          <cell r="AA143">
            <v>0.72453274755482466</v>
          </cell>
          <cell r="AB143">
            <v>0.72462941847206386</v>
          </cell>
          <cell r="AC143">
            <v>0.76928314734253833</v>
          </cell>
          <cell r="AD143">
            <v>0.76896455484231097</v>
          </cell>
          <cell r="AE143">
            <v>0.77909738717339672</v>
          </cell>
          <cell r="AF143">
            <v>0.77848101265822789</v>
          </cell>
          <cell r="AM143">
            <v>0.72919497072845385</v>
          </cell>
          <cell r="AN143">
            <v>0.72928969326033422</v>
          </cell>
          <cell r="AO143">
            <v>0.72928969326033422</v>
          </cell>
          <cell r="AP143">
            <v>0.75502050535785148</v>
          </cell>
          <cell r="AQ143">
            <v>0.73859564164648916</v>
          </cell>
          <cell r="AR143">
            <v>0.73801845046126158</v>
          </cell>
        </row>
        <row r="144">
          <cell r="D144">
            <v>69</v>
          </cell>
          <cell r="E144">
            <v>0.76928314734253833</v>
          </cell>
          <cell r="F144">
            <v>0.76896455484231097</v>
          </cell>
          <cell r="G144">
            <v>0.77909738717339672</v>
          </cell>
          <cell r="H144">
            <v>0.77848101265822789</v>
          </cell>
          <cell r="O144">
            <v>0.72453274755482466</v>
          </cell>
          <cell r="P144">
            <v>0.72462941847206386</v>
          </cell>
          <cell r="Q144">
            <v>0.72462941847206386</v>
          </cell>
          <cell r="R144">
            <v>0.72432830327567177</v>
          </cell>
          <cell r="S144">
            <v>0.73386902757061057</v>
          </cell>
          <cell r="T144">
            <v>0.73330683624801274</v>
          </cell>
          <cell r="AA144">
            <v>0.72453274755482466</v>
          </cell>
          <cell r="AB144">
            <v>0.72462941847206386</v>
          </cell>
          <cell r="AC144">
            <v>0.76928314734253833</v>
          </cell>
          <cell r="AD144">
            <v>0.76896455484231097</v>
          </cell>
          <cell r="AE144">
            <v>0.77909738717339672</v>
          </cell>
          <cell r="AF144">
            <v>0.77848101265822789</v>
          </cell>
          <cell r="AM144">
            <v>0.72919497072845385</v>
          </cell>
          <cell r="AN144">
            <v>0.72928969326033422</v>
          </cell>
          <cell r="AO144">
            <v>0.72928969326033422</v>
          </cell>
          <cell r="AP144">
            <v>0.75502050535785148</v>
          </cell>
          <cell r="AQ144">
            <v>0.73859564164648916</v>
          </cell>
          <cell r="AR144">
            <v>0.73801845046126158</v>
          </cell>
        </row>
        <row r="145">
          <cell r="D145">
            <v>70</v>
          </cell>
          <cell r="E145">
            <v>0.76928314734253833</v>
          </cell>
          <cell r="F145">
            <v>0.76896455484231097</v>
          </cell>
          <cell r="G145">
            <v>0.77909738717339672</v>
          </cell>
          <cell r="H145">
            <v>0.77848101265822789</v>
          </cell>
          <cell r="O145">
            <v>0.72453274755482466</v>
          </cell>
          <cell r="P145">
            <v>0.72462941847206386</v>
          </cell>
          <cell r="Q145">
            <v>0.72462941847206386</v>
          </cell>
          <cell r="R145">
            <v>0.72432830327567177</v>
          </cell>
          <cell r="S145">
            <v>0.73386902757061057</v>
          </cell>
          <cell r="T145">
            <v>0.73330683624801274</v>
          </cell>
          <cell r="AA145">
            <v>0.72453274755482466</v>
          </cell>
          <cell r="AB145">
            <v>0.72462941847206386</v>
          </cell>
          <cell r="AC145">
            <v>0.76928314734253833</v>
          </cell>
          <cell r="AD145">
            <v>0.76896455484231097</v>
          </cell>
          <cell r="AE145">
            <v>0.77909738717339672</v>
          </cell>
          <cell r="AF145">
            <v>0.77848101265822789</v>
          </cell>
          <cell r="AM145">
            <v>0.72919497072845385</v>
          </cell>
          <cell r="AN145">
            <v>0.72928969326033422</v>
          </cell>
          <cell r="AO145">
            <v>0.72928969326033422</v>
          </cell>
          <cell r="AP145">
            <v>0.75502050535785148</v>
          </cell>
          <cell r="AQ145">
            <v>0.73859564164648916</v>
          </cell>
          <cell r="AR145">
            <v>0.73801845046126158</v>
          </cell>
        </row>
        <row r="146">
          <cell r="D146">
            <v>71</v>
          </cell>
          <cell r="E146">
            <v>1.3076224702099486</v>
          </cell>
          <cell r="F146">
            <v>1.3080472602102526</v>
          </cell>
          <cell r="G146">
            <v>1.2945368171021376</v>
          </cell>
          <cell r="H146">
            <v>1.295358649789029</v>
          </cell>
          <cell r="O146">
            <v>1.3672896699269002</v>
          </cell>
          <cell r="P146">
            <v>1.3671607753705823</v>
          </cell>
          <cell r="Q146">
            <v>1.3671607753705823</v>
          </cell>
          <cell r="R146">
            <v>1.3675622622991039</v>
          </cell>
          <cell r="S146">
            <v>1.3548412965725196</v>
          </cell>
          <cell r="T146">
            <v>1.3555908850026503</v>
          </cell>
          <cell r="AA146">
            <v>1.3672896699269002</v>
          </cell>
          <cell r="AB146">
            <v>1.3671607753705823</v>
          </cell>
          <cell r="AC146">
            <v>1.3076224702099486</v>
          </cell>
          <cell r="AD146">
            <v>1.3080472602102526</v>
          </cell>
          <cell r="AE146">
            <v>1.2945368171021376</v>
          </cell>
          <cell r="AF146">
            <v>1.295358649789029</v>
          </cell>
          <cell r="AM146">
            <v>1.3610733723620612</v>
          </cell>
          <cell r="AN146">
            <v>1.3609470756528876</v>
          </cell>
          <cell r="AO146">
            <v>1.3609470756528876</v>
          </cell>
          <cell r="AP146">
            <v>1.3266393261895317</v>
          </cell>
          <cell r="AQ146">
            <v>1.3485391444713466</v>
          </cell>
          <cell r="AR146">
            <v>1.3493087327183177</v>
          </cell>
        </row>
        <row r="147">
          <cell r="D147">
            <v>72</v>
          </cell>
          <cell r="E147">
            <v>1.3076224702099486</v>
          </cell>
          <cell r="F147">
            <v>1.3080472602102526</v>
          </cell>
          <cell r="G147">
            <v>1.2945368171021376</v>
          </cell>
          <cell r="H147">
            <v>1.295358649789029</v>
          </cell>
          <cell r="O147">
            <v>1.3672896699269002</v>
          </cell>
          <cell r="P147">
            <v>1.3671607753705823</v>
          </cell>
          <cell r="Q147">
            <v>1.3671607753705823</v>
          </cell>
          <cell r="R147">
            <v>1.3675622622991039</v>
          </cell>
          <cell r="S147">
            <v>1.3548412965725196</v>
          </cell>
          <cell r="T147">
            <v>1.3555908850026503</v>
          </cell>
          <cell r="AA147">
            <v>1.3672896699269002</v>
          </cell>
          <cell r="AB147">
            <v>1.3671607753705823</v>
          </cell>
          <cell r="AC147">
            <v>1.3076224702099486</v>
          </cell>
          <cell r="AD147">
            <v>1.3080472602102526</v>
          </cell>
          <cell r="AE147">
            <v>1.2945368171021376</v>
          </cell>
          <cell r="AF147">
            <v>1.295358649789029</v>
          </cell>
          <cell r="AM147">
            <v>1.3610733723620612</v>
          </cell>
          <cell r="AN147">
            <v>1.3609470756528876</v>
          </cell>
          <cell r="AO147">
            <v>1.3609470756528876</v>
          </cell>
          <cell r="AP147">
            <v>1.3266393261895317</v>
          </cell>
          <cell r="AQ147">
            <v>1.3485391444713466</v>
          </cell>
          <cell r="AR147">
            <v>1.3493087327183177</v>
          </cell>
        </row>
        <row r="148">
          <cell r="D148">
            <v>73</v>
          </cell>
          <cell r="E148">
            <v>1.3076224702099486</v>
          </cell>
          <cell r="F148">
            <v>1.3080472602102526</v>
          </cell>
          <cell r="G148">
            <v>1.2945368171021376</v>
          </cell>
          <cell r="H148">
            <v>1.295358649789029</v>
          </cell>
          <cell r="O148">
            <v>1.3672896699269002</v>
          </cell>
          <cell r="P148">
            <v>1.3671607753705823</v>
          </cell>
          <cell r="Q148">
            <v>1.3671607753705823</v>
          </cell>
          <cell r="R148">
            <v>1.3675622622991039</v>
          </cell>
          <cell r="S148">
            <v>1.3548412965725196</v>
          </cell>
          <cell r="T148">
            <v>1.3555908850026503</v>
          </cell>
          <cell r="AA148">
            <v>1.3672896699269002</v>
          </cell>
          <cell r="AB148">
            <v>1.3671607753705823</v>
          </cell>
          <cell r="AC148">
            <v>1.3076224702099486</v>
          </cell>
          <cell r="AD148">
            <v>1.3080472602102526</v>
          </cell>
          <cell r="AE148">
            <v>1.2945368171021376</v>
          </cell>
          <cell r="AF148">
            <v>1.295358649789029</v>
          </cell>
          <cell r="AM148">
            <v>1.3610733723620612</v>
          </cell>
          <cell r="AN148">
            <v>1.3609470756528876</v>
          </cell>
          <cell r="AO148">
            <v>1.3609470756528876</v>
          </cell>
          <cell r="AP148">
            <v>1.3266393261895317</v>
          </cell>
          <cell r="AQ148">
            <v>1.3485391444713466</v>
          </cell>
          <cell r="AR148">
            <v>1.3493087327183177</v>
          </cell>
        </row>
        <row r="149">
          <cell r="D149">
            <v>74</v>
          </cell>
          <cell r="E149">
            <v>1.3076224702099486</v>
          </cell>
          <cell r="F149">
            <v>1.3080472602102526</v>
          </cell>
          <cell r="G149">
            <v>1.2945368171021376</v>
          </cell>
          <cell r="H149">
            <v>1.295358649789029</v>
          </cell>
          <cell r="O149">
            <v>1.3672896699269002</v>
          </cell>
          <cell r="P149">
            <v>1.3671607753705823</v>
          </cell>
          <cell r="Q149">
            <v>1.3671607753705823</v>
          </cell>
          <cell r="R149">
            <v>1.3675622622991039</v>
          </cell>
          <cell r="S149">
            <v>1.3548412965725196</v>
          </cell>
          <cell r="T149">
            <v>1.3555908850026503</v>
          </cell>
          <cell r="AA149">
            <v>1.3672896699269002</v>
          </cell>
          <cell r="AB149">
            <v>1.3671607753705823</v>
          </cell>
          <cell r="AC149">
            <v>1.3076224702099486</v>
          </cell>
          <cell r="AD149">
            <v>1.3080472602102526</v>
          </cell>
          <cell r="AE149">
            <v>1.2945368171021376</v>
          </cell>
          <cell r="AF149">
            <v>1.295358649789029</v>
          </cell>
          <cell r="AM149">
            <v>1.3610733723620612</v>
          </cell>
          <cell r="AN149">
            <v>1.3609470756528876</v>
          </cell>
          <cell r="AO149">
            <v>1.3609470756528876</v>
          </cell>
          <cell r="AP149">
            <v>1.3266393261895317</v>
          </cell>
          <cell r="AQ149">
            <v>1.3485391444713466</v>
          </cell>
          <cell r="AR149">
            <v>1.3493087327183177</v>
          </cell>
        </row>
        <row r="150">
          <cell r="D150">
            <v>75</v>
          </cell>
          <cell r="E150">
            <v>1.3076224702099486</v>
          </cell>
          <cell r="F150">
            <v>1.3080472602102526</v>
          </cell>
          <cell r="G150">
            <v>1.2945368171021376</v>
          </cell>
          <cell r="H150">
            <v>1.295358649789029</v>
          </cell>
          <cell r="O150">
            <v>1.3672896699269002</v>
          </cell>
          <cell r="P150">
            <v>1.3671607753705823</v>
          </cell>
          <cell r="Q150">
            <v>1.3671607753705823</v>
          </cell>
          <cell r="R150">
            <v>1.3675622622991039</v>
          </cell>
          <cell r="S150">
            <v>1.3548412965725196</v>
          </cell>
          <cell r="T150">
            <v>1.3555908850026503</v>
          </cell>
          <cell r="AA150">
            <v>1.3672896699269002</v>
          </cell>
          <cell r="AB150">
            <v>1.3671607753705823</v>
          </cell>
          <cell r="AC150">
            <v>1.3076224702099486</v>
          </cell>
          <cell r="AD150">
            <v>1.3080472602102526</v>
          </cell>
          <cell r="AE150">
            <v>1.2945368171021376</v>
          </cell>
          <cell r="AF150">
            <v>1.295358649789029</v>
          </cell>
          <cell r="AM150">
            <v>1.3610733723620612</v>
          </cell>
          <cell r="AN150">
            <v>1.3609470756528876</v>
          </cell>
          <cell r="AO150">
            <v>1.3609470756528876</v>
          </cell>
          <cell r="AP150">
            <v>1.3266393261895317</v>
          </cell>
          <cell r="AQ150">
            <v>1.3485391444713466</v>
          </cell>
          <cell r="AR150">
            <v>1.3493087327183177</v>
          </cell>
        </row>
        <row r="151">
          <cell r="D151">
            <v>76</v>
          </cell>
          <cell r="E151">
            <v>1.3076224702099486</v>
          </cell>
          <cell r="F151">
            <v>1.3080472602102526</v>
          </cell>
          <cell r="G151">
            <v>1.2945368171021376</v>
          </cell>
          <cell r="H151">
            <v>1.295358649789029</v>
          </cell>
          <cell r="O151">
            <v>1.3672896699269002</v>
          </cell>
          <cell r="P151">
            <v>1.3671607753705823</v>
          </cell>
          <cell r="Q151">
            <v>1.3671607753705823</v>
          </cell>
          <cell r="R151">
            <v>1.3675622622991039</v>
          </cell>
          <cell r="S151">
            <v>1.3548412965725196</v>
          </cell>
          <cell r="T151">
            <v>1.3555908850026503</v>
          </cell>
          <cell r="AA151">
            <v>1.3672896699269002</v>
          </cell>
          <cell r="AB151">
            <v>1.3671607753705823</v>
          </cell>
          <cell r="AC151">
            <v>1.3076224702099486</v>
          </cell>
          <cell r="AD151">
            <v>1.3080472602102526</v>
          </cell>
          <cell r="AE151">
            <v>1.2945368171021376</v>
          </cell>
          <cell r="AF151">
            <v>1.295358649789029</v>
          </cell>
          <cell r="AM151">
            <v>1.3610733723620612</v>
          </cell>
          <cell r="AN151">
            <v>1.3609470756528876</v>
          </cell>
          <cell r="AO151">
            <v>1.3609470756528876</v>
          </cell>
          <cell r="AP151">
            <v>1.3266393261895317</v>
          </cell>
          <cell r="AQ151">
            <v>1.3485391444713466</v>
          </cell>
          <cell r="AR151">
            <v>1.3493087327183177</v>
          </cell>
        </row>
        <row r="152">
          <cell r="D152">
            <v>77</v>
          </cell>
          <cell r="E152">
            <v>1.3076224702099486</v>
          </cell>
          <cell r="F152">
            <v>1.3080472602102526</v>
          </cell>
          <cell r="G152">
            <v>1.2945368171021376</v>
          </cell>
          <cell r="H152">
            <v>1.295358649789029</v>
          </cell>
          <cell r="O152">
            <v>1.3672896699269002</v>
          </cell>
          <cell r="P152">
            <v>1.3671607753705823</v>
          </cell>
          <cell r="Q152">
            <v>1.3671607753705823</v>
          </cell>
          <cell r="R152">
            <v>1.3675622622991039</v>
          </cell>
          <cell r="S152">
            <v>1.3548412965725196</v>
          </cell>
          <cell r="T152">
            <v>1.3555908850026503</v>
          </cell>
          <cell r="AA152">
            <v>1.3672896699269002</v>
          </cell>
          <cell r="AB152">
            <v>1.3671607753705823</v>
          </cell>
          <cell r="AC152">
            <v>1.3076224702099486</v>
          </cell>
          <cell r="AD152">
            <v>1.3080472602102526</v>
          </cell>
          <cell r="AE152">
            <v>1.2945368171021376</v>
          </cell>
          <cell r="AF152">
            <v>1.295358649789029</v>
          </cell>
          <cell r="AM152">
            <v>1.3610733723620612</v>
          </cell>
          <cell r="AN152">
            <v>1.3609470756528876</v>
          </cell>
          <cell r="AO152">
            <v>1.3609470756528876</v>
          </cell>
          <cell r="AP152">
            <v>1.3266393261895317</v>
          </cell>
          <cell r="AQ152">
            <v>1.3485391444713466</v>
          </cell>
          <cell r="AR152">
            <v>1.3493087327183177</v>
          </cell>
        </row>
        <row r="153">
          <cell r="D153">
            <v>78</v>
          </cell>
          <cell r="E153">
            <v>1.3076224702099486</v>
          </cell>
          <cell r="F153">
            <v>1.3080472602102526</v>
          </cell>
          <cell r="G153">
            <v>1.2945368171021376</v>
          </cell>
          <cell r="H153">
            <v>1.295358649789029</v>
          </cell>
          <cell r="O153">
            <v>1.3672896699269002</v>
          </cell>
          <cell r="P153">
            <v>1.3671607753705823</v>
          </cell>
          <cell r="Q153">
            <v>1.3671607753705823</v>
          </cell>
          <cell r="R153">
            <v>1.3675622622991039</v>
          </cell>
          <cell r="S153">
            <v>1.3548412965725196</v>
          </cell>
          <cell r="T153">
            <v>1.3555908850026503</v>
          </cell>
          <cell r="AA153">
            <v>1.3672896699269002</v>
          </cell>
          <cell r="AB153">
            <v>1.3671607753705823</v>
          </cell>
          <cell r="AC153">
            <v>1.3076224702099486</v>
          </cell>
          <cell r="AD153">
            <v>1.3080472602102526</v>
          </cell>
          <cell r="AE153">
            <v>1.2945368171021376</v>
          </cell>
          <cell r="AF153">
            <v>1.295358649789029</v>
          </cell>
          <cell r="AM153">
            <v>1.3610733723620612</v>
          </cell>
          <cell r="AN153">
            <v>1.3609470756528876</v>
          </cell>
          <cell r="AO153">
            <v>1.3609470756528876</v>
          </cell>
          <cell r="AP153">
            <v>1.3266393261895317</v>
          </cell>
          <cell r="AQ153">
            <v>1.3485391444713466</v>
          </cell>
          <cell r="AR153">
            <v>1.3493087327183177</v>
          </cell>
        </row>
        <row r="154">
          <cell r="D154">
            <v>79</v>
          </cell>
          <cell r="E154">
            <v>0.76928314734253833</v>
          </cell>
          <cell r="F154">
            <v>0.76896455484231097</v>
          </cell>
          <cell r="G154">
            <v>0.77909738717339672</v>
          </cell>
          <cell r="H154">
            <v>0.77848101265822789</v>
          </cell>
          <cell r="O154">
            <v>0.72453274755482466</v>
          </cell>
          <cell r="P154">
            <v>0.72462941847206386</v>
          </cell>
          <cell r="Q154">
            <v>0.72462941847206386</v>
          </cell>
          <cell r="R154">
            <v>0.72432830327567177</v>
          </cell>
          <cell r="S154">
            <v>0.73386902757061057</v>
          </cell>
          <cell r="T154">
            <v>0.73330683624801274</v>
          </cell>
          <cell r="AA154">
            <v>0.72453274755482466</v>
          </cell>
          <cell r="AB154">
            <v>0.72462941847206386</v>
          </cell>
          <cell r="AC154">
            <v>0.76928314734253833</v>
          </cell>
          <cell r="AD154">
            <v>0.76896455484231097</v>
          </cell>
          <cell r="AE154">
            <v>0.77909738717339672</v>
          </cell>
          <cell r="AF154">
            <v>0.77848101265822789</v>
          </cell>
          <cell r="AM154">
            <v>0.72919497072845385</v>
          </cell>
          <cell r="AN154">
            <v>0.72928969326033422</v>
          </cell>
          <cell r="AO154">
            <v>0.72928969326033422</v>
          </cell>
          <cell r="AP154">
            <v>0.75502050535785148</v>
          </cell>
          <cell r="AQ154">
            <v>0.73859564164648916</v>
          </cell>
          <cell r="AR154">
            <v>0.73801845046126158</v>
          </cell>
        </row>
        <row r="155">
          <cell r="D155">
            <v>80</v>
          </cell>
          <cell r="E155">
            <v>0.76928314734253833</v>
          </cell>
          <cell r="F155">
            <v>0.76896455484231097</v>
          </cell>
          <cell r="G155">
            <v>0.77909738717339672</v>
          </cell>
          <cell r="H155">
            <v>0.77848101265822789</v>
          </cell>
          <cell r="O155">
            <v>0.72453274755482466</v>
          </cell>
          <cell r="P155">
            <v>0.72462941847206386</v>
          </cell>
          <cell r="Q155">
            <v>0.72462941847206386</v>
          </cell>
          <cell r="R155">
            <v>0.72432830327567177</v>
          </cell>
          <cell r="S155">
            <v>0.73386902757061057</v>
          </cell>
          <cell r="T155">
            <v>0.73330683624801274</v>
          </cell>
          <cell r="AA155">
            <v>0.72453274755482466</v>
          </cell>
          <cell r="AB155">
            <v>0.72462941847206386</v>
          </cell>
          <cell r="AC155">
            <v>0.76928314734253833</v>
          </cell>
          <cell r="AD155">
            <v>0.76896455484231097</v>
          </cell>
          <cell r="AE155">
            <v>0.77909738717339672</v>
          </cell>
          <cell r="AF155">
            <v>0.77848101265822789</v>
          </cell>
          <cell r="AM155">
            <v>0.72919497072845385</v>
          </cell>
          <cell r="AN155">
            <v>0.72928969326033422</v>
          </cell>
          <cell r="AO155">
            <v>0.72928969326033422</v>
          </cell>
          <cell r="AP155">
            <v>0.75502050535785148</v>
          </cell>
          <cell r="AQ155">
            <v>0.73859564164648916</v>
          </cell>
          <cell r="AR155">
            <v>0.73801845046126158</v>
          </cell>
        </row>
        <row r="156">
          <cell r="D156">
            <v>81</v>
          </cell>
          <cell r="E156">
            <v>0.76928314734253833</v>
          </cell>
          <cell r="F156">
            <v>0.76896455484231097</v>
          </cell>
          <cell r="G156">
            <v>0.77909738717339672</v>
          </cell>
          <cell r="H156">
            <v>0.77848101265822789</v>
          </cell>
          <cell r="O156">
            <v>0.72453274755482466</v>
          </cell>
          <cell r="P156">
            <v>0.72462941847206386</v>
          </cell>
          <cell r="Q156">
            <v>0.72462941847206386</v>
          </cell>
          <cell r="R156">
            <v>0.72432830327567177</v>
          </cell>
          <cell r="S156">
            <v>0.73386902757061057</v>
          </cell>
          <cell r="T156">
            <v>0.73330683624801274</v>
          </cell>
          <cell r="AA156">
            <v>0.72453274755482466</v>
          </cell>
          <cell r="AB156">
            <v>0.72462941847206386</v>
          </cell>
          <cell r="AC156">
            <v>0.76928314734253833</v>
          </cell>
          <cell r="AD156">
            <v>0.76896455484231097</v>
          </cell>
          <cell r="AE156">
            <v>0.77909738717339672</v>
          </cell>
          <cell r="AF156">
            <v>0.77848101265822789</v>
          </cell>
          <cell r="AM156">
            <v>0.72919497072845385</v>
          </cell>
          <cell r="AN156">
            <v>0.72928969326033422</v>
          </cell>
          <cell r="AO156">
            <v>0.72928969326033422</v>
          </cell>
          <cell r="AP156">
            <v>0.75502050535785148</v>
          </cell>
          <cell r="AQ156">
            <v>0.73859564164648916</v>
          </cell>
          <cell r="AR156">
            <v>0.73801845046126158</v>
          </cell>
        </row>
        <row r="157">
          <cell r="D157">
            <v>82</v>
          </cell>
          <cell r="E157">
            <v>0.76928314734253833</v>
          </cell>
          <cell r="F157">
            <v>0.76896455484231097</v>
          </cell>
          <cell r="G157">
            <v>0.77909738717339672</v>
          </cell>
          <cell r="H157">
            <v>0.77848101265822789</v>
          </cell>
          <cell r="O157">
            <v>0.72453274755482466</v>
          </cell>
          <cell r="P157">
            <v>0.72462941847206386</v>
          </cell>
          <cell r="Q157">
            <v>0.72462941847206386</v>
          </cell>
          <cell r="R157">
            <v>0.72432830327567177</v>
          </cell>
          <cell r="S157">
            <v>0.73386902757061057</v>
          </cell>
          <cell r="T157">
            <v>0.73330683624801274</v>
          </cell>
          <cell r="AA157">
            <v>0.72453274755482466</v>
          </cell>
          <cell r="AB157">
            <v>0.72462941847206386</v>
          </cell>
          <cell r="AC157">
            <v>0.76928314734253833</v>
          </cell>
          <cell r="AD157">
            <v>0.76896455484231097</v>
          </cell>
          <cell r="AE157">
            <v>0.77909738717339672</v>
          </cell>
          <cell r="AF157">
            <v>0.77848101265822789</v>
          </cell>
          <cell r="AM157">
            <v>0.72919497072845385</v>
          </cell>
          <cell r="AN157">
            <v>0.72928969326033422</v>
          </cell>
          <cell r="AO157">
            <v>0.72928969326033422</v>
          </cell>
          <cell r="AP157">
            <v>0.75502050535785148</v>
          </cell>
          <cell r="AQ157">
            <v>0.73859564164648916</v>
          </cell>
          <cell r="AR157">
            <v>0.73801845046126158</v>
          </cell>
        </row>
        <row r="158">
          <cell r="D158">
            <v>83</v>
          </cell>
          <cell r="E158">
            <v>0.76928314734253833</v>
          </cell>
          <cell r="F158">
            <v>0.76896455484231097</v>
          </cell>
          <cell r="G158">
            <v>0.77909738717339672</v>
          </cell>
          <cell r="H158">
            <v>0.77848101265822789</v>
          </cell>
          <cell r="O158">
            <v>0.72453274755482466</v>
          </cell>
          <cell r="P158">
            <v>0.72462941847206386</v>
          </cell>
          <cell r="Q158">
            <v>0.72462941847206386</v>
          </cell>
          <cell r="R158">
            <v>0.72432830327567177</v>
          </cell>
          <cell r="S158">
            <v>0.73386902757061057</v>
          </cell>
          <cell r="T158">
            <v>0.73330683624801274</v>
          </cell>
          <cell r="AA158">
            <v>0.72453274755482466</v>
          </cell>
          <cell r="AB158">
            <v>0.72462941847206386</v>
          </cell>
          <cell r="AC158">
            <v>0.76928314734253833</v>
          </cell>
          <cell r="AD158">
            <v>0.76896455484231097</v>
          </cell>
          <cell r="AE158">
            <v>0.77909738717339672</v>
          </cell>
          <cell r="AF158">
            <v>0.77848101265822789</v>
          </cell>
          <cell r="AM158">
            <v>0.72919497072845385</v>
          </cell>
          <cell r="AN158">
            <v>0.72928969326033422</v>
          </cell>
          <cell r="AO158">
            <v>0.72928969326033422</v>
          </cell>
          <cell r="AP158">
            <v>0.75502050535785148</v>
          </cell>
          <cell r="AQ158">
            <v>0.73859564164648916</v>
          </cell>
          <cell r="AR158">
            <v>0.73801845046126158</v>
          </cell>
        </row>
        <row r="159">
          <cell r="D159">
            <v>84</v>
          </cell>
          <cell r="E159">
            <v>0.76928314734253833</v>
          </cell>
          <cell r="F159">
            <v>0.76896455484231097</v>
          </cell>
          <cell r="G159">
            <v>0.77909738717339672</v>
          </cell>
          <cell r="H159">
            <v>0.77848101265822789</v>
          </cell>
          <cell r="O159">
            <v>0.72453274755482466</v>
          </cell>
          <cell r="P159">
            <v>0.72462941847206386</v>
          </cell>
          <cell r="Q159">
            <v>0.72462941847206386</v>
          </cell>
          <cell r="R159">
            <v>0.72432830327567177</v>
          </cell>
          <cell r="S159">
            <v>0.73386902757061057</v>
          </cell>
          <cell r="T159">
            <v>0.73330683624801274</v>
          </cell>
          <cell r="AA159">
            <v>0.72453274755482466</v>
          </cell>
          <cell r="AB159">
            <v>0.72462941847206386</v>
          </cell>
          <cell r="AC159">
            <v>0.76928314734253833</v>
          </cell>
          <cell r="AD159">
            <v>0.76896455484231097</v>
          </cell>
          <cell r="AE159">
            <v>0.77909738717339672</v>
          </cell>
          <cell r="AF159">
            <v>0.77848101265822789</v>
          </cell>
          <cell r="AM159">
            <v>0.72919497072845385</v>
          </cell>
          <cell r="AN159">
            <v>0.72928969326033422</v>
          </cell>
          <cell r="AO159">
            <v>0.72928969326033422</v>
          </cell>
          <cell r="AP159">
            <v>0.75502050535785148</v>
          </cell>
          <cell r="AQ159">
            <v>0.73859564164648916</v>
          </cell>
          <cell r="AR159">
            <v>0.73801845046126158</v>
          </cell>
        </row>
        <row r="160">
          <cell r="D160">
            <v>85</v>
          </cell>
          <cell r="E160">
            <v>0.76928314734253833</v>
          </cell>
          <cell r="F160">
            <v>0.76896455484231097</v>
          </cell>
          <cell r="G160">
            <v>0.77909738717339672</v>
          </cell>
          <cell r="H160">
            <v>0.77848101265822789</v>
          </cell>
          <cell r="O160">
            <v>0.72453274755482466</v>
          </cell>
          <cell r="P160">
            <v>0.72462941847206386</v>
          </cell>
          <cell r="Q160">
            <v>0.72462941847206386</v>
          </cell>
          <cell r="R160">
            <v>0.72432830327567177</v>
          </cell>
          <cell r="S160">
            <v>0.73386902757061057</v>
          </cell>
          <cell r="T160">
            <v>0.73330683624801274</v>
          </cell>
          <cell r="AA160">
            <v>0.72453274755482466</v>
          </cell>
          <cell r="AB160">
            <v>0.72462941847206386</v>
          </cell>
          <cell r="AC160">
            <v>0.76928314734253833</v>
          </cell>
          <cell r="AD160">
            <v>0.76896455484231097</v>
          </cell>
          <cell r="AE160">
            <v>0.77909738717339672</v>
          </cell>
          <cell r="AF160">
            <v>0.77848101265822789</v>
          </cell>
          <cell r="AM160">
            <v>0.72919497072845385</v>
          </cell>
          <cell r="AN160">
            <v>0.72928969326033422</v>
          </cell>
          <cell r="AO160">
            <v>0.72928969326033422</v>
          </cell>
          <cell r="AP160">
            <v>0.75502050535785148</v>
          </cell>
          <cell r="AQ160">
            <v>0.73859564164648916</v>
          </cell>
          <cell r="AR160">
            <v>0.73801845046126158</v>
          </cell>
        </row>
        <row r="161">
          <cell r="D161">
            <v>86</v>
          </cell>
          <cell r="E161">
            <v>0.76928314734253833</v>
          </cell>
          <cell r="F161">
            <v>0.76896455484231097</v>
          </cell>
          <cell r="G161">
            <v>0.77909738717339672</v>
          </cell>
          <cell r="H161">
            <v>0.77848101265822789</v>
          </cell>
          <cell r="O161">
            <v>0.72453274755482466</v>
          </cell>
          <cell r="P161">
            <v>0.72462941847206386</v>
          </cell>
          <cell r="Q161">
            <v>0.72462941847206386</v>
          </cell>
          <cell r="R161">
            <v>0.72432830327567177</v>
          </cell>
          <cell r="S161">
            <v>0.73386902757061057</v>
          </cell>
          <cell r="T161">
            <v>0.73330683624801274</v>
          </cell>
          <cell r="AA161">
            <v>0.72453274755482466</v>
          </cell>
          <cell r="AB161">
            <v>0.72462941847206386</v>
          </cell>
          <cell r="AC161">
            <v>0.76928314734253833</v>
          </cell>
          <cell r="AD161">
            <v>0.76896455484231097</v>
          </cell>
          <cell r="AE161">
            <v>0.77909738717339672</v>
          </cell>
          <cell r="AF161">
            <v>0.77848101265822789</v>
          </cell>
          <cell r="AM161">
            <v>0.72919497072845385</v>
          </cell>
          <cell r="AN161">
            <v>0.72928969326033422</v>
          </cell>
          <cell r="AO161">
            <v>0.72928969326033422</v>
          </cell>
          <cell r="AP161">
            <v>0.75502050535785148</v>
          </cell>
          <cell r="AQ161">
            <v>0.73859564164648916</v>
          </cell>
          <cell r="AR161">
            <v>0.73801845046126158</v>
          </cell>
        </row>
        <row r="162">
          <cell r="D162">
            <v>87</v>
          </cell>
          <cell r="E162">
            <v>0.76928314734253833</v>
          </cell>
          <cell r="F162">
            <v>0.76896455484231097</v>
          </cell>
          <cell r="G162">
            <v>0.77909738717339672</v>
          </cell>
          <cell r="H162">
            <v>0.77848101265822789</v>
          </cell>
          <cell r="O162">
            <v>0.72453274755482466</v>
          </cell>
          <cell r="P162">
            <v>0.72462941847206386</v>
          </cell>
          <cell r="Q162">
            <v>0.72462941847206386</v>
          </cell>
          <cell r="R162">
            <v>0.72432830327567177</v>
          </cell>
          <cell r="S162">
            <v>0.73386902757061057</v>
          </cell>
          <cell r="T162">
            <v>0.73330683624801274</v>
          </cell>
          <cell r="AA162">
            <v>0.72453274755482466</v>
          </cell>
          <cell r="AB162">
            <v>0.72462941847206386</v>
          </cell>
          <cell r="AC162">
            <v>0.76928314734253833</v>
          </cell>
          <cell r="AD162">
            <v>0.76896455484231097</v>
          </cell>
          <cell r="AE162">
            <v>0.77909738717339672</v>
          </cell>
          <cell r="AF162">
            <v>0.77848101265822789</v>
          </cell>
          <cell r="AM162">
            <v>0.72919497072845385</v>
          </cell>
          <cell r="AN162">
            <v>0.72928969326033422</v>
          </cell>
          <cell r="AO162">
            <v>0.72928969326033422</v>
          </cell>
          <cell r="AP162">
            <v>0.75502050535785148</v>
          </cell>
          <cell r="AQ162">
            <v>0.73859564164648916</v>
          </cell>
          <cell r="AR162">
            <v>0.73801845046126158</v>
          </cell>
        </row>
        <row r="163">
          <cell r="D163">
            <v>88</v>
          </cell>
          <cell r="E163">
            <v>0.76928314734253833</v>
          </cell>
          <cell r="F163">
            <v>0.76896455484231097</v>
          </cell>
          <cell r="G163">
            <v>0.77909738717339672</v>
          </cell>
          <cell r="H163">
            <v>0.77848101265822789</v>
          </cell>
          <cell r="O163">
            <v>0.72453274755482466</v>
          </cell>
          <cell r="P163">
            <v>0.72462941847206386</v>
          </cell>
          <cell r="Q163">
            <v>0.72462941847206386</v>
          </cell>
          <cell r="R163">
            <v>0.72432830327567177</v>
          </cell>
          <cell r="S163">
            <v>0.73386902757061057</v>
          </cell>
          <cell r="T163">
            <v>0.73330683624801274</v>
          </cell>
          <cell r="AA163">
            <v>0.72453274755482466</v>
          </cell>
          <cell r="AB163">
            <v>0.72462941847206386</v>
          </cell>
          <cell r="AC163">
            <v>0.76928314734253833</v>
          </cell>
          <cell r="AD163">
            <v>0.76896455484231097</v>
          </cell>
          <cell r="AE163">
            <v>0.77909738717339672</v>
          </cell>
          <cell r="AF163">
            <v>0.77848101265822789</v>
          </cell>
          <cell r="AM163">
            <v>0.72919497072845385</v>
          </cell>
          <cell r="AN163">
            <v>0.72928969326033422</v>
          </cell>
          <cell r="AO163">
            <v>0.72928969326033422</v>
          </cell>
          <cell r="AP163">
            <v>0.75502050535785148</v>
          </cell>
          <cell r="AQ163">
            <v>0.73859564164648916</v>
          </cell>
          <cell r="AR163">
            <v>0.73801845046126158</v>
          </cell>
        </row>
        <row r="164">
          <cell r="D164">
            <v>89</v>
          </cell>
          <cell r="E164">
            <v>0.76928314734253833</v>
          </cell>
          <cell r="F164">
            <v>0.76896455484231097</v>
          </cell>
          <cell r="G164">
            <v>0.77909738717339672</v>
          </cell>
          <cell r="H164">
            <v>0.77848101265822789</v>
          </cell>
          <cell r="O164">
            <v>0.72453274755482466</v>
          </cell>
          <cell r="P164">
            <v>0.72462941847206386</v>
          </cell>
          <cell r="Q164">
            <v>0.72462941847206386</v>
          </cell>
          <cell r="R164">
            <v>0.72432830327567177</v>
          </cell>
          <cell r="S164">
            <v>0.73386902757061057</v>
          </cell>
          <cell r="T164">
            <v>0.73330683624801274</v>
          </cell>
          <cell r="AA164">
            <v>0.72453274755482466</v>
          </cell>
          <cell r="AB164">
            <v>0.72462941847206386</v>
          </cell>
          <cell r="AC164">
            <v>0.76928314734253833</v>
          </cell>
          <cell r="AD164">
            <v>0.76896455484231097</v>
          </cell>
          <cell r="AE164">
            <v>0.77909738717339672</v>
          </cell>
          <cell r="AF164">
            <v>0.77848101265822789</v>
          </cell>
          <cell r="AM164">
            <v>0.72919497072845385</v>
          </cell>
          <cell r="AN164">
            <v>0.72928969326033422</v>
          </cell>
          <cell r="AO164">
            <v>0.72928969326033422</v>
          </cell>
          <cell r="AP164">
            <v>0.75502050535785148</v>
          </cell>
          <cell r="AQ164">
            <v>0.73859564164648916</v>
          </cell>
          <cell r="AR164">
            <v>0.73801845046126158</v>
          </cell>
        </row>
        <row r="165">
          <cell r="D165">
            <v>90</v>
          </cell>
          <cell r="E165">
            <v>0.76928314734253833</v>
          </cell>
          <cell r="F165">
            <v>0.76896455484231097</v>
          </cell>
          <cell r="G165">
            <v>0.77909738717339672</v>
          </cell>
          <cell r="H165">
            <v>0.77848101265822789</v>
          </cell>
          <cell r="O165">
            <v>0.72453274755482466</v>
          </cell>
          <cell r="P165">
            <v>0.72462941847206386</v>
          </cell>
          <cell r="Q165">
            <v>0.72462941847206386</v>
          </cell>
          <cell r="R165">
            <v>0.72432830327567177</v>
          </cell>
          <cell r="S165">
            <v>0.73386902757061057</v>
          </cell>
          <cell r="T165">
            <v>0.73330683624801274</v>
          </cell>
          <cell r="AA165">
            <v>0.72453274755482466</v>
          </cell>
          <cell r="AB165">
            <v>0.72462941847206386</v>
          </cell>
          <cell r="AC165">
            <v>0.76928314734253833</v>
          </cell>
          <cell r="AD165">
            <v>0.76896455484231097</v>
          </cell>
          <cell r="AE165">
            <v>0.77909738717339672</v>
          </cell>
          <cell r="AF165">
            <v>0.77848101265822789</v>
          </cell>
          <cell r="AM165">
            <v>0.72919497072845385</v>
          </cell>
          <cell r="AN165">
            <v>0.72928969326033422</v>
          </cell>
          <cell r="AO165">
            <v>0.72928969326033422</v>
          </cell>
          <cell r="AP165">
            <v>0.75502050535785148</v>
          </cell>
          <cell r="AQ165">
            <v>0.73859564164648916</v>
          </cell>
          <cell r="AR165">
            <v>0.73801845046126158</v>
          </cell>
        </row>
        <row r="166">
          <cell r="D166">
            <v>91</v>
          </cell>
          <cell r="E166">
            <v>0.76928314734253833</v>
          </cell>
          <cell r="F166">
            <v>0.76896455484231097</v>
          </cell>
          <cell r="G166">
            <v>0.77909738717339672</v>
          </cell>
          <cell r="H166">
            <v>0.77848101265822789</v>
          </cell>
          <cell r="O166">
            <v>0.72453274755482466</v>
          </cell>
          <cell r="P166">
            <v>0.72462941847206386</v>
          </cell>
          <cell r="Q166">
            <v>0.72462941847206386</v>
          </cell>
          <cell r="R166">
            <v>0.72432830327567177</v>
          </cell>
          <cell r="S166">
            <v>0.73386902757061057</v>
          </cell>
          <cell r="T166">
            <v>0.73330683624801274</v>
          </cell>
          <cell r="AA166">
            <v>0.72453274755482466</v>
          </cell>
          <cell r="AB166">
            <v>0.72462941847206386</v>
          </cell>
          <cell r="AC166">
            <v>0.76928314734253833</v>
          </cell>
          <cell r="AD166">
            <v>0.76896455484231097</v>
          </cell>
          <cell r="AE166">
            <v>0.77909738717339672</v>
          </cell>
          <cell r="AF166">
            <v>0.77848101265822789</v>
          </cell>
          <cell r="AM166">
            <v>0.72919497072845385</v>
          </cell>
          <cell r="AN166">
            <v>0.72928969326033422</v>
          </cell>
          <cell r="AO166">
            <v>0.72928969326033422</v>
          </cell>
          <cell r="AP166">
            <v>0.75502050535785148</v>
          </cell>
          <cell r="AQ166">
            <v>0.73859564164648916</v>
          </cell>
          <cell r="AR166">
            <v>0.73801845046126158</v>
          </cell>
        </row>
        <row r="167">
          <cell r="D167">
            <v>92</v>
          </cell>
          <cell r="E167">
            <v>0.76928314734253833</v>
          </cell>
          <cell r="F167">
            <v>0.76896455484231097</v>
          </cell>
          <cell r="G167">
            <v>0.77909738717339672</v>
          </cell>
          <cell r="H167">
            <v>0.77848101265822789</v>
          </cell>
          <cell r="O167">
            <v>0.72453274755482466</v>
          </cell>
          <cell r="P167">
            <v>0.72462941847206386</v>
          </cell>
          <cell r="Q167">
            <v>0.72462941847206386</v>
          </cell>
          <cell r="R167">
            <v>0.72432830327567177</v>
          </cell>
          <cell r="S167">
            <v>0.73386902757061057</v>
          </cell>
          <cell r="T167">
            <v>0.73330683624801274</v>
          </cell>
          <cell r="AA167">
            <v>0.72453274755482466</v>
          </cell>
          <cell r="AB167">
            <v>0.72462941847206386</v>
          </cell>
          <cell r="AC167">
            <v>0.76928314734253833</v>
          </cell>
          <cell r="AD167">
            <v>0.76896455484231097</v>
          </cell>
          <cell r="AE167">
            <v>0.77909738717339672</v>
          </cell>
          <cell r="AF167">
            <v>0.77848101265822789</v>
          </cell>
          <cell r="AM167">
            <v>0.72919497072845385</v>
          </cell>
          <cell r="AN167">
            <v>0.72928969326033422</v>
          </cell>
          <cell r="AO167">
            <v>0.72928969326033422</v>
          </cell>
          <cell r="AP167">
            <v>0.75502050535785148</v>
          </cell>
          <cell r="AQ167">
            <v>0.73859564164648916</v>
          </cell>
          <cell r="AR167">
            <v>0.73801845046126158</v>
          </cell>
        </row>
        <row r="168">
          <cell r="D168">
            <v>93</v>
          </cell>
          <cell r="E168">
            <v>0.76928314734253833</v>
          </cell>
          <cell r="F168">
            <v>0.76896455484231097</v>
          </cell>
          <cell r="G168">
            <v>0.77909738717339672</v>
          </cell>
          <cell r="H168">
            <v>0.77848101265822789</v>
          </cell>
          <cell r="O168">
            <v>0.72453274755482466</v>
          </cell>
          <cell r="P168">
            <v>0.72462941847206386</v>
          </cell>
          <cell r="Q168">
            <v>0.72462941847206386</v>
          </cell>
          <cell r="R168">
            <v>0.72432830327567177</v>
          </cell>
          <cell r="S168">
            <v>0.73386902757061057</v>
          </cell>
          <cell r="T168">
            <v>0.73330683624801274</v>
          </cell>
          <cell r="AA168">
            <v>0.72453274755482466</v>
          </cell>
          <cell r="AB168">
            <v>0.72462941847206386</v>
          </cell>
          <cell r="AC168">
            <v>0.76928314734253833</v>
          </cell>
          <cell r="AD168">
            <v>0.76896455484231097</v>
          </cell>
          <cell r="AE168">
            <v>0.77909738717339672</v>
          </cell>
          <cell r="AF168">
            <v>0.77848101265822789</v>
          </cell>
          <cell r="AM168">
            <v>0.72919497072845385</v>
          </cell>
          <cell r="AN168">
            <v>0.72928969326033422</v>
          </cell>
          <cell r="AO168">
            <v>0.72928969326033422</v>
          </cell>
          <cell r="AP168">
            <v>0.75502050535785148</v>
          </cell>
          <cell r="AQ168">
            <v>0.73859564164648916</v>
          </cell>
          <cell r="AR168">
            <v>0.73801845046126158</v>
          </cell>
        </row>
        <row r="169">
          <cell r="D169">
            <v>94</v>
          </cell>
          <cell r="E169">
            <v>0.76928314734253833</v>
          </cell>
          <cell r="F169">
            <v>0.76896455484231097</v>
          </cell>
          <cell r="G169">
            <v>0.77909738717339672</v>
          </cell>
          <cell r="H169">
            <v>0.77848101265822789</v>
          </cell>
          <cell r="O169">
            <v>0.72453274755482466</v>
          </cell>
          <cell r="P169">
            <v>0.72462941847206386</v>
          </cell>
          <cell r="Q169">
            <v>0.72462941847206386</v>
          </cell>
          <cell r="R169">
            <v>0.72432830327567177</v>
          </cell>
          <cell r="S169">
            <v>0.73386902757061057</v>
          </cell>
          <cell r="T169">
            <v>0.73330683624801274</v>
          </cell>
          <cell r="AA169">
            <v>0.72453274755482466</v>
          </cell>
          <cell r="AB169">
            <v>0.72462941847206386</v>
          </cell>
          <cell r="AC169">
            <v>0.76928314734253833</v>
          </cell>
          <cell r="AD169">
            <v>0.76896455484231097</v>
          </cell>
          <cell r="AE169">
            <v>0.77909738717339672</v>
          </cell>
          <cell r="AF169">
            <v>0.77848101265822789</v>
          </cell>
          <cell r="AM169">
            <v>0.72919497072845385</v>
          </cell>
          <cell r="AN169">
            <v>0.72928969326033422</v>
          </cell>
          <cell r="AO169">
            <v>0.72928969326033422</v>
          </cell>
          <cell r="AP169">
            <v>0.75502050535785148</v>
          </cell>
          <cell r="AQ169">
            <v>0.73859564164648916</v>
          </cell>
          <cell r="AR169">
            <v>0.73801845046126158</v>
          </cell>
        </row>
        <row r="170">
          <cell r="D170">
            <v>95</v>
          </cell>
          <cell r="E170">
            <v>1.3076224702099486</v>
          </cell>
          <cell r="F170">
            <v>1.3080472602102526</v>
          </cell>
          <cell r="G170">
            <v>1.2945368171021376</v>
          </cell>
          <cell r="H170">
            <v>1.295358649789029</v>
          </cell>
          <cell r="O170">
            <v>1.3672896699269002</v>
          </cell>
          <cell r="P170">
            <v>1.3671607753705823</v>
          </cell>
          <cell r="Q170">
            <v>1.3671607753705823</v>
          </cell>
          <cell r="R170">
            <v>1.3675622622991039</v>
          </cell>
          <cell r="S170">
            <v>1.3548412965725196</v>
          </cell>
          <cell r="T170">
            <v>1.3555908850026503</v>
          </cell>
          <cell r="AA170">
            <v>1.3672896699269002</v>
          </cell>
          <cell r="AB170">
            <v>1.3671607753705823</v>
          </cell>
          <cell r="AC170">
            <v>1.3076224702099486</v>
          </cell>
          <cell r="AD170">
            <v>1.3080472602102526</v>
          </cell>
          <cell r="AE170">
            <v>1.2945368171021376</v>
          </cell>
          <cell r="AF170">
            <v>1.295358649789029</v>
          </cell>
          <cell r="AM170">
            <v>1.3610733723620612</v>
          </cell>
          <cell r="AN170">
            <v>1.3609470756528876</v>
          </cell>
          <cell r="AO170">
            <v>1.3609470756528876</v>
          </cell>
          <cell r="AP170">
            <v>1.3266393261895317</v>
          </cell>
          <cell r="AQ170">
            <v>1.3485391444713466</v>
          </cell>
          <cell r="AR170">
            <v>1.3493087327183177</v>
          </cell>
        </row>
        <row r="171">
          <cell r="D171">
            <v>96</v>
          </cell>
          <cell r="E171">
            <v>1.3076224702099486</v>
          </cell>
          <cell r="F171">
            <v>1.3080472602102526</v>
          </cell>
          <cell r="G171">
            <v>1.2945368171021376</v>
          </cell>
          <cell r="H171">
            <v>1.295358649789029</v>
          </cell>
          <cell r="O171">
            <v>1.3672896699269002</v>
          </cell>
          <cell r="P171">
            <v>1.3671607753705823</v>
          </cell>
          <cell r="Q171">
            <v>1.3671607753705823</v>
          </cell>
          <cell r="R171">
            <v>1.3675622622991039</v>
          </cell>
          <cell r="S171">
            <v>1.3548412965725196</v>
          </cell>
          <cell r="T171">
            <v>1.3555908850026503</v>
          </cell>
          <cell r="AA171">
            <v>1.3672896699269002</v>
          </cell>
          <cell r="AB171">
            <v>1.3671607753705823</v>
          </cell>
          <cell r="AC171">
            <v>1.3076224702099486</v>
          </cell>
          <cell r="AD171">
            <v>1.3080472602102526</v>
          </cell>
          <cell r="AE171">
            <v>1.2945368171021376</v>
          </cell>
          <cell r="AF171">
            <v>1.295358649789029</v>
          </cell>
          <cell r="AM171">
            <v>1.3610733723620612</v>
          </cell>
          <cell r="AN171">
            <v>1.3609470756528876</v>
          </cell>
          <cell r="AO171">
            <v>1.3609470756528876</v>
          </cell>
          <cell r="AP171">
            <v>1.3266393261895317</v>
          </cell>
          <cell r="AQ171">
            <v>1.3485391444713466</v>
          </cell>
          <cell r="AR171">
            <v>1.3493087327183177</v>
          </cell>
        </row>
        <row r="172">
          <cell r="D172">
            <v>97</v>
          </cell>
          <cell r="E172">
            <v>1.3076224702099486</v>
          </cell>
          <cell r="F172">
            <v>1.3080472602102526</v>
          </cell>
          <cell r="G172">
            <v>1.2945368171021376</v>
          </cell>
          <cell r="H172">
            <v>1.295358649789029</v>
          </cell>
          <cell r="O172">
            <v>1.3672896699269002</v>
          </cell>
          <cell r="P172">
            <v>1.3671607753705823</v>
          </cell>
          <cell r="Q172">
            <v>1.3671607753705823</v>
          </cell>
          <cell r="R172">
            <v>1.3675622622991039</v>
          </cell>
          <cell r="S172">
            <v>1.3548412965725196</v>
          </cell>
          <cell r="T172">
            <v>1.3555908850026503</v>
          </cell>
          <cell r="AA172">
            <v>1.3672896699269002</v>
          </cell>
          <cell r="AB172">
            <v>1.3671607753705823</v>
          </cell>
          <cell r="AC172">
            <v>1.3076224702099486</v>
          </cell>
          <cell r="AD172">
            <v>1.3080472602102526</v>
          </cell>
          <cell r="AE172">
            <v>1.2945368171021376</v>
          </cell>
          <cell r="AF172">
            <v>1.295358649789029</v>
          </cell>
          <cell r="AM172">
            <v>1.3610733723620612</v>
          </cell>
          <cell r="AN172">
            <v>1.3609470756528876</v>
          </cell>
          <cell r="AO172">
            <v>1.3609470756528876</v>
          </cell>
          <cell r="AP172">
            <v>1.3266393261895317</v>
          </cell>
          <cell r="AQ172">
            <v>1.3485391444713466</v>
          </cell>
          <cell r="AR172">
            <v>1.3493087327183177</v>
          </cell>
        </row>
        <row r="173">
          <cell r="D173">
            <v>98</v>
          </cell>
          <cell r="E173">
            <v>1.3076224702099486</v>
          </cell>
          <cell r="F173">
            <v>1.3080472602102526</v>
          </cell>
          <cell r="G173">
            <v>1.2945368171021376</v>
          </cell>
          <cell r="H173">
            <v>1.295358649789029</v>
          </cell>
          <cell r="O173">
            <v>1.3672896699269002</v>
          </cell>
          <cell r="P173">
            <v>1.3671607753705823</v>
          </cell>
          <cell r="Q173">
            <v>1.3671607753705823</v>
          </cell>
          <cell r="R173">
            <v>1.3675622622991039</v>
          </cell>
          <cell r="S173">
            <v>1.3548412965725196</v>
          </cell>
          <cell r="T173">
            <v>1.3555908850026503</v>
          </cell>
          <cell r="AA173">
            <v>1.3672896699269002</v>
          </cell>
          <cell r="AB173">
            <v>1.3671607753705823</v>
          </cell>
          <cell r="AC173">
            <v>1.3076224702099486</v>
          </cell>
          <cell r="AD173">
            <v>1.3080472602102526</v>
          </cell>
          <cell r="AE173">
            <v>1.2945368171021376</v>
          </cell>
          <cell r="AF173">
            <v>1.295358649789029</v>
          </cell>
          <cell r="AM173">
            <v>1.3610733723620612</v>
          </cell>
          <cell r="AN173">
            <v>1.3609470756528876</v>
          </cell>
          <cell r="AO173">
            <v>1.3609470756528876</v>
          </cell>
          <cell r="AP173">
            <v>1.3266393261895317</v>
          </cell>
          <cell r="AQ173">
            <v>1.3485391444713466</v>
          </cell>
          <cell r="AR173">
            <v>1.3493087327183177</v>
          </cell>
        </row>
        <row r="174">
          <cell r="D174">
            <v>99</v>
          </cell>
          <cell r="E174">
            <v>1.3076224702099486</v>
          </cell>
          <cell r="F174">
            <v>1.3080472602102526</v>
          </cell>
          <cell r="G174">
            <v>1.2945368171021376</v>
          </cell>
          <cell r="H174">
            <v>1.295358649789029</v>
          </cell>
          <cell r="O174">
            <v>1.3672896699269002</v>
          </cell>
          <cell r="P174">
            <v>1.3671607753705823</v>
          </cell>
          <cell r="Q174">
            <v>1.3671607753705823</v>
          </cell>
          <cell r="R174">
            <v>1.3675622622991039</v>
          </cell>
          <cell r="S174">
            <v>1.3548412965725196</v>
          </cell>
          <cell r="T174">
            <v>1.3555908850026503</v>
          </cell>
          <cell r="AA174">
            <v>1.3672896699269002</v>
          </cell>
          <cell r="AB174">
            <v>1.3671607753705823</v>
          </cell>
          <cell r="AC174">
            <v>1.3076224702099486</v>
          </cell>
          <cell r="AD174">
            <v>1.3080472602102526</v>
          </cell>
          <cell r="AE174">
            <v>1.2945368171021376</v>
          </cell>
          <cell r="AF174">
            <v>1.295358649789029</v>
          </cell>
          <cell r="AM174">
            <v>1.3610733723620612</v>
          </cell>
          <cell r="AN174">
            <v>1.3609470756528876</v>
          </cell>
          <cell r="AO174">
            <v>1.3609470756528876</v>
          </cell>
          <cell r="AP174">
            <v>1.3266393261895317</v>
          </cell>
          <cell r="AQ174">
            <v>1.3485391444713466</v>
          </cell>
          <cell r="AR174">
            <v>1.3493087327183177</v>
          </cell>
        </row>
        <row r="175">
          <cell r="D175">
            <v>100</v>
          </cell>
          <cell r="E175">
            <v>1.3076224702099486</v>
          </cell>
          <cell r="F175">
            <v>1.3080472602102526</v>
          </cell>
          <cell r="G175">
            <v>1.2945368171021376</v>
          </cell>
          <cell r="H175">
            <v>1.295358649789029</v>
          </cell>
          <cell r="O175">
            <v>1.3672896699269002</v>
          </cell>
          <cell r="P175">
            <v>1.3671607753705823</v>
          </cell>
          <cell r="Q175">
            <v>1.3671607753705823</v>
          </cell>
          <cell r="R175">
            <v>1.3675622622991039</v>
          </cell>
          <cell r="S175">
            <v>1.3548412965725196</v>
          </cell>
          <cell r="T175">
            <v>1.3555908850026503</v>
          </cell>
          <cell r="AA175">
            <v>1.3672896699269002</v>
          </cell>
          <cell r="AB175">
            <v>1.3671607753705823</v>
          </cell>
          <cell r="AC175">
            <v>1.3076224702099486</v>
          </cell>
          <cell r="AD175">
            <v>1.3080472602102526</v>
          </cell>
          <cell r="AE175">
            <v>1.2945368171021376</v>
          </cell>
          <cell r="AF175">
            <v>1.295358649789029</v>
          </cell>
          <cell r="AM175">
            <v>1.3610733723620612</v>
          </cell>
          <cell r="AN175">
            <v>1.3609470756528876</v>
          </cell>
          <cell r="AO175">
            <v>1.3609470756528876</v>
          </cell>
          <cell r="AP175">
            <v>1.3266393261895317</v>
          </cell>
          <cell r="AQ175">
            <v>1.3485391444713466</v>
          </cell>
          <cell r="AR175">
            <v>1.3493087327183177</v>
          </cell>
        </row>
        <row r="176">
          <cell r="D176">
            <v>101</v>
          </cell>
          <cell r="E176">
            <v>1.3076224702099486</v>
          </cell>
          <cell r="F176">
            <v>1.3080472602102526</v>
          </cell>
          <cell r="G176">
            <v>1.2945368171021376</v>
          </cell>
          <cell r="H176">
            <v>1.295358649789029</v>
          </cell>
          <cell r="O176">
            <v>1.3672896699269002</v>
          </cell>
          <cell r="P176">
            <v>1.3671607753705823</v>
          </cell>
          <cell r="Q176">
            <v>1.3671607753705823</v>
          </cell>
          <cell r="R176">
            <v>1.3675622622991039</v>
          </cell>
          <cell r="S176">
            <v>1.3548412965725196</v>
          </cell>
          <cell r="T176">
            <v>1.3555908850026503</v>
          </cell>
          <cell r="AA176">
            <v>1.3672896699269002</v>
          </cell>
          <cell r="AB176">
            <v>1.3671607753705823</v>
          </cell>
          <cell r="AC176">
            <v>1.3076224702099486</v>
          </cell>
          <cell r="AD176">
            <v>1.3080472602102526</v>
          </cell>
          <cell r="AE176">
            <v>1.2945368171021376</v>
          </cell>
          <cell r="AF176">
            <v>1.295358649789029</v>
          </cell>
          <cell r="AM176">
            <v>1.3610733723620612</v>
          </cell>
          <cell r="AN176">
            <v>1.3609470756528876</v>
          </cell>
          <cell r="AO176">
            <v>1.3609470756528876</v>
          </cell>
          <cell r="AP176">
            <v>1.3266393261895317</v>
          </cell>
          <cell r="AQ176">
            <v>1.3485391444713466</v>
          </cell>
          <cell r="AR176">
            <v>1.3493087327183177</v>
          </cell>
        </row>
        <row r="177">
          <cell r="D177">
            <v>102</v>
          </cell>
          <cell r="E177">
            <v>1.3076224702099486</v>
          </cell>
          <cell r="F177">
            <v>1.3080472602102526</v>
          </cell>
          <cell r="G177">
            <v>1.2945368171021376</v>
          </cell>
          <cell r="H177">
            <v>1.295358649789029</v>
          </cell>
          <cell r="O177">
            <v>1.3672896699269002</v>
          </cell>
          <cell r="P177">
            <v>1.3671607753705823</v>
          </cell>
          <cell r="Q177">
            <v>1.3671607753705823</v>
          </cell>
          <cell r="R177">
            <v>1.3675622622991039</v>
          </cell>
          <cell r="S177">
            <v>1.3548412965725196</v>
          </cell>
          <cell r="T177">
            <v>1.3555908850026503</v>
          </cell>
          <cell r="AA177">
            <v>1.3672896699269002</v>
          </cell>
          <cell r="AB177">
            <v>1.3671607753705823</v>
          </cell>
          <cell r="AC177">
            <v>1.3076224702099486</v>
          </cell>
          <cell r="AD177">
            <v>1.3080472602102526</v>
          </cell>
          <cell r="AE177">
            <v>1.2945368171021376</v>
          </cell>
          <cell r="AF177">
            <v>1.295358649789029</v>
          </cell>
          <cell r="AM177">
            <v>1.3610733723620612</v>
          </cell>
          <cell r="AN177">
            <v>1.3609470756528876</v>
          </cell>
          <cell r="AO177">
            <v>1.3609470756528876</v>
          </cell>
          <cell r="AP177">
            <v>1.3266393261895317</v>
          </cell>
          <cell r="AQ177">
            <v>1.3485391444713466</v>
          </cell>
          <cell r="AR177">
            <v>1.3493087327183177</v>
          </cell>
        </row>
        <row r="178">
          <cell r="D178">
            <v>103</v>
          </cell>
          <cell r="E178">
            <v>0.76928314734253833</v>
          </cell>
          <cell r="F178">
            <v>0.76896455484231097</v>
          </cell>
          <cell r="G178">
            <v>0.77909738717339672</v>
          </cell>
          <cell r="H178">
            <v>0.77848101265822789</v>
          </cell>
          <cell r="O178">
            <v>0.72453274755482466</v>
          </cell>
          <cell r="P178">
            <v>0.72462941847206386</v>
          </cell>
          <cell r="Q178">
            <v>0.72462941847206386</v>
          </cell>
          <cell r="R178">
            <v>0.72432830327567177</v>
          </cell>
          <cell r="S178">
            <v>0.73386902757061057</v>
          </cell>
          <cell r="T178">
            <v>0.73330683624801274</v>
          </cell>
          <cell r="AA178">
            <v>0.72453274755482466</v>
          </cell>
          <cell r="AB178">
            <v>0.72462941847206386</v>
          </cell>
          <cell r="AC178">
            <v>0.76928314734253833</v>
          </cell>
          <cell r="AD178">
            <v>0.76896455484231097</v>
          </cell>
          <cell r="AE178">
            <v>0.77909738717339672</v>
          </cell>
          <cell r="AF178">
            <v>0.77848101265822789</v>
          </cell>
          <cell r="AM178">
            <v>0.72919497072845385</v>
          </cell>
          <cell r="AN178">
            <v>0.72928969326033422</v>
          </cell>
          <cell r="AO178">
            <v>0.72928969326033422</v>
          </cell>
          <cell r="AP178">
            <v>0.75502050535785148</v>
          </cell>
          <cell r="AQ178">
            <v>0.73859564164648916</v>
          </cell>
          <cell r="AR178">
            <v>0.73801845046126158</v>
          </cell>
        </row>
        <row r="179">
          <cell r="D179">
            <v>104</v>
          </cell>
          <cell r="E179">
            <v>0.76928314734253833</v>
          </cell>
          <cell r="F179">
            <v>0.76896455484231097</v>
          </cell>
          <cell r="G179">
            <v>0.77909738717339672</v>
          </cell>
          <cell r="H179">
            <v>0.77848101265822789</v>
          </cell>
          <cell r="O179">
            <v>0.72453274755482466</v>
          </cell>
          <cell r="P179">
            <v>0.72462941847206386</v>
          </cell>
          <cell r="Q179">
            <v>0.72462941847206386</v>
          </cell>
          <cell r="R179">
            <v>0.72432830327567177</v>
          </cell>
          <cell r="S179">
            <v>0.73386902757061057</v>
          </cell>
          <cell r="T179">
            <v>0.73330683624801274</v>
          </cell>
          <cell r="AA179">
            <v>0.72453274755482466</v>
          </cell>
          <cell r="AB179">
            <v>0.72462941847206386</v>
          </cell>
          <cell r="AC179">
            <v>0.76928314734253833</v>
          </cell>
          <cell r="AD179">
            <v>0.76896455484231097</v>
          </cell>
          <cell r="AE179">
            <v>0.77909738717339672</v>
          </cell>
          <cell r="AF179">
            <v>0.77848101265822789</v>
          </cell>
          <cell r="AM179">
            <v>0.72919497072845385</v>
          </cell>
          <cell r="AN179">
            <v>0.72928969326033422</v>
          </cell>
          <cell r="AO179">
            <v>0.72928969326033422</v>
          </cell>
          <cell r="AP179">
            <v>0.75502050535785148</v>
          </cell>
          <cell r="AQ179">
            <v>0.73859564164648916</v>
          </cell>
          <cell r="AR179">
            <v>0.73801845046126158</v>
          </cell>
        </row>
        <row r="180">
          <cell r="D180">
            <v>105</v>
          </cell>
          <cell r="E180">
            <v>0.76928314734253833</v>
          </cell>
          <cell r="F180">
            <v>0.76896455484231097</v>
          </cell>
          <cell r="G180">
            <v>0.77909738717339672</v>
          </cell>
          <cell r="H180">
            <v>0.77848101265822789</v>
          </cell>
          <cell r="O180">
            <v>0.72453274755482466</v>
          </cell>
          <cell r="P180">
            <v>0.72462941847206386</v>
          </cell>
          <cell r="Q180">
            <v>0.72462941847206386</v>
          </cell>
          <cell r="R180">
            <v>0.72432830327567177</v>
          </cell>
          <cell r="S180">
            <v>0.73386902757061057</v>
          </cell>
          <cell r="T180">
            <v>0.73330683624801274</v>
          </cell>
          <cell r="AA180">
            <v>0.72453274755482466</v>
          </cell>
          <cell r="AB180">
            <v>0.72462941847206386</v>
          </cell>
          <cell r="AC180">
            <v>0.76928314734253833</v>
          </cell>
          <cell r="AD180">
            <v>0.76896455484231097</v>
          </cell>
          <cell r="AE180">
            <v>0.77909738717339672</v>
          </cell>
          <cell r="AF180">
            <v>0.77848101265822789</v>
          </cell>
          <cell r="AM180">
            <v>0.72919497072845385</v>
          </cell>
          <cell r="AN180">
            <v>0.72928969326033422</v>
          </cell>
          <cell r="AO180">
            <v>0.72928969326033422</v>
          </cell>
          <cell r="AP180">
            <v>0.75502050535785148</v>
          </cell>
          <cell r="AQ180">
            <v>0.73859564164648916</v>
          </cell>
          <cell r="AR180">
            <v>0.73801845046126158</v>
          </cell>
        </row>
        <row r="181">
          <cell r="D181">
            <v>106</v>
          </cell>
          <cell r="E181">
            <v>0.76928314734253833</v>
          </cell>
          <cell r="F181">
            <v>0.76896455484231097</v>
          </cell>
          <cell r="G181">
            <v>0.77909738717339672</v>
          </cell>
          <cell r="H181">
            <v>0.77848101265822789</v>
          </cell>
          <cell r="O181">
            <v>0.72453274755482466</v>
          </cell>
          <cell r="P181">
            <v>0.72462941847206386</v>
          </cell>
          <cell r="Q181">
            <v>0.72462941847206386</v>
          </cell>
          <cell r="R181">
            <v>0.72432830327567177</v>
          </cell>
          <cell r="S181">
            <v>0.73386902757061057</v>
          </cell>
          <cell r="T181">
            <v>0.73330683624801274</v>
          </cell>
          <cell r="AA181">
            <v>0.72453274755482466</v>
          </cell>
          <cell r="AB181">
            <v>0.72462941847206386</v>
          </cell>
          <cell r="AC181">
            <v>0.76928314734253833</v>
          </cell>
          <cell r="AD181">
            <v>0.76896455484231097</v>
          </cell>
          <cell r="AE181">
            <v>0.77909738717339672</v>
          </cell>
          <cell r="AF181">
            <v>0.77848101265822789</v>
          </cell>
          <cell r="AM181">
            <v>0.72919497072845385</v>
          </cell>
          <cell r="AN181">
            <v>0.72928969326033422</v>
          </cell>
          <cell r="AO181">
            <v>0.72928969326033422</v>
          </cell>
          <cell r="AP181">
            <v>0.75502050535785148</v>
          </cell>
          <cell r="AQ181">
            <v>0.73859564164648916</v>
          </cell>
          <cell r="AR181">
            <v>0.73801845046126158</v>
          </cell>
        </row>
        <row r="182">
          <cell r="D182">
            <v>107</v>
          </cell>
          <cell r="E182">
            <v>0.76928314734253833</v>
          </cell>
          <cell r="F182">
            <v>0.76896455484231097</v>
          </cell>
          <cell r="G182">
            <v>0.77909738717339672</v>
          </cell>
          <cell r="H182">
            <v>0.77848101265822789</v>
          </cell>
          <cell r="O182">
            <v>0.72453274755482466</v>
          </cell>
          <cell r="P182">
            <v>0.72462941847206386</v>
          </cell>
          <cell r="Q182">
            <v>0.72462941847206386</v>
          </cell>
          <cell r="R182">
            <v>0.72432830327567177</v>
          </cell>
          <cell r="S182">
            <v>0.73386902757061057</v>
          </cell>
          <cell r="T182">
            <v>0.73330683624801274</v>
          </cell>
          <cell r="AA182">
            <v>0.72453274755482466</v>
          </cell>
          <cell r="AB182">
            <v>0.72462941847206386</v>
          </cell>
          <cell r="AC182">
            <v>0.76928314734253833</v>
          </cell>
          <cell r="AD182">
            <v>0.76896455484231097</v>
          </cell>
          <cell r="AE182">
            <v>0.77909738717339672</v>
          </cell>
          <cell r="AF182">
            <v>0.77848101265822789</v>
          </cell>
          <cell r="AM182">
            <v>0.72919497072845385</v>
          </cell>
          <cell r="AN182">
            <v>0.72928969326033422</v>
          </cell>
          <cell r="AO182">
            <v>0.72928969326033422</v>
          </cell>
          <cell r="AP182">
            <v>0.75502050535785148</v>
          </cell>
          <cell r="AQ182">
            <v>0.73859564164648916</v>
          </cell>
          <cell r="AR182">
            <v>0.73801845046126158</v>
          </cell>
        </row>
        <row r="183">
          <cell r="D183">
            <v>108</v>
          </cell>
          <cell r="E183">
            <v>0.76928314734253833</v>
          </cell>
          <cell r="F183">
            <v>0.76896455484231097</v>
          </cell>
          <cell r="G183">
            <v>0.77909738717339672</v>
          </cell>
          <cell r="H183">
            <v>0.77848101265822789</v>
          </cell>
          <cell r="O183">
            <v>0.72453274755482466</v>
          </cell>
          <cell r="P183">
            <v>0.72462941847206386</v>
          </cell>
          <cell r="Q183">
            <v>0.72462941847206386</v>
          </cell>
          <cell r="R183">
            <v>0.72432830327567177</v>
          </cell>
          <cell r="S183">
            <v>0.73386902757061057</v>
          </cell>
          <cell r="T183">
            <v>0.73330683624801274</v>
          </cell>
          <cell r="AA183">
            <v>0.72453274755482466</v>
          </cell>
          <cell r="AB183">
            <v>0.72462941847206386</v>
          </cell>
          <cell r="AC183">
            <v>0.76928314734253833</v>
          </cell>
          <cell r="AD183">
            <v>0.76896455484231097</v>
          </cell>
          <cell r="AE183">
            <v>0.77909738717339672</v>
          </cell>
          <cell r="AF183">
            <v>0.77848101265822789</v>
          </cell>
          <cell r="AM183">
            <v>0.72919497072845385</v>
          </cell>
          <cell r="AN183">
            <v>0.72928969326033422</v>
          </cell>
          <cell r="AO183">
            <v>0.72928969326033422</v>
          </cell>
          <cell r="AP183">
            <v>0.75502050535785148</v>
          </cell>
          <cell r="AQ183">
            <v>0.73859564164648916</v>
          </cell>
          <cell r="AR183">
            <v>0.73801845046126158</v>
          </cell>
        </row>
        <row r="184">
          <cell r="D184">
            <v>109</v>
          </cell>
          <cell r="E184">
            <v>0.76928314734253833</v>
          </cell>
          <cell r="F184">
            <v>0.76896455484231097</v>
          </cell>
          <cell r="G184">
            <v>0.77909738717339672</v>
          </cell>
          <cell r="H184">
            <v>0.77848101265822789</v>
          </cell>
          <cell r="O184">
            <v>0.72453274755482466</v>
          </cell>
          <cell r="P184">
            <v>0.72462941847206386</v>
          </cell>
          <cell r="Q184">
            <v>0.72462941847206386</v>
          </cell>
          <cell r="R184">
            <v>0.72432830327567177</v>
          </cell>
          <cell r="S184">
            <v>0.73386902757061057</v>
          </cell>
          <cell r="T184">
            <v>0.73330683624801274</v>
          </cell>
          <cell r="AA184">
            <v>0.72453274755482466</v>
          </cell>
          <cell r="AB184">
            <v>0.72462941847206386</v>
          </cell>
          <cell r="AC184">
            <v>0.76928314734253833</v>
          </cell>
          <cell r="AD184">
            <v>0.76896455484231097</v>
          </cell>
          <cell r="AE184">
            <v>0.77909738717339672</v>
          </cell>
          <cell r="AF184">
            <v>0.77848101265822789</v>
          </cell>
          <cell r="AM184">
            <v>0.72919497072845385</v>
          </cell>
          <cell r="AN184">
            <v>0.72928969326033422</v>
          </cell>
          <cell r="AO184">
            <v>0.72928969326033422</v>
          </cell>
          <cell r="AP184">
            <v>0.75502050535785148</v>
          </cell>
          <cell r="AQ184">
            <v>0.73859564164648916</v>
          </cell>
          <cell r="AR184">
            <v>0.73801845046126158</v>
          </cell>
        </row>
        <row r="185">
          <cell r="D185">
            <v>110</v>
          </cell>
          <cell r="E185">
            <v>0.76928314734253833</v>
          </cell>
          <cell r="F185">
            <v>0.76896455484231097</v>
          </cell>
          <cell r="G185">
            <v>0.77909738717339672</v>
          </cell>
          <cell r="H185">
            <v>0.77848101265822789</v>
          </cell>
          <cell r="O185">
            <v>0.72453274755482466</v>
          </cell>
          <cell r="P185">
            <v>0.72462941847206386</v>
          </cell>
          <cell r="Q185">
            <v>0.72462941847206386</v>
          </cell>
          <cell r="R185">
            <v>0.72432830327567177</v>
          </cell>
          <cell r="S185">
            <v>0.73386902757061057</v>
          </cell>
          <cell r="T185">
            <v>0.73330683624801274</v>
          </cell>
          <cell r="AA185">
            <v>0.72453274755482466</v>
          </cell>
          <cell r="AB185">
            <v>0.72462941847206386</v>
          </cell>
          <cell r="AC185">
            <v>0.76928314734253833</v>
          </cell>
          <cell r="AD185">
            <v>0.76896455484231097</v>
          </cell>
          <cell r="AE185">
            <v>0.77909738717339672</v>
          </cell>
          <cell r="AF185">
            <v>0.77848101265822789</v>
          </cell>
          <cell r="AM185">
            <v>0.72919497072845385</v>
          </cell>
          <cell r="AN185">
            <v>0.72928969326033422</v>
          </cell>
          <cell r="AO185">
            <v>0.72928969326033422</v>
          </cell>
          <cell r="AP185">
            <v>0.75502050535785148</v>
          </cell>
          <cell r="AQ185">
            <v>0.73859564164648916</v>
          </cell>
          <cell r="AR185">
            <v>0.73801845046126158</v>
          </cell>
        </row>
        <row r="186">
          <cell r="D186">
            <v>111</v>
          </cell>
          <cell r="E186">
            <v>0.76928314734253833</v>
          </cell>
          <cell r="F186">
            <v>0.76896455484231097</v>
          </cell>
          <cell r="G186">
            <v>0.77909738717339672</v>
          </cell>
          <cell r="H186">
            <v>0.77848101265822789</v>
          </cell>
          <cell r="O186">
            <v>0.72453274755482466</v>
          </cell>
          <cell r="P186">
            <v>0.72462941847206386</v>
          </cell>
          <cell r="Q186">
            <v>0.72462941847206386</v>
          </cell>
          <cell r="R186">
            <v>0.72432830327567177</v>
          </cell>
          <cell r="S186">
            <v>0.73386902757061057</v>
          </cell>
          <cell r="T186">
            <v>0.73330683624801274</v>
          </cell>
          <cell r="AA186">
            <v>0.72453274755482466</v>
          </cell>
          <cell r="AB186">
            <v>0.72462941847206386</v>
          </cell>
          <cell r="AC186">
            <v>0.76928314734253833</v>
          </cell>
          <cell r="AD186">
            <v>0.76896455484231097</v>
          </cell>
          <cell r="AE186">
            <v>0.77909738717339672</v>
          </cell>
          <cell r="AF186">
            <v>0.77848101265822789</v>
          </cell>
          <cell r="AM186">
            <v>0.72919497072845385</v>
          </cell>
          <cell r="AN186">
            <v>0.72928969326033422</v>
          </cell>
          <cell r="AO186">
            <v>0.72928969326033422</v>
          </cell>
          <cell r="AP186">
            <v>0.75502050535785148</v>
          </cell>
          <cell r="AQ186">
            <v>0.73859564164648916</v>
          </cell>
          <cell r="AR186">
            <v>0.73801845046126158</v>
          </cell>
        </row>
        <row r="187">
          <cell r="D187">
            <v>112</v>
          </cell>
          <cell r="E187">
            <v>0.76928314734253833</v>
          </cell>
          <cell r="F187">
            <v>0.76896455484231097</v>
          </cell>
          <cell r="G187">
            <v>0.77909738717339672</v>
          </cell>
          <cell r="H187">
            <v>0.77848101265822789</v>
          </cell>
          <cell r="O187">
            <v>0.72453274755482466</v>
          </cell>
          <cell r="P187">
            <v>0.72462941847206386</v>
          </cell>
          <cell r="Q187">
            <v>0.72462941847206386</v>
          </cell>
          <cell r="R187">
            <v>0.72432830327567177</v>
          </cell>
          <cell r="S187">
            <v>0.73386902757061057</v>
          </cell>
          <cell r="T187">
            <v>0.73330683624801274</v>
          </cell>
          <cell r="AA187">
            <v>0.72453274755482466</v>
          </cell>
          <cell r="AB187">
            <v>0.72462941847206386</v>
          </cell>
          <cell r="AC187">
            <v>0.76928314734253833</v>
          </cell>
          <cell r="AD187">
            <v>0.76896455484231097</v>
          </cell>
          <cell r="AE187">
            <v>0.77909738717339672</v>
          </cell>
          <cell r="AF187">
            <v>0.77848101265822789</v>
          </cell>
          <cell r="AM187">
            <v>0.72919497072845385</v>
          </cell>
          <cell r="AN187">
            <v>0.72928969326033422</v>
          </cell>
          <cell r="AO187">
            <v>0.72928969326033422</v>
          </cell>
          <cell r="AP187">
            <v>0.75502050535785148</v>
          </cell>
          <cell r="AQ187">
            <v>0.73859564164648916</v>
          </cell>
          <cell r="AR187">
            <v>0.73801845046126158</v>
          </cell>
        </row>
        <row r="188">
          <cell r="D188">
            <v>113</v>
          </cell>
          <cell r="E188">
            <v>0.76928314734253833</v>
          </cell>
          <cell r="F188">
            <v>0.76896455484231097</v>
          </cell>
          <cell r="G188">
            <v>0.77909738717339672</v>
          </cell>
          <cell r="H188">
            <v>0.77848101265822789</v>
          </cell>
          <cell r="O188">
            <v>0.72453274755482466</v>
          </cell>
          <cell r="P188">
            <v>0.72462941847206386</v>
          </cell>
          <cell r="Q188">
            <v>0.72462941847206386</v>
          </cell>
          <cell r="R188">
            <v>0.72432830327567177</v>
          </cell>
          <cell r="S188">
            <v>0.73386902757061057</v>
          </cell>
          <cell r="T188">
            <v>0.73330683624801274</v>
          </cell>
          <cell r="AA188">
            <v>0.72453274755482466</v>
          </cell>
          <cell r="AB188">
            <v>0.72462941847206386</v>
          </cell>
          <cell r="AC188">
            <v>0.76928314734253833</v>
          </cell>
          <cell r="AD188">
            <v>0.76896455484231097</v>
          </cell>
          <cell r="AE188">
            <v>0.77909738717339672</v>
          </cell>
          <cell r="AF188">
            <v>0.77848101265822789</v>
          </cell>
          <cell r="AM188">
            <v>0.72919497072845385</v>
          </cell>
          <cell r="AN188">
            <v>0.72928969326033422</v>
          </cell>
          <cell r="AO188">
            <v>0.72928969326033422</v>
          </cell>
          <cell r="AP188">
            <v>0.75502050535785148</v>
          </cell>
          <cell r="AQ188">
            <v>0.73859564164648916</v>
          </cell>
          <cell r="AR188">
            <v>0.73801845046126158</v>
          </cell>
        </row>
        <row r="189">
          <cell r="D189">
            <v>114</v>
          </cell>
          <cell r="E189">
            <v>0.76928314734253833</v>
          </cell>
          <cell r="F189">
            <v>0.76896455484231097</v>
          </cell>
          <cell r="G189">
            <v>0.77909738717339672</v>
          </cell>
          <cell r="H189">
            <v>0.77848101265822789</v>
          </cell>
          <cell r="O189">
            <v>0.72453274755482466</v>
          </cell>
          <cell r="P189">
            <v>0.72462941847206386</v>
          </cell>
          <cell r="Q189">
            <v>0.72462941847206386</v>
          </cell>
          <cell r="R189">
            <v>0.72432830327567177</v>
          </cell>
          <cell r="S189">
            <v>0.73386902757061057</v>
          </cell>
          <cell r="T189">
            <v>0.73330683624801274</v>
          </cell>
          <cell r="AA189">
            <v>0.72453274755482466</v>
          </cell>
          <cell r="AB189">
            <v>0.72462941847206386</v>
          </cell>
          <cell r="AC189">
            <v>0.76928314734253833</v>
          </cell>
          <cell r="AD189">
            <v>0.76896455484231097</v>
          </cell>
          <cell r="AE189">
            <v>0.77909738717339672</v>
          </cell>
          <cell r="AF189">
            <v>0.77848101265822789</v>
          </cell>
          <cell r="AM189">
            <v>0.72919497072845385</v>
          </cell>
          <cell r="AN189">
            <v>0.72928969326033422</v>
          </cell>
          <cell r="AO189">
            <v>0.72928969326033422</v>
          </cell>
          <cell r="AP189">
            <v>0.75502050535785148</v>
          </cell>
          <cell r="AQ189">
            <v>0.73859564164648916</v>
          </cell>
          <cell r="AR189">
            <v>0.73801845046126158</v>
          </cell>
        </row>
        <row r="190">
          <cell r="D190">
            <v>115</v>
          </cell>
          <cell r="E190">
            <v>0.76928314734253833</v>
          </cell>
          <cell r="F190">
            <v>0.76896455484231097</v>
          </cell>
          <cell r="G190">
            <v>0.77909738717339672</v>
          </cell>
          <cell r="H190">
            <v>0.77848101265822789</v>
          </cell>
          <cell r="O190">
            <v>0.72453274755482466</v>
          </cell>
          <cell r="P190">
            <v>0.72462941847206386</v>
          </cell>
          <cell r="Q190">
            <v>0.72462941847206386</v>
          </cell>
          <cell r="R190">
            <v>0.72432830327567177</v>
          </cell>
          <cell r="S190">
            <v>0.73386902757061057</v>
          </cell>
          <cell r="T190">
            <v>0.73330683624801274</v>
          </cell>
          <cell r="AA190">
            <v>0.72453274755482466</v>
          </cell>
          <cell r="AB190">
            <v>0.72462941847206386</v>
          </cell>
          <cell r="AC190">
            <v>0.76928314734253833</v>
          </cell>
          <cell r="AD190">
            <v>0.76896455484231097</v>
          </cell>
          <cell r="AE190">
            <v>0.77909738717339672</v>
          </cell>
          <cell r="AF190">
            <v>0.77848101265822789</v>
          </cell>
          <cell r="AM190">
            <v>0.72919497072845385</v>
          </cell>
          <cell r="AN190">
            <v>0.72928969326033422</v>
          </cell>
          <cell r="AO190">
            <v>0.72928969326033422</v>
          </cell>
          <cell r="AP190">
            <v>0.75502050535785148</v>
          </cell>
          <cell r="AQ190">
            <v>0.73859564164648916</v>
          </cell>
          <cell r="AR190">
            <v>0.73801845046126158</v>
          </cell>
        </row>
        <row r="191">
          <cell r="D191">
            <v>116</v>
          </cell>
          <cell r="E191">
            <v>0.76928314734253833</v>
          </cell>
          <cell r="F191">
            <v>0.76896455484231097</v>
          </cell>
          <cell r="G191">
            <v>0.77909738717339672</v>
          </cell>
          <cell r="H191">
            <v>0.77848101265822789</v>
          </cell>
          <cell r="O191">
            <v>0.72453274755482466</v>
          </cell>
          <cell r="P191">
            <v>0.72462941847206386</v>
          </cell>
          <cell r="Q191">
            <v>0.72462941847206386</v>
          </cell>
          <cell r="R191">
            <v>0.72432830327567177</v>
          </cell>
          <cell r="S191">
            <v>0.73386902757061057</v>
          </cell>
          <cell r="T191">
            <v>0.73330683624801274</v>
          </cell>
          <cell r="AA191">
            <v>0.72453274755482466</v>
          </cell>
          <cell r="AB191">
            <v>0.72462941847206386</v>
          </cell>
          <cell r="AC191">
            <v>0.76928314734253833</v>
          </cell>
          <cell r="AD191">
            <v>0.76896455484231097</v>
          </cell>
          <cell r="AE191">
            <v>0.77909738717339672</v>
          </cell>
          <cell r="AF191">
            <v>0.77848101265822789</v>
          </cell>
          <cell r="AM191">
            <v>0.72919497072845385</v>
          </cell>
          <cell r="AN191">
            <v>0.72928969326033422</v>
          </cell>
          <cell r="AO191">
            <v>0.72928969326033422</v>
          </cell>
          <cell r="AP191">
            <v>0.75502050535785148</v>
          </cell>
          <cell r="AQ191">
            <v>0.73859564164648916</v>
          </cell>
          <cell r="AR191">
            <v>0.73801845046126158</v>
          </cell>
        </row>
        <row r="192">
          <cell r="D192">
            <v>117</v>
          </cell>
          <cell r="E192">
            <v>0.76928314734253833</v>
          </cell>
          <cell r="F192">
            <v>0.76896455484231097</v>
          </cell>
          <cell r="G192">
            <v>0.77909738717339672</v>
          </cell>
          <cell r="H192">
            <v>0.77848101265822789</v>
          </cell>
          <cell r="O192">
            <v>0.72453274755482466</v>
          </cell>
          <cell r="P192">
            <v>0.72462941847206386</v>
          </cell>
          <cell r="Q192">
            <v>0.72462941847206386</v>
          </cell>
          <cell r="R192">
            <v>0.72432830327567177</v>
          </cell>
          <cell r="S192">
            <v>0.73386902757061057</v>
          </cell>
          <cell r="T192">
            <v>0.73330683624801274</v>
          </cell>
          <cell r="AA192">
            <v>0.72453274755482466</v>
          </cell>
          <cell r="AB192">
            <v>0.72462941847206386</v>
          </cell>
          <cell r="AC192">
            <v>0.76928314734253833</v>
          </cell>
          <cell r="AD192">
            <v>0.76896455484231097</v>
          </cell>
          <cell r="AE192">
            <v>0.77909738717339672</v>
          </cell>
          <cell r="AF192">
            <v>0.77848101265822789</v>
          </cell>
          <cell r="AM192">
            <v>0.72919497072845385</v>
          </cell>
          <cell r="AN192">
            <v>0.72928969326033422</v>
          </cell>
          <cell r="AO192">
            <v>0.72928969326033422</v>
          </cell>
          <cell r="AP192">
            <v>0.75502050535785148</v>
          </cell>
          <cell r="AQ192">
            <v>0.73859564164648916</v>
          </cell>
          <cell r="AR192">
            <v>0.73801845046126158</v>
          </cell>
        </row>
        <row r="193">
          <cell r="D193">
            <v>118</v>
          </cell>
          <cell r="E193">
            <v>0.76928314734253833</v>
          </cell>
          <cell r="F193">
            <v>0.76896455484231097</v>
          </cell>
          <cell r="G193">
            <v>0.77909738717339672</v>
          </cell>
          <cell r="H193">
            <v>0.77848101265822789</v>
          </cell>
          <cell r="O193">
            <v>0.72453274755482466</v>
          </cell>
          <cell r="P193">
            <v>0.72462941847206386</v>
          </cell>
          <cell r="Q193">
            <v>0.72462941847206386</v>
          </cell>
          <cell r="R193">
            <v>0.72432830327567177</v>
          </cell>
          <cell r="S193">
            <v>0.73386902757061057</v>
          </cell>
          <cell r="T193">
            <v>0.73330683624801274</v>
          </cell>
          <cell r="AA193">
            <v>0.72453274755482466</v>
          </cell>
          <cell r="AB193">
            <v>0.72462941847206386</v>
          </cell>
          <cell r="AC193">
            <v>0.76928314734253833</v>
          </cell>
          <cell r="AD193">
            <v>0.76896455484231097</v>
          </cell>
          <cell r="AE193">
            <v>0.77909738717339672</v>
          </cell>
          <cell r="AF193">
            <v>0.77848101265822789</v>
          </cell>
          <cell r="AM193">
            <v>0.72919497072845385</v>
          </cell>
          <cell r="AN193">
            <v>0.72928969326033422</v>
          </cell>
          <cell r="AO193">
            <v>0.72928969326033422</v>
          </cell>
          <cell r="AP193">
            <v>0.75502050535785148</v>
          </cell>
          <cell r="AQ193">
            <v>0.73859564164648916</v>
          </cell>
          <cell r="AR193">
            <v>0.73801845046126158</v>
          </cell>
        </row>
        <row r="194">
          <cell r="D194">
            <v>119</v>
          </cell>
          <cell r="E194">
            <v>1.3076224702099486</v>
          </cell>
          <cell r="F194">
            <v>1.3080472602102526</v>
          </cell>
          <cell r="G194">
            <v>1.2945368171021376</v>
          </cell>
          <cell r="H194">
            <v>1.295358649789029</v>
          </cell>
          <cell r="O194">
            <v>1.3672896699269002</v>
          </cell>
          <cell r="P194">
            <v>1.3671607753705823</v>
          </cell>
          <cell r="Q194">
            <v>1.3671607753705823</v>
          </cell>
          <cell r="R194">
            <v>1.3675622622991039</v>
          </cell>
          <cell r="S194">
            <v>1.3548412965725196</v>
          </cell>
          <cell r="T194">
            <v>1.3555908850026503</v>
          </cell>
          <cell r="AA194">
            <v>1.3672896699269002</v>
          </cell>
          <cell r="AB194">
            <v>1.3671607753705823</v>
          </cell>
          <cell r="AC194">
            <v>1.3076224702099486</v>
          </cell>
          <cell r="AD194">
            <v>1.3080472602102526</v>
          </cell>
          <cell r="AE194">
            <v>1.2945368171021376</v>
          </cell>
          <cell r="AF194">
            <v>1.295358649789029</v>
          </cell>
          <cell r="AM194">
            <v>1.3610733723620612</v>
          </cell>
          <cell r="AN194">
            <v>1.3609470756528876</v>
          </cell>
          <cell r="AO194">
            <v>1.3609470756528876</v>
          </cell>
          <cell r="AP194">
            <v>1.3266393261895317</v>
          </cell>
          <cell r="AQ194">
            <v>1.3485391444713466</v>
          </cell>
          <cell r="AR194">
            <v>1.3493087327183177</v>
          </cell>
        </row>
        <row r="195">
          <cell r="D195">
            <v>120</v>
          </cell>
          <cell r="E195">
            <v>1.3076224702099486</v>
          </cell>
          <cell r="F195">
            <v>1.3080472602102526</v>
          </cell>
          <cell r="G195">
            <v>1.2945368171021376</v>
          </cell>
          <cell r="H195">
            <v>1.295358649789029</v>
          </cell>
          <cell r="O195">
            <v>1.3672896699269002</v>
          </cell>
          <cell r="P195">
            <v>1.3671607753705823</v>
          </cell>
          <cell r="Q195">
            <v>1.3671607753705823</v>
          </cell>
          <cell r="R195">
            <v>1.3675622622991039</v>
          </cell>
          <cell r="S195">
            <v>1.3548412965725196</v>
          </cell>
          <cell r="T195">
            <v>1.3555908850026503</v>
          </cell>
          <cell r="AA195">
            <v>1.3672896699269002</v>
          </cell>
          <cell r="AB195">
            <v>1.3671607753705823</v>
          </cell>
          <cell r="AC195">
            <v>1.3076224702099486</v>
          </cell>
          <cell r="AD195">
            <v>1.3080472602102526</v>
          </cell>
          <cell r="AE195">
            <v>1.2945368171021376</v>
          </cell>
          <cell r="AF195">
            <v>1.295358649789029</v>
          </cell>
          <cell r="AM195">
            <v>1.3610733723620612</v>
          </cell>
          <cell r="AN195">
            <v>1.3609470756528876</v>
          </cell>
          <cell r="AO195">
            <v>1.3609470756528876</v>
          </cell>
          <cell r="AP195">
            <v>1.3266393261895317</v>
          </cell>
          <cell r="AQ195">
            <v>1.3485391444713466</v>
          </cell>
          <cell r="AR195">
            <v>1.3493087327183177</v>
          </cell>
        </row>
        <row r="196">
          <cell r="D196">
            <v>121</v>
          </cell>
          <cell r="E196">
            <v>1.3076224702099486</v>
          </cell>
          <cell r="F196">
            <v>1.3080472602102526</v>
          </cell>
          <cell r="G196">
            <v>1.2945368171021376</v>
          </cell>
          <cell r="H196">
            <v>1.295358649789029</v>
          </cell>
          <cell r="O196">
            <v>1.3672896699269002</v>
          </cell>
          <cell r="P196">
            <v>1.3671607753705823</v>
          </cell>
          <cell r="Q196">
            <v>1.3671607753705823</v>
          </cell>
          <cell r="R196">
            <v>1.3675622622991039</v>
          </cell>
          <cell r="S196">
            <v>1.3548412965725196</v>
          </cell>
          <cell r="T196">
            <v>1.3555908850026503</v>
          </cell>
          <cell r="AA196">
            <v>1.3672896699269002</v>
          </cell>
          <cell r="AB196">
            <v>1.3671607753705823</v>
          </cell>
          <cell r="AC196">
            <v>1.3076224702099486</v>
          </cell>
          <cell r="AD196">
            <v>1.3080472602102526</v>
          </cell>
          <cell r="AE196">
            <v>1.2945368171021376</v>
          </cell>
          <cell r="AF196">
            <v>1.295358649789029</v>
          </cell>
          <cell r="AM196">
            <v>1.3610733723620612</v>
          </cell>
          <cell r="AN196">
            <v>1.3609470756528876</v>
          </cell>
          <cell r="AO196">
            <v>1.3609470756528876</v>
          </cell>
          <cell r="AP196">
            <v>1.3266393261895317</v>
          </cell>
          <cell r="AQ196">
            <v>1.3485391444713466</v>
          </cell>
          <cell r="AR196">
            <v>1.3493087327183177</v>
          </cell>
        </row>
        <row r="197">
          <cell r="D197">
            <v>122</v>
          </cell>
          <cell r="E197">
            <v>1.3076224702099486</v>
          </cell>
          <cell r="F197">
            <v>1.3080472602102526</v>
          </cell>
          <cell r="G197">
            <v>1.2945368171021376</v>
          </cell>
          <cell r="H197">
            <v>1.295358649789029</v>
          </cell>
          <cell r="O197">
            <v>1.3672896699269002</v>
          </cell>
          <cell r="P197">
            <v>1.3671607753705823</v>
          </cell>
          <cell r="Q197">
            <v>1.3671607753705823</v>
          </cell>
          <cell r="R197">
            <v>1.3675622622991039</v>
          </cell>
          <cell r="S197">
            <v>1.3548412965725196</v>
          </cell>
          <cell r="T197">
            <v>1.3555908850026503</v>
          </cell>
          <cell r="AA197">
            <v>1.3672896699269002</v>
          </cell>
          <cell r="AB197">
            <v>1.3671607753705823</v>
          </cell>
          <cell r="AC197">
            <v>1.3076224702099486</v>
          </cell>
          <cell r="AD197">
            <v>1.3080472602102526</v>
          </cell>
          <cell r="AE197">
            <v>1.2945368171021376</v>
          </cell>
          <cell r="AF197">
            <v>1.295358649789029</v>
          </cell>
          <cell r="AM197">
            <v>1.3610733723620612</v>
          </cell>
          <cell r="AN197">
            <v>1.3609470756528876</v>
          </cell>
          <cell r="AO197">
            <v>1.3609470756528876</v>
          </cell>
          <cell r="AP197">
            <v>1.3266393261895317</v>
          </cell>
          <cell r="AQ197">
            <v>1.3485391444713466</v>
          </cell>
          <cell r="AR197">
            <v>1.3493087327183177</v>
          </cell>
        </row>
        <row r="198">
          <cell r="D198">
            <v>123</v>
          </cell>
          <cell r="E198">
            <v>1.3076224702099486</v>
          </cell>
          <cell r="F198">
            <v>1.3080472602102526</v>
          </cell>
          <cell r="G198">
            <v>1.2945368171021376</v>
          </cell>
          <cell r="H198">
            <v>1.295358649789029</v>
          </cell>
          <cell r="O198">
            <v>1.3672896699269002</v>
          </cell>
          <cell r="P198">
            <v>1.3671607753705823</v>
          </cell>
          <cell r="Q198">
            <v>1.3671607753705823</v>
          </cell>
          <cell r="R198">
            <v>1.3675622622991039</v>
          </cell>
          <cell r="S198">
            <v>1.3548412965725196</v>
          </cell>
          <cell r="T198">
            <v>1.3555908850026503</v>
          </cell>
          <cell r="AA198">
            <v>1.3672896699269002</v>
          </cell>
          <cell r="AB198">
            <v>1.3671607753705823</v>
          </cell>
          <cell r="AC198">
            <v>1.3076224702099486</v>
          </cell>
          <cell r="AD198">
            <v>1.3080472602102526</v>
          </cell>
          <cell r="AE198">
            <v>1.2945368171021376</v>
          </cell>
          <cell r="AF198">
            <v>1.295358649789029</v>
          </cell>
          <cell r="AM198">
            <v>1.3610733723620612</v>
          </cell>
          <cell r="AN198">
            <v>1.3609470756528876</v>
          </cell>
          <cell r="AO198">
            <v>1.3609470756528876</v>
          </cell>
          <cell r="AP198">
            <v>1.3266393261895317</v>
          </cell>
          <cell r="AQ198">
            <v>1.3485391444713466</v>
          </cell>
          <cell r="AR198">
            <v>1.3493087327183177</v>
          </cell>
        </row>
        <row r="199">
          <cell r="D199">
            <v>124</v>
          </cell>
          <cell r="E199">
            <v>1.3076224702099486</v>
          </cell>
          <cell r="F199">
            <v>1.3080472602102526</v>
          </cell>
          <cell r="G199">
            <v>1.2945368171021376</v>
          </cell>
          <cell r="H199">
            <v>1.295358649789029</v>
          </cell>
          <cell r="O199">
            <v>1.3672896699269002</v>
          </cell>
          <cell r="P199">
            <v>1.3671607753705823</v>
          </cell>
          <cell r="Q199">
            <v>1.3671607753705823</v>
          </cell>
          <cell r="R199">
            <v>1.3675622622991039</v>
          </cell>
          <cell r="S199">
            <v>1.3548412965725196</v>
          </cell>
          <cell r="T199">
            <v>1.3555908850026503</v>
          </cell>
          <cell r="AA199">
            <v>1.3672896699269002</v>
          </cell>
          <cell r="AB199">
            <v>1.3671607753705823</v>
          </cell>
          <cell r="AC199">
            <v>1.3076224702099486</v>
          </cell>
          <cell r="AD199">
            <v>1.3080472602102526</v>
          </cell>
          <cell r="AE199">
            <v>1.2945368171021376</v>
          </cell>
          <cell r="AF199">
            <v>1.295358649789029</v>
          </cell>
          <cell r="AM199">
            <v>1.3610733723620612</v>
          </cell>
          <cell r="AN199">
            <v>1.3609470756528876</v>
          </cell>
          <cell r="AO199">
            <v>1.3609470756528876</v>
          </cell>
          <cell r="AP199">
            <v>1.3266393261895317</v>
          </cell>
          <cell r="AQ199">
            <v>1.3485391444713466</v>
          </cell>
          <cell r="AR199">
            <v>1.3493087327183177</v>
          </cell>
        </row>
        <row r="200">
          <cell r="D200">
            <v>125</v>
          </cell>
          <cell r="E200">
            <v>1.3076224702099486</v>
          </cell>
          <cell r="F200">
            <v>1.3080472602102526</v>
          </cell>
          <cell r="G200">
            <v>1.2945368171021376</v>
          </cell>
          <cell r="H200">
            <v>1.295358649789029</v>
          </cell>
          <cell r="O200">
            <v>1.3672896699269002</v>
          </cell>
          <cell r="P200">
            <v>1.3671607753705823</v>
          </cell>
          <cell r="Q200">
            <v>1.3671607753705823</v>
          </cell>
          <cell r="R200">
            <v>1.3675622622991039</v>
          </cell>
          <cell r="S200">
            <v>1.3548412965725196</v>
          </cell>
          <cell r="T200">
            <v>1.3555908850026503</v>
          </cell>
          <cell r="AA200">
            <v>1.3672896699269002</v>
          </cell>
          <cell r="AB200">
            <v>1.3671607753705823</v>
          </cell>
          <cell r="AC200">
            <v>1.3076224702099486</v>
          </cell>
          <cell r="AD200">
            <v>1.3080472602102526</v>
          </cell>
          <cell r="AE200">
            <v>1.2945368171021376</v>
          </cell>
          <cell r="AF200">
            <v>1.295358649789029</v>
          </cell>
          <cell r="AM200">
            <v>1.3610733723620612</v>
          </cell>
          <cell r="AN200">
            <v>1.3609470756528876</v>
          </cell>
          <cell r="AO200">
            <v>1.3609470756528876</v>
          </cell>
          <cell r="AP200">
            <v>1.3266393261895317</v>
          </cell>
          <cell r="AQ200">
            <v>1.3485391444713466</v>
          </cell>
          <cell r="AR200">
            <v>1.3493087327183177</v>
          </cell>
        </row>
        <row r="201">
          <cell r="D201">
            <v>126</v>
          </cell>
          <cell r="E201">
            <v>1.3076224702099486</v>
          </cell>
          <cell r="F201">
            <v>1.3080472602102526</v>
          </cell>
          <cell r="G201">
            <v>1.2945368171021376</v>
          </cell>
          <cell r="H201">
            <v>1.295358649789029</v>
          </cell>
          <cell r="O201">
            <v>1.3672896699269002</v>
          </cell>
          <cell r="P201">
            <v>1.3671607753705823</v>
          </cell>
          <cell r="Q201">
            <v>1.3671607753705823</v>
          </cell>
          <cell r="R201">
            <v>1.3675622622991039</v>
          </cell>
          <cell r="S201">
            <v>1.3548412965725196</v>
          </cell>
          <cell r="T201">
            <v>1.3555908850026503</v>
          </cell>
          <cell r="AA201">
            <v>1.3672896699269002</v>
          </cell>
          <cell r="AB201">
            <v>1.3671607753705823</v>
          </cell>
          <cell r="AC201">
            <v>1.3076224702099486</v>
          </cell>
          <cell r="AD201">
            <v>1.3080472602102526</v>
          </cell>
          <cell r="AE201">
            <v>1.2945368171021376</v>
          </cell>
          <cell r="AF201">
            <v>1.295358649789029</v>
          </cell>
          <cell r="AM201">
            <v>1.3610733723620612</v>
          </cell>
          <cell r="AN201">
            <v>1.3609470756528876</v>
          </cell>
          <cell r="AO201">
            <v>1.3609470756528876</v>
          </cell>
          <cell r="AP201">
            <v>1.3266393261895317</v>
          </cell>
          <cell r="AQ201">
            <v>1.3485391444713466</v>
          </cell>
          <cell r="AR201">
            <v>1.3493087327183177</v>
          </cell>
        </row>
        <row r="202">
          <cell r="D202">
            <v>127</v>
          </cell>
          <cell r="E202">
            <v>0.76928314734253833</v>
          </cell>
          <cell r="F202">
            <v>0.76896455484231097</v>
          </cell>
          <cell r="G202">
            <v>0.77909738717339672</v>
          </cell>
          <cell r="H202">
            <v>0.77848101265822789</v>
          </cell>
          <cell r="O202">
            <v>0.72453274755482466</v>
          </cell>
          <cell r="P202">
            <v>0.72462941847206386</v>
          </cell>
          <cell r="Q202">
            <v>0.72462941847206386</v>
          </cell>
          <cell r="R202">
            <v>0.72432830327567177</v>
          </cell>
          <cell r="S202">
            <v>0.73386902757061057</v>
          </cell>
          <cell r="T202">
            <v>0.73330683624801274</v>
          </cell>
          <cell r="AA202">
            <v>0.72453274755482466</v>
          </cell>
          <cell r="AB202">
            <v>0.72462941847206386</v>
          </cell>
          <cell r="AC202">
            <v>0.76928314734253833</v>
          </cell>
          <cell r="AD202">
            <v>0.76896455484231097</v>
          </cell>
          <cell r="AE202">
            <v>0.77909738717339672</v>
          </cell>
          <cell r="AF202">
            <v>0.77848101265822789</v>
          </cell>
          <cell r="AM202">
            <v>0.72919497072845385</v>
          </cell>
          <cell r="AN202">
            <v>0.72928969326033422</v>
          </cell>
          <cell r="AO202">
            <v>0.72928969326033422</v>
          </cell>
          <cell r="AP202">
            <v>0.75502050535785148</v>
          </cell>
          <cell r="AQ202">
            <v>0.73859564164648916</v>
          </cell>
          <cell r="AR202">
            <v>0.73801845046126158</v>
          </cell>
        </row>
        <row r="203">
          <cell r="D203">
            <v>128</v>
          </cell>
          <cell r="E203">
            <v>0.76928314734253833</v>
          </cell>
          <cell r="F203">
            <v>0.76896455484231097</v>
          </cell>
          <cell r="G203">
            <v>0.77909738717339672</v>
          </cell>
          <cell r="H203">
            <v>0.77848101265822789</v>
          </cell>
          <cell r="O203">
            <v>0.72453274755482466</v>
          </cell>
          <cell r="P203">
            <v>0.72462941847206386</v>
          </cell>
          <cell r="Q203">
            <v>0.72462941847206386</v>
          </cell>
          <cell r="R203">
            <v>0.72432830327567177</v>
          </cell>
          <cell r="S203">
            <v>0.73386902757061057</v>
          </cell>
          <cell r="T203">
            <v>0.73330683624801274</v>
          </cell>
          <cell r="AA203">
            <v>0.72453274755482466</v>
          </cell>
          <cell r="AB203">
            <v>0.72462941847206386</v>
          </cell>
          <cell r="AC203">
            <v>0.76928314734253833</v>
          </cell>
          <cell r="AD203">
            <v>0.76896455484231097</v>
          </cell>
          <cell r="AE203">
            <v>0.77909738717339672</v>
          </cell>
          <cell r="AF203">
            <v>0.77848101265822789</v>
          </cell>
          <cell r="AM203">
            <v>0.72919497072845385</v>
          </cell>
          <cell r="AN203">
            <v>0.72928969326033422</v>
          </cell>
          <cell r="AO203">
            <v>0.72928969326033422</v>
          </cell>
          <cell r="AP203">
            <v>0.75502050535785148</v>
          </cell>
          <cell r="AQ203">
            <v>0.73859564164648916</v>
          </cell>
          <cell r="AR203">
            <v>0.73801845046126158</v>
          </cell>
        </row>
        <row r="204">
          <cell r="D204">
            <v>129</v>
          </cell>
          <cell r="E204">
            <v>0.76928314734253833</v>
          </cell>
          <cell r="F204">
            <v>0.76896455484231097</v>
          </cell>
          <cell r="G204">
            <v>0.77909738717339672</v>
          </cell>
          <cell r="H204">
            <v>0.77848101265822789</v>
          </cell>
          <cell r="O204">
            <v>0.72453274755482466</v>
          </cell>
          <cell r="P204">
            <v>0.72462941847206386</v>
          </cell>
          <cell r="Q204">
            <v>0.72462941847206386</v>
          </cell>
          <cell r="R204">
            <v>0.72432830327567177</v>
          </cell>
          <cell r="S204">
            <v>0.73386902757061057</v>
          </cell>
          <cell r="T204">
            <v>0.73330683624801274</v>
          </cell>
          <cell r="AA204">
            <v>0.72453274755482466</v>
          </cell>
          <cell r="AB204">
            <v>0.72462941847206386</v>
          </cell>
          <cell r="AC204">
            <v>0.76928314734253833</v>
          </cell>
          <cell r="AD204">
            <v>0.76896455484231097</v>
          </cell>
          <cell r="AE204">
            <v>0.77909738717339672</v>
          </cell>
          <cell r="AF204">
            <v>0.77848101265822789</v>
          </cell>
          <cell r="AM204">
            <v>0.72919497072845385</v>
          </cell>
          <cell r="AN204">
            <v>0.72928969326033422</v>
          </cell>
          <cell r="AO204">
            <v>0.72928969326033422</v>
          </cell>
          <cell r="AP204">
            <v>0.75502050535785148</v>
          </cell>
          <cell r="AQ204">
            <v>0.73859564164648916</v>
          </cell>
          <cell r="AR204">
            <v>0.73801845046126158</v>
          </cell>
        </row>
        <row r="205">
          <cell r="D205">
            <v>130</v>
          </cell>
          <cell r="E205">
            <v>0.76928314734253833</v>
          </cell>
          <cell r="F205">
            <v>0.76896455484231097</v>
          </cell>
          <cell r="G205">
            <v>0.77909738717339672</v>
          </cell>
          <cell r="H205">
            <v>0.77848101265822789</v>
          </cell>
          <cell r="O205">
            <v>0.72453274755482466</v>
          </cell>
          <cell r="P205">
            <v>0.72462941847206386</v>
          </cell>
          <cell r="Q205">
            <v>0.72462941847206386</v>
          </cell>
          <cell r="R205">
            <v>0.72432830327567177</v>
          </cell>
          <cell r="S205">
            <v>0.73386902757061057</v>
          </cell>
          <cell r="T205">
            <v>0.73330683624801274</v>
          </cell>
          <cell r="AA205">
            <v>0.72453274755482466</v>
          </cell>
          <cell r="AB205">
            <v>0.72462941847206386</v>
          </cell>
          <cell r="AC205">
            <v>0.76928314734253833</v>
          </cell>
          <cell r="AD205">
            <v>0.76896455484231097</v>
          </cell>
          <cell r="AE205">
            <v>0.77909738717339672</v>
          </cell>
          <cell r="AF205">
            <v>0.77848101265822789</v>
          </cell>
          <cell r="AM205">
            <v>0.72919497072845385</v>
          </cell>
          <cell r="AN205">
            <v>0.72928969326033422</v>
          </cell>
          <cell r="AO205">
            <v>0.72928969326033422</v>
          </cell>
          <cell r="AP205">
            <v>0.75502050535785148</v>
          </cell>
          <cell r="AQ205">
            <v>0.73859564164648916</v>
          </cell>
          <cell r="AR205">
            <v>0.73801845046126158</v>
          </cell>
        </row>
        <row r="206">
          <cell r="D206">
            <v>131</v>
          </cell>
          <cell r="E206">
            <v>0.76928314734253833</v>
          </cell>
          <cell r="F206">
            <v>0.76896455484231097</v>
          </cell>
          <cell r="G206">
            <v>0.77909738717339672</v>
          </cell>
          <cell r="H206">
            <v>0.77848101265822789</v>
          </cell>
          <cell r="O206">
            <v>0.72453274755482466</v>
          </cell>
          <cell r="P206">
            <v>0.72462941847206386</v>
          </cell>
          <cell r="Q206">
            <v>0.72462941847206386</v>
          </cell>
          <cell r="R206">
            <v>0.72432830327567177</v>
          </cell>
          <cell r="S206">
            <v>0.73386902757061057</v>
          </cell>
          <cell r="T206">
            <v>0.73330683624801274</v>
          </cell>
          <cell r="AA206">
            <v>0.72453274755482466</v>
          </cell>
          <cell r="AB206">
            <v>0.72462941847206386</v>
          </cell>
          <cell r="AC206">
            <v>0.76928314734253833</v>
          </cell>
          <cell r="AD206">
            <v>0.76896455484231097</v>
          </cell>
          <cell r="AE206">
            <v>0.77909738717339672</v>
          </cell>
          <cell r="AF206">
            <v>0.77848101265822789</v>
          </cell>
          <cell r="AM206">
            <v>0.72919497072845385</v>
          </cell>
          <cell r="AN206">
            <v>0.72928969326033422</v>
          </cell>
          <cell r="AO206">
            <v>0.72928969326033422</v>
          </cell>
          <cell r="AP206">
            <v>0.75502050535785148</v>
          </cell>
          <cell r="AQ206">
            <v>0.73859564164648916</v>
          </cell>
          <cell r="AR206">
            <v>0.73801845046126158</v>
          </cell>
        </row>
        <row r="207">
          <cell r="D207">
            <v>132</v>
          </cell>
          <cell r="E207">
            <v>0.76928314734253833</v>
          </cell>
          <cell r="F207">
            <v>0.76896455484231097</v>
          </cell>
          <cell r="G207">
            <v>0.77909738717339672</v>
          </cell>
          <cell r="H207">
            <v>0.77848101265822789</v>
          </cell>
          <cell r="O207">
            <v>0.72453274755482466</v>
          </cell>
          <cell r="P207">
            <v>0.72462941847206386</v>
          </cell>
          <cell r="Q207">
            <v>0.72462941847206386</v>
          </cell>
          <cell r="R207">
            <v>0.72432830327567177</v>
          </cell>
          <cell r="S207">
            <v>0.73386902757061057</v>
          </cell>
          <cell r="T207">
            <v>0.73330683624801274</v>
          </cell>
          <cell r="AA207">
            <v>0.72453274755482466</v>
          </cell>
          <cell r="AB207">
            <v>0.72462941847206386</v>
          </cell>
          <cell r="AC207">
            <v>0.76928314734253833</v>
          </cell>
          <cell r="AD207">
            <v>0.76896455484231097</v>
          </cell>
          <cell r="AE207">
            <v>0.77909738717339672</v>
          </cell>
          <cell r="AF207">
            <v>0.77848101265822789</v>
          </cell>
          <cell r="AM207">
            <v>0.72919497072845385</v>
          </cell>
          <cell r="AN207">
            <v>0.72928969326033422</v>
          </cell>
          <cell r="AO207">
            <v>0.72928969326033422</v>
          </cell>
          <cell r="AP207">
            <v>0.75502050535785148</v>
          </cell>
          <cell r="AQ207">
            <v>0.73859564164648916</v>
          </cell>
          <cell r="AR207">
            <v>0.73801845046126158</v>
          </cell>
        </row>
        <row r="208">
          <cell r="D208">
            <v>133</v>
          </cell>
          <cell r="E208">
            <v>0.76928314734253833</v>
          </cell>
          <cell r="F208">
            <v>0.76896455484231097</v>
          </cell>
          <cell r="G208">
            <v>0.77909738717339672</v>
          </cell>
          <cell r="H208">
            <v>0.77848101265822789</v>
          </cell>
          <cell r="O208">
            <v>0.72453274755482466</v>
          </cell>
          <cell r="P208">
            <v>0.72462941847206386</v>
          </cell>
          <cell r="Q208">
            <v>0.72462941847206386</v>
          </cell>
          <cell r="R208">
            <v>0.72432830327567177</v>
          </cell>
          <cell r="S208">
            <v>0.73386902757061057</v>
          </cell>
          <cell r="T208">
            <v>0.73330683624801274</v>
          </cell>
          <cell r="AA208">
            <v>0.72453274755482466</v>
          </cell>
          <cell r="AB208">
            <v>0.72462941847206386</v>
          </cell>
          <cell r="AC208">
            <v>0.76928314734253833</v>
          </cell>
          <cell r="AD208">
            <v>0.76896455484231097</v>
          </cell>
          <cell r="AE208">
            <v>0.77909738717339672</v>
          </cell>
          <cell r="AF208">
            <v>0.77848101265822789</v>
          </cell>
          <cell r="AM208">
            <v>0.72919497072845385</v>
          </cell>
          <cell r="AN208">
            <v>0.72928969326033422</v>
          </cell>
          <cell r="AO208">
            <v>0.72928969326033422</v>
          </cell>
          <cell r="AP208">
            <v>0.75502050535785148</v>
          </cell>
          <cell r="AQ208">
            <v>0.73859564164648916</v>
          </cell>
          <cell r="AR208">
            <v>0.73801845046126158</v>
          </cell>
        </row>
        <row r="209">
          <cell r="D209">
            <v>134</v>
          </cell>
          <cell r="E209">
            <v>0.76928314734253833</v>
          </cell>
          <cell r="F209">
            <v>0.76896455484231097</v>
          </cell>
          <cell r="G209">
            <v>0.77909738717339672</v>
          </cell>
          <cell r="H209">
            <v>0.77848101265822789</v>
          </cell>
          <cell r="O209">
            <v>0.72453274755482466</v>
          </cell>
          <cell r="P209">
            <v>0.72462941847206386</v>
          </cell>
          <cell r="Q209">
            <v>0.72462941847206386</v>
          </cell>
          <cell r="R209">
            <v>0.72432830327567177</v>
          </cell>
          <cell r="S209">
            <v>0.73386902757061057</v>
          </cell>
          <cell r="T209">
            <v>0.73330683624801274</v>
          </cell>
          <cell r="AA209">
            <v>0.72453274755482466</v>
          </cell>
          <cell r="AB209">
            <v>0.72462941847206386</v>
          </cell>
          <cell r="AC209">
            <v>0.76928314734253833</v>
          </cell>
          <cell r="AD209">
            <v>0.76896455484231097</v>
          </cell>
          <cell r="AE209">
            <v>0.77909738717339672</v>
          </cell>
          <cell r="AF209">
            <v>0.77848101265822789</v>
          </cell>
          <cell r="AM209">
            <v>0.72919497072845385</v>
          </cell>
          <cell r="AN209">
            <v>0.72928969326033422</v>
          </cell>
          <cell r="AO209">
            <v>0.72928969326033422</v>
          </cell>
          <cell r="AP209">
            <v>0.75502050535785148</v>
          </cell>
          <cell r="AQ209">
            <v>0.73859564164648916</v>
          </cell>
          <cell r="AR209">
            <v>0.73801845046126158</v>
          </cell>
        </row>
        <row r="210">
          <cell r="D210">
            <v>135</v>
          </cell>
          <cell r="E210">
            <v>0.76928314734253833</v>
          </cell>
          <cell r="F210">
            <v>0.76896455484231097</v>
          </cell>
          <cell r="G210">
            <v>0.77909738717339672</v>
          </cell>
          <cell r="H210">
            <v>0.77848101265822789</v>
          </cell>
          <cell r="O210">
            <v>0.72453274755482466</v>
          </cell>
          <cell r="P210">
            <v>0.72462941847206386</v>
          </cell>
          <cell r="Q210">
            <v>0.72462941847206386</v>
          </cell>
          <cell r="R210">
            <v>0.72432830327567177</v>
          </cell>
          <cell r="S210">
            <v>0.73386902757061057</v>
          </cell>
          <cell r="T210">
            <v>0.73330683624801274</v>
          </cell>
          <cell r="AA210">
            <v>0.72453274755482466</v>
          </cell>
          <cell r="AB210">
            <v>0.72462941847206386</v>
          </cell>
          <cell r="AC210">
            <v>0.76928314734253833</v>
          </cell>
          <cell r="AD210">
            <v>0.76896455484231097</v>
          </cell>
          <cell r="AE210">
            <v>0.77909738717339672</v>
          </cell>
          <cell r="AF210">
            <v>0.77848101265822789</v>
          </cell>
          <cell r="AM210">
            <v>0.72919497072845385</v>
          </cell>
          <cell r="AN210">
            <v>0.72928969326033422</v>
          </cell>
          <cell r="AO210">
            <v>0.72928969326033422</v>
          </cell>
          <cell r="AP210">
            <v>0.75502050535785148</v>
          </cell>
          <cell r="AQ210">
            <v>0.73859564164648916</v>
          </cell>
          <cell r="AR210">
            <v>0.73801845046126158</v>
          </cell>
        </row>
        <row r="211">
          <cell r="D211">
            <v>136</v>
          </cell>
          <cell r="E211">
            <v>0.76928314734253833</v>
          </cell>
          <cell r="F211">
            <v>0.76896455484231097</v>
          </cell>
          <cell r="G211">
            <v>0.77909738717339672</v>
          </cell>
          <cell r="H211">
            <v>0.77848101265822789</v>
          </cell>
          <cell r="O211">
            <v>0.72453274755482466</v>
          </cell>
          <cell r="P211">
            <v>0.72462941847206386</v>
          </cell>
          <cell r="Q211">
            <v>0.72462941847206386</v>
          </cell>
          <cell r="R211">
            <v>0.72432830327567177</v>
          </cell>
          <cell r="S211">
            <v>0.73386902757061057</v>
          </cell>
          <cell r="T211">
            <v>0.73330683624801274</v>
          </cell>
          <cell r="AA211">
            <v>0.72453274755482466</v>
          </cell>
          <cell r="AB211">
            <v>0.72462941847206386</v>
          </cell>
          <cell r="AC211">
            <v>0.76928314734253833</v>
          </cell>
          <cell r="AD211">
            <v>0.76896455484231097</v>
          </cell>
          <cell r="AE211">
            <v>0.77909738717339672</v>
          </cell>
          <cell r="AF211">
            <v>0.77848101265822789</v>
          </cell>
          <cell r="AM211">
            <v>0.72919497072845385</v>
          </cell>
          <cell r="AN211">
            <v>0.72928969326033422</v>
          </cell>
          <cell r="AO211">
            <v>0.72928969326033422</v>
          </cell>
          <cell r="AP211">
            <v>0.75502050535785148</v>
          </cell>
          <cell r="AQ211">
            <v>0.73859564164648916</v>
          </cell>
          <cell r="AR211">
            <v>0.73801845046126158</v>
          </cell>
        </row>
        <row r="212">
          <cell r="D212">
            <v>137</v>
          </cell>
          <cell r="E212">
            <v>0.76928314734253833</v>
          </cell>
          <cell r="F212">
            <v>0.76896455484231097</v>
          </cell>
          <cell r="G212">
            <v>0.77909738717339672</v>
          </cell>
          <cell r="H212">
            <v>0.77848101265822789</v>
          </cell>
          <cell r="O212">
            <v>0.72453274755482466</v>
          </cell>
          <cell r="P212">
            <v>0.72462941847206386</v>
          </cell>
          <cell r="Q212">
            <v>0.72462941847206386</v>
          </cell>
          <cell r="R212">
            <v>0.72432830327567177</v>
          </cell>
          <cell r="S212">
            <v>0.73386902757061057</v>
          </cell>
          <cell r="T212">
            <v>0.73330683624801274</v>
          </cell>
          <cell r="AA212">
            <v>0.72453274755482466</v>
          </cell>
          <cell r="AB212">
            <v>0.72462941847206386</v>
          </cell>
          <cell r="AC212">
            <v>0.76928314734253833</v>
          </cell>
          <cell r="AD212">
            <v>0.76896455484231097</v>
          </cell>
          <cell r="AE212">
            <v>0.77909738717339672</v>
          </cell>
          <cell r="AF212">
            <v>0.77848101265822789</v>
          </cell>
          <cell r="AM212">
            <v>0.72919497072845385</v>
          </cell>
          <cell r="AN212">
            <v>0.72928969326033422</v>
          </cell>
          <cell r="AO212">
            <v>0.72928969326033422</v>
          </cell>
          <cell r="AP212">
            <v>0.75502050535785148</v>
          </cell>
          <cell r="AQ212">
            <v>0.73859564164648916</v>
          </cell>
          <cell r="AR212">
            <v>0.73801845046126158</v>
          </cell>
        </row>
        <row r="213">
          <cell r="D213">
            <v>138</v>
          </cell>
          <cell r="E213">
            <v>0.76928314734253833</v>
          </cell>
          <cell r="F213">
            <v>0.76896455484231097</v>
          </cell>
          <cell r="G213">
            <v>0.77909738717339672</v>
          </cell>
          <cell r="H213">
            <v>0.77848101265822789</v>
          </cell>
          <cell r="O213">
            <v>0.72453274755482466</v>
          </cell>
          <cell r="P213">
            <v>0.72462941847206386</v>
          </cell>
          <cell r="Q213">
            <v>0.72462941847206386</v>
          </cell>
          <cell r="R213">
            <v>0.72432830327567177</v>
          </cell>
          <cell r="S213">
            <v>0.73386902757061057</v>
          </cell>
          <cell r="T213">
            <v>0.73330683624801274</v>
          </cell>
          <cell r="AA213">
            <v>0.72453274755482466</v>
          </cell>
          <cell r="AB213">
            <v>0.72462941847206386</v>
          </cell>
          <cell r="AC213">
            <v>0.76928314734253833</v>
          </cell>
          <cell r="AD213">
            <v>0.76896455484231097</v>
          </cell>
          <cell r="AE213">
            <v>0.77909738717339672</v>
          </cell>
          <cell r="AF213">
            <v>0.77848101265822789</v>
          </cell>
          <cell r="AM213">
            <v>0.72919497072845385</v>
          </cell>
          <cell r="AN213">
            <v>0.72928969326033422</v>
          </cell>
          <cell r="AO213">
            <v>0.72928969326033422</v>
          </cell>
          <cell r="AP213">
            <v>0.75502050535785148</v>
          </cell>
          <cell r="AQ213">
            <v>0.73859564164648916</v>
          </cell>
          <cell r="AR213">
            <v>0.73801845046126158</v>
          </cell>
        </row>
        <row r="214">
          <cell r="D214">
            <v>139</v>
          </cell>
          <cell r="E214">
            <v>0.76928314734253833</v>
          </cell>
          <cell r="F214">
            <v>0.76896455484231097</v>
          </cell>
          <cell r="G214">
            <v>0.77909738717339672</v>
          </cell>
          <cell r="H214">
            <v>0.77848101265822789</v>
          </cell>
          <cell r="O214">
            <v>0.72453274755482466</v>
          </cell>
          <cell r="P214">
            <v>0.72462941847206386</v>
          </cell>
          <cell r="Q214">
            <v>0.72462941847206386</v>
          </cell>
          <cell r="R214">
            <v>0.72432830327567177</v>
          </cell>
          <cell r="S214">
            <v>0.73386902757061057</v>
          </cell>
          <cell r="T214">
            <v>0.73330683624801274</v>
          </cell>
          <cell r="AA214">
            <v>0.72453274755482466</v>
          </cell>
          <cell r="AB214">
            <v>0.72462941847206386</v>
          </cell>
          <cell r="AC214">
            <v>0.76928314734253833</v>
          </cell>
          <cell r="AD214">
            <v>0.76896455484231097</v>
          </cell>
          <cell r="AE214">
            <v>0.77909738717339672</v>
          </cell>
          <cell r="AF214">
            <v>0.77848101265822789</v>
          </cell>
          <cell r="AM214">
            <v>0.72919497072845385</v>
          </cell>
          <cell r="AN214">
            <v>0.72928969326033422</v>
          </cell>
          <cell r="AO214">
            <v>0.72928969326033422</v>
          </cell>
          <cell r="AP214">
            <v>0.75502050535785148</v>
          </cell>
          <cell r="AQ214">
            <v>0.73859564164648916</v>
          </cell>
          <cell r="AR214">
            <v>0.73801845046126158</v>
          </cell>
        </row>
        <row r="215">
          <cell r="D215">
            <v>140</v>
          </cell>
          <cell r="E215">
            <v>0.76928314734253833</v>
          </cell>
          <cell r="F215">
            <v>0.76896455484231097</v>
          </cell>
          <cell r="G215">
            <v>0.77909738717339672</v>
          </cell>
          <cell r="H215">
            <v>0.77848101265822789</v>
          </cell>
          <cell r="O215">
            <v>0.72453274755482466</v>
          </cell>
          <cell r="P215">
            <v>0.72462941847206386</v>
          </cell>
          <cell r="Q215">
            <v>0.72462941847206386</v>
          </cell>
          <cell r="R215">
            <v>0.72432830327567177</v>
          </cell>
          <cell r="S215">
            <v>0.73386902757061057</v>
          </cell>
          <cell r="T215">
            <v>0.73330683624801274</v>
          </cell>
          <cell r="AA215">
            <v>0.72453274755482466</v>
          </cell>
          <cell r="AB215">
            <v>0.72462941847206386</v>
          </cell>
          <cell r="AC215">
            <v>0.76928314734253833</v>
          </cell>
          <cell r="AD215">
            <v>0.76896455484231097</v>
          </cell>
          <cell r="AE215">
            <v>0.77909738717339672</v>
          </cell>
          <cell r="AF215">
            <v>0.77848101265822789</v>
          </cell>
          <cell r="AM215">
            <v>0.72919497072845385</v>
          </cell>
          <cell r="AN215">
            <v>0.72928969326033422</v>
          </cell>
          <cell r="AO215">
            <v>0.72928969326033422</v>
          </cell>
          <cell r="AP215">
            <v>0.75502050535785148</v>
          </cell>
          <cell r="AQ215">
            <v>0.73859564164648916</v>
          </cell>
          <cell r="AR215">
            <v>0.73801845046126158</v>
          </cell>
        </row>
        <row r="216">
          <cell r="D216">
            <v>141</v>
          </cell>
          <cell r="E216">
            <v>0.76928314734253833</v>
          </cell>
          <cell r="F216">
            <v>0.76896455484231097</v>
          </cell>
          <cell r="G216">
            <v>0.77909738717339672</v>
          </cell>
          <cell r="H216">
            <v>0.77848101265822789</v>
          </cell>
          <cell r="O216">
            <v>0.72453274755482466</v>
          </cell>
          <cell r="P216">
            <v>0.72462941847206386</v>
          </cell>
          <cell r="Q216">
            <v>0.72462941847206386</v>
          </cell>
          <cell r="R216">
            <v>0.72432830327567177</v>
          </cell>
          <cell r="S216">
            <v>0.73386902757061057</v>
          </cell>
          <cell r="T216">
            <v>0.73330683624801274</v>
          </cell>
          <cell r="AA216">
            <v>0.72453274755482466</v>
          </cell>
          <cell r="AB216">
            <v>0.72462941847206386</v>
          </cell>
          <cell r="AC216">
            <v>0.76928314734253833</v>
          </cell>
          <cell r="AD216">
            <v>0.76896455484231097</v>
          </cell>
          <cell r="AE216">
            <v>0.77909738717339672</v>
          </cell>
          <cell r="AF216">
            <v>0.77848101265822789</v>
          </cell>
          <cell r="AM216">
            <v>0.72919497072845385</v>
          </cell>
          <cell r="AN216">
            <v>0.72928969326033422</v>
          </cell>
          <cell r="AO216">
            <v>0.72928969326033422</v>
          </cell>
          <cell r="AP216">
            <v>0.75502050535785148</v>
          </cell>
          <cell r="AQ216">
            <v>0.73859564164648916</v>
          </cell>
          <cell r="AR216">
            <v>0.73801845046126158</v>
          </cell>
        </row>
        <row r="217">
          <cell r="D217">
            <v>142</v>
          </cell>
          <cell r="E217">
            <v>0.76928314734253833</v>
          </cell>
          <cell r="F217">
            <v>0.76896455484231097</v>
          </cell>
          <cell r="G217">
            <v>0.77909738717339672</v>
          </cell>
          <cell r="H217">
            <v>0.77848101265822789</v>
          </cell>
          <cell r="O217">
            <v>0.72453274755482466</v>
          </cell>
          <cell r="P217">
            <v>0.72462941847206386</v>
          </cell>
          <cell r="Q217">
            <v>0.72462941847206386</v>
          </cell>
          <cell r="R217">
            <v>0.72432830327567177</v>
          </cell>
          <cell r="S217">
            <v>0.73386902757061057</v>
          </cell>
          <cell r="T217">
            <v>0.73330683624801274</v>
          </cell>
          <cell r="AA217">
            <v>0.72453274755482466</v>
          </cell>
          <cell r="AB217">
            <v>0.72462941847206386</v>
          </cell>
          <cell r="AC217">
            <v>0.76928314734253833</v>
          </cell>
          <cell r="AD217">
            <v>0.76896455484231097</v>
          </cell>
          <cell r="AE217">
            <v>0.77909738717339672</v>
          </cell>
          <cell r="AF217">
            <v>0.77848101265822789</v>
          </cell>
          <cell r="AM217">
            <v>0.72919497072845385</v>
          </cell>
          <cell r="AN217">
            <v>0.72928969326033422</v>
          </cell>
          <cell r="AO217">
            <v>0.72928969326033422</v>
          </cell>
          <cell r="AP217">
            <v>0.75502050535785148</v>
          </cell>
          <cell r="AQ217">
            <v>0.73859564164648916</v>
          </cell>
          <cell r="AR217">
            <v>0.73801845046126158</v>
          </cell>
        </row>
        <row r="218">
          <cell r="D218">
            <v>143</v>
          </cell>
          <cell r="E218">
            <v>1.3076224702099486</v>
          </cell>
          <cell r="F218">
            <v>1.3080472602102526</v>
          </cell>
          <cell r="G218">
            <v>1.2945368171021376</v>
          </cell>
          <cell r="H218">
            <v>1.295358649789029</v>
          </cell>
          <cell r="O218">
            <v>1.3672896699269002</v>
          </cell>
          <cell r="P218">
            <v>1.3671607753705823</v>
          </cell>
          <cell r="Q218">
            <v>1.3671607753705823</v>
          </cell>
          <cell r="R218">
            <v>1.3675622622991039</v>
          </cell>
          <cell r="S218">
            <v>1.3548412965725196</v>
          </cell>
          <cell r="T218">
            <v>1.3555908850026503</v>
          </cell>
          <cell r="AA218">
            <v>1.3672896699269002</v>
          </cell>
          <cell r="AB218">
            <v>1.3671607753705823</v>
          </cell>
          <cell r="AC218">
            <v>1.3076224702099486</v>
          </cell>
          <cell r="AD218">
            <v>1.3080472602102526</v>
          </cell>
          <cell r="AE218">
            <v>1.2945368171021376</v>
          </cell>
          <cell r="AF218">
            <v>1.295358649789029</v>
          </cell>
          <cell r="AM218">
            <v>1.3610733723620612</v>
          </cell>
          <cell r="AN218">
            <v>1.3609470756528876</v>
          </cell>
          <cell r="AO218">
            <v>1.3609470756528876</v>
          </cell>
          <cell r="AP218">
            <v>1.3266393261895317</v>
          </cell>
          <cell r="AQ218">
            <v>1.3485391444713466</v>
          </cell>
          <cell r="AR218">
            <v>1.3493087327183177</v>
          </cell>
        </row>
        <row r="219">
          <cell r="D219">
            <v>144</v>
          </cell>
          <cell r="E219">
            <v>1.3076224702099486</v>
          </cell>
          <cell r="F219">
            <v>1.3080472602102526</v>
          </cell>
          <cell r="G219">
            <v>1.2945368171021376</v>
          </cell>
          <cell r="H219">
            <v>1.295358649789029</v>
          </cell>
          <cell r="O219">
            <v>1.3672896699269002</v>
          </cell>
          <cell r="P219">
            <v>1.3671607753705823</v>
          </cell>
          <cell r="Q219">
            <v>1.3671607753705823</v>
          </cell>
          <cell r="R219">
            <v>1.3675622622991039</v>
          </cell>
          <cell r="S219">
            <v>1.3548412965725196</v>
          </cell>
          <cell r="T219">
            <v>1.3555908850026503</v>
          </cell>
          <cell r="AA219">
            <v>1.3672896699269002</v>
          </cell>
          <cell r="AB219">
            <v>1.3671607753705823</v>
          </cell>
          <cell r="AC219">
            <v>1.3076224702099486</v>
          </cell>
          <cell r="AD219">
            <v>1.3080472602102526</v>
          </cell>
          <cell r="AE219">
            <v>1.2945368171021376</v>
          </cell>
          <cell r="AF219">
            <v>1.295358649789029</v>
          </cell>
          <cell r="AM219">
            <v>1.3610733723620612</v>
          </cell>
          <cell r="AN219">
            <v>1.3609470756528876</v>
          </cell>
          <cell r="AO219">
            <v>1.3609470756528876</v>
          </cell>
          <cell r="AP219">
            <v>1.3266393261895317</v>
          </cell>
          <cell r="AQ219">
            <v>1.3485391444713466</v>
          </cell>
          <cell r="AR219">
            <v>1.3493087327183177</v>
          </cell>
        </row>
        <row r="220">
          <cell r="D220">
            <v>145</v>
          </cell>
          <cell r="E220">
            <v>1.3076224702099486</v>
          </cell>
          <cell r="F220">
            <v>1.3080472602102526</v>
          </cell>
          <cell r="G220">
            <v>1.2945368171021376</v>
          </cell>
          <cell r="H220">
            <v>1.295358649789029</v>
          </cell>
          <cell r="O220">
            <v>1.3672896699269002</v>
          </cell>
          <cell r="P220">
            <v>1.3671607753705823</v>
          </cell>
          <cell r="Q220">
            <v>1.3671607753705823</v>
          </cell>
          <cell r="R220">
            <v>1.3675622622991039</v>
          </cell>
          <cell r="S220">
            <v>1.3548412965725196</v>
          </cell>
          <cell r="T220">
            <v>1.3555908850026503</v>
          </cell>
          <cell r="AA220">
            <v>1.3672896699269002</v>
          </cell>
          <cell r="AB220">
            <v>1.3671607753705823</v>
          </cell>
          <cell r="AC220">
            <v>1.3076224702099486</v>
          </cell>
          <cell r="AD220">
            <v>1.3080472602102526</v>
          </cell>
          <cell r="AE220">
            <v>1.2945368171021376</v>
          </cell>
          <cell r="AF220">
            <v>1.295358649789029</v>
          </cell>
          <cell r="AM220">
            <v>1.3610733723620612</v>
          </cell>
          <cell r="AN220">
            <v>1.3609470756528876</v>
          </cell>
          <cell r="AO220">
            <v>1.3609470756528876</v>
          </cell>
          <cell r="AP220">
            <v>1.3266393261895317</v>
          </cell>
          <cell r="AQ220">
            <v>1.3485391444713466</v>
          </cell>
          <cell r="AR220">
            <v>1.3493087327183177</v>
          </cell>
        </row>
        <row r="221">
          <cell r="D221">
            <v>146</v>
          </cell>
          <cell r="E221">
            <v>1.3076224702099486</v>
          </cell>
          <cell r="F221">
            <v>1.3080472602102526</v>
          </cell>
          <cell r="G221">
            <v>1.2945368171021376</v>
          </cell>
          <cell r="H221">
            <v>1.295358649789029</v>
          </cell>
          <cell r="O221">
            <v>1.3672896699269002</v>
          </cell>
          <cell r="P221">
            <v>1.3671607753705823</v>
          </cell>
          <cell r="Q221">
            <v>1.3671607753705823</v>
          </cell>
          <cell r="R221">
            <v>1.3675622622991039</v>
          </cell>
          <cell r="S221">
            <v>1.3548412965725196</v>
          </cell>
          <cell r="T221">
            <v>1.3555908850026503</v>
          </cell>
          <cell r="AA221">
            <v>1.3672896699269002</v>
          </cell>
          <cell r="AB221">
            <v>1.3671607753705823</v>
          </cell>
          <cell r="AC221">
            <v>1.3076224702099486</v>
          </cell>
          <cell r="AD221">
            <v>1.3080472602102526</v>
          </cell>
          <cell r="AE221">
            <v>1.2945368171021376</v>
          </cell>
          <cell r="AF221">
            <v>1.295358649789029</v>
          </cell>
          <cell r="AM221">
            <v>1.3610733723620612</v>
          </cell>
          <cell r="AN221">
            <v>1.3609470756528876</v>
          </cell>
          <cell r="AO221">
            <v>1.3609470756528876</v>
          </cell>
          <cell r="AP221">
            <v>1.3266393261895317</v>
          </cell>
          <cell r="AQ221">
            <v>1.3485391444713466</v>
          </cell>
          <cell r="AR221">
            <v>1.3493087327183177</v>
          </cell>
        </row>
        <row r="222">
          <cell r="D222">
            <v>147</v>
          </cell>
          <cell r="E222">
            <v>1.3076224702099486</v>
          </cell>
          <cell r="F222">
            <v>1.3080472602102526</v>
          </cell>
          <cell r="G222">
            <v>1.2945368171021376</v>
          </cell>
          <cell r="H222">
            <v>1.295358649789029</v>
          </cell>
          <cell r="O222">
            <v>1.3672896699269002</v>
          </cell>
          <cell r="P222">
            <v>1.3671607753705823</v>
          </cell>
          <cell r="Q222">
            <v>1.3671607753705823</v>
          </cell>
          <cell r="R222">
            <v>1.3675622622991039</v>
          </cell>
          <cell r="S222">
            <v>1.3548412965725196</v>
          </cell>
          <cell r="T222">
            <v>1.3555908850026503</v>
          </cell>
          <cell r="AA222">
            <v>1.3672896699269002</v>
          </cell>
          <cell r="AB222">
            <v>1.3671607753705823</v>
          </cell>
          <cell r="AC222">
            <v>1.3076224702099486</v>
          </cell>
          <cell r="AD222">
            <v>1.3080472602102526</v>
          </cell>
          <cell r="AE222">
            <v>1.2945368171021376</v>
          </cell>
          <cell r="AF222">
            <v>1.295358649789029</v>
          </cell>
          <cell r="AM222">
            <v>1.3610733723620612</v>
          </cell>
          <cell r="AN222">
            <v>1.3609470756528876</v>
          </cell>
          <cell r="AO222">
            <v>1.3609470756528876</v>
          </cell>
          <cell r="AP222">
            <v>1.3266393261895317</v>
          </cell>
          <cell r="AQ222">
            <v>1.3485391444713466</v>
          </cell>
          <cell r="AR222">
            <v>1.3493087327183177</v>
          </cell>
        </row>
        <row r="223">
          <cell r="D223">
            <v>148</v>
          </cell>
          <cell r="E223">
            <v>1.3076224702099486</v>
          </cell>
          <cell r="F223">
            <v>1.3080472602102526</v>
          </cell>
          <cell r="G223">
            <v>1.2945368171021376</v>
          </cell>
          <cell r="H223">
            <v>1.295358649789029</v>
          </cell>
          <cell r="O223">
            <v>1.3672896699269002</v>
          </cell>
          <cell r="P223">
            <v>1.3671607753705823</v>
          </cell>
          <cell r="Q223">
            <v>1.3671607753705823</v>
          </cell>
          <cell r="R223">
            <v>1.3675622622991039</v>
          </cell>
          <cell r="S223">
            <v>1.3548412965725196</v>
          </cell>
          <cell r="T223">
            <v>1.3555908850026503</v>
          </cell>
          <cell r="AA223">
            <v>1.3672896699269002</v>
          </cell>
          <cell r="AB223">
            <v>1.3671607753705823</v>
          </cell>
          <cell r="AC223">
            <v>1.3076224702099486</v>
          </cell>
          <cell r="AD223">
            <v>1.3080472602102526</v>
          </cell>
          <cell r="AE223">
            <v>1.2945368171021376</v>
          </cell>
          <cell r="AF223">
            <v>1.295358649789029</v>
          </cell>
          <cell r="AM223">
            <v>1.3610733723620612</v>
          </cell>
          <cell r="AN223">
            <v>1.3609470756528876</v>
          </cell>
          <cell r="AO223">
            <v>1.3609470756528876</v>
          </cell>
          <cell r="AP223">
            <v>1.3266393261895317</v>
          </cell>
          <cell r="AQ223">
            <v>1.3485391444713466</v>
          </cell>
          <cell r="AR223">
            <v>1.3493087327183177</v>
          </cell>
        </row>
        <row r="224">
          <cell r="D224">
            <v>149</v>
          </cell>
          <cell r="E224">
            <v>1.3076224702099486</v>
          </cell>
          <cell r="F224">
            <v>1.3080472602102526</v>
          </cell>
          <cell r="G224">
            <v>1.2945368171021376</v>
          </cell>
          <cell r="H224">
            <v>1.295358649789029</v>
          </cell>
          <cell r="O224">
            <v>1.3672896699269002</v>
          </cell>
          <cell r="P224">
            <v>1.3671607753705823</v>
          </cell>
          <cell r="Q224">
            <v>1.3671607753705823</v>
          </cell>
          <cell r="R224">
            <v>1.3675622622991039</v>
          </cell>
          <cell r="S224">
            <v>1.3548412965725196</v>
          </cell>
          <cell r="T224">
            <v>1.3555908850026503</v>
          </cell>
          <cell r="AA224">
            <v>1.3672896699269002</v>
          </cell>
          <cell r="AB224">
            <v>1.3671607753705823</v>
          </cell>
          <cell r="AC224">
            <v>1.3076224702099486</v>
          </cell>
          <cell r="AD224">
            <v>1.3080472602102526</v>
          </cell>
          <cell r="AE224">
            <v>1.2945368171021376</v>
          </cell>
          <cell r="AF224">
            <v>1.295358649789029</v>
          </cell>
          <cell r="AM224">
            <v>1.3610733723620612</v>
          </cell>
          <cell r="AN224">
            <v>1.3609470756528876</v>
          </cell>
          <cell r="AO224">
            <v>1.3609470756528876</v>
          </cell>
          <cell r="AP224">
            <v>1.3266393261895317</v>
          </cell>
          <cell r="AQ224">
            <v>1.3485391444713466</v>
          </cell>
          <cell r="AR224">
            <v>1.3493087327183177</v>
          </cell>
        </row>
        <row r="225">
          <cell r="D225">
            <v>150</v>
          </cell>
          <cell r="E225">
            <v>1.3076224702099486</v>
          </cell>
          <cell r="F225">
            <v>1.3080472602102526</v>
          </cell>
          <cell r="G225">
            <v>1.2945368171021376</v>
          </cell>
          <cell r="H225">
            <v>1.295358649789029</v>
          </cell>
          <cell r="O225">
            <v>1.3672896699269002</v>
          </cell>
          <cell r="P225">
            <v>1.3671607753705823</v>
          </cell>
          <cell r="Q225">
            <v>1.3671607753705823</v>
          </cell>
          <cell r="R225">
            <v>1.3675622622991039</v>
          </cell>
          <cell r="S225">
            <v>1.3548412965725196</v>
          </cell>
          <cell r="T225">
            <v>1.3555908850026503</v>
          </cell>
          <cell r="AA225">
            <v>1.3672896699269002</v>
          </cell>
          <cell r="AB225">
            <v>1.3671607753705823</v>
          </cell>
          <cell r="AC225">
            <v>1.3076224702099486</v>
          </cell>
          <cell r="AD225">
            <v>1.3080472602102526</v>
          </cell>
          <cell r="AE225">
            <v>1.2945368171021376</v>
          </cell>
          <cell r="AF225">
            <v>1.295358649789029</v>
          </cell>
          <cell r="AM225">
            <v>1.3610733723620612</v>
          </cell>
          <cell r="AN225">
            <v>1.3609470756528876</v>
          </cell>
          <cell r="AO225">
            <v>1.3609470756528876</v>
          </cell>
          <cell r="AP225">
            <v>1.3266393261895317</v>
          </cell>
          <cell r="AQ225">
            <v>1.3485391444713466</v>
          </cell>
          <cell r="AR225">
            <v>1.3493087327183177</v>
          </cell>
        </row>
        <row r="226">
          <cell r="D226">
            <v>151</v>
          </cell>
          <cell r="E226">
            <v>1.3076224702099486</v>
          </cell>
          <cell r="F226">
            <v>1.3080472602102526</v>
          </cell>
          <cell r="G226">
            <v>1.2945368171021376</v>
          </cell>
          <cell r="H226">
            <v>1.295358649789029</v>
          </cell>
          <cell r="O226">
            <v>1.3672896699269002</v>
          </cell>
          <cell r="P226">
            <v>1.3671607753705823</v>
          </cell>
          <cell r="Q226">
            <v>1.3671607753705823</v>
          </cell>
          <cell r="R226">
            <v>1.3675622622991039</v>
          </cell>
          <cell r="S226">
            <v>1.3548412965725196</v>
          </cell>
          <cell r="T226">
            <v>1.3555908850026503</v>
          </cell>
          <cell r="AA226">
            <v>1.3672896699269002</v>
          </cell>
          <cell r="AB226">
            <v>1.3671607753705823</v>
          </cell>
          <cell r="AC226">
            <v>1.3076224702099486</v>
          </cell>
          <cell r="AD226">
            <v>1.3080472602102526</v>
          </cell>
          <cell r="AE226">
            <v>1.2945368171021376</v>
          </cell>
          <cell r="AF226">
            <v>1.295358649789029</v>
          </cell>
          <cell r="AM226">
            <v>1.3610733723620612</v>
          </cell>
          <cell r="AN226">
            <v>1.3609470756528876</v>
          </cell>
          <cell r="AO226">
            <v>1.3609470756528876</v>
          </cell>
          <cell r="AP226">
            <v>1.3266393261895317</v>
          </cell>
          <cell r="AQ226">
            <v>1.3485391444713466</v>
          </cell>
          <cell r="AR226">
            <v>1.3493087327183177</v>
          </cell>
        </row>
        <row r="227">
          <cell r="D227">
            <v>152</v>
          </cell>
          <cell r="E227">
            <v>1.3076224702099486</v>
          </cell>
          <cell r="F227">
            <v>1.3080472602102526</v>
          </cell>
          <cell r="G227">
            <v>1.2945368171021376</v>
          </cell>
          <cell r="H227">
            <v>1.295358649789029</v>
          </cell>
          <cell r="O227">
            <v>1.3672896699269002</v>
          </cell>
          <cell r="P227">
            <v>1.3671607753705823</v>
          </cell>
          <cell r="Q227">
            <v>1.3671607753705823</v>
          </cell>
          <cell r="R227">
            <v>1.3675622622991039</v>
          </cell>
          <cell r="S227">
            <v>1.3548412965725196</v>
          </cell>
          <cell r="T227">
            <v>1.3555908850026503</v>
          </cell>
          <cell r="AA227">
            <v>1.3672896699269002</v>
          </cell>
          <cell r="AB227">
            <v>1.3671607753705823</v>
          </cell>
          <cell r="AC227">
            <v>1.3076224702099486</v>
          </cell>
          <cell r="AD227">
            <v>1.3080472602102526</v>
          </cell>
          <cell r="AE227">
            <v>1.2945368171021376</v>
          </cell>
          <cell r="AF227">
            <v>1.295358649789029</v>
          </cell>
          <cell r="AM227">
            <v>1.3610733723620612</v>
          </cell>
          <cell r="AN227">
            <v>1.3609470756528876</v>
          </cell>
          <cell r="AO227">
            <v>1.3609470756528876</v>
          </cell>
          <cell r="AP227">
            <v>1.3266393261895317</v>
          </cell>
          <cell r="AQ227">
            <v>1.3485391444713466</v>
          </cell>
          <cell r="AR227">
            <v>1.3493087327183177</v>
          </cell>
        </row>
        <row r="228">
          <cell r="D228">
            <v>153</v>
          </cell>
          <cell r="E228">
            <v>1.3076224702099486</v>
          </cell>
          <cell r="F228">
            <v>1.3080472602102526</v>
          </cell>
          <cell r="G228">
            <v>1.2945368171021376</v>
          </cell>
          <cell r="H228">
            <v>1.295358649789029</v>
          </cell>
          <cell r="O228">
            <v>1.3672896699269002</v>
          </cell>
          <cell r="P228">
            <v>1.3671607753705823</v>
          </cell>
          <cell r="Q228">
            <v>1.3671607753705823</v>
          </cell>
          <cell r="R228">
            <v>1.3675622622991039</v>
          </cell>
          <cell r="S228">
            <v>1.3548412965725196</v>
          </cell>
          <cell r="T228">
            <v>1.3555908850026503</v>
          </cell>
          <cell r="AA228">
            <v>1.3672896699269002</v>
          </cell>
          <cell r="AB228">
            <v>1.3671607753705823</v>
          </cell>
          <cell r="AC228">
            <v>1.3076224702099486</v>
          </cell>
          <cell r="AD228">
            <v>1.3080472602102526</v>
          </cell>
          <cell r="AE228">
            <v>1.2945368171021376</v>
          </cell>
          <cell r="AF228">
            <v>1.295358649789029</v>
          </cell>
          <cell r="AM228">
            <v>1.3610733723620612</v>
          </cell>
          <cell r="AN228">
            <v>1.3609470756528876</v>
          </cell>
          <cell r="AO228">
            <v>1.3609470756528876</v>
          </cell>
          <cell r="AP228">
            <v>1.3266393261895317</v>
          </cell>
          <cell r="AQ228">
            <v>1.3485391444713466</v>
          </cell>
          <cell r="AR228">
            <v>1.3493087327183177</v>
          </cell>
        </row>
        <row r="229">
          <cell r="D229">
            <v>154</v>
          </cell>
          <cell r="E229">
            <v>1.3076224702099486</v>
          </cell>
          <cell r="F229">
            <v>1.3080472602102526</v>
          </cell>
          <cell r="G229">
            <v>1.2945368171021376</v>
          </cell>
          <cell r="H229">
            <v>1.295358649789029</v>
          </cell>
          <cell r="O229">
            <v>1.3672896699269002</v>
          </cell>
          <cell r="P229">
            <v>1.3671607753705823</v>
          </cell>
          <cell r="Q229">
            <v>1.3671607753705823</v>
          </cell>
          <cell r="R229">
            <v>1.3675622622991039</v>
          </cell>
          <cell r="S229">
            <v>1.3548412965725196</v>
          </cell>
          <cell r="T229">
            <v>1.3555908850026503</v>
          </cell>
          <cell r="AA229">
            <v>1.3672896699269002</v>
          </cell>
          <cell r="AB229">
            <v>1.3671607753705823</v>
          </cell>
          <cell r="AC229">
            <v>1.3076224702099486</v>
          </cell>
          <cell r="AD229">
            <v>1.3080472602102526</v>
          </cell>
          <cell r="AE229">
            <v>1.2945368171021376</v>
          </cell>
          <cell r="AF229">
            <v>1.295358649789029</v>
          </cell>
          <cell r="AM229">
            <v>1.3610733723620612</v>
          </cell>
          <cell r="AN229">
            <v>1.3609470756528876</v>
          </cell>
          <cell r="AO229">
            <v>1.3609470756528876</v>
          </cell>
          <cell r="AP229">
            <v>1.3266393261895317</v>
          </cell>
          <cell r="AQ229">
            <v>1.3485391444713466</v>
          </cell>
          <cell r="AR229">
            <v>1.3493087327183177</v>
          </cell>
        </row>
        <row r="230">
          <cell r="D230">
            <v>155</v>
          </cell>
          <cell r="E230">
            <v>1.3076224702099486</v>
          </cell>
          <cell r="F230">
            <v>1.3080472602102526</v>
          </cell>
          <cell r="G230">
            <v>1.2945368171021376</v>
          </cell>
          <cell r="H230">
            <v>1.295358649789029</v>
          </cell>
          <cell r="O230">
            <v>1.3672896699269002</v>
          </cell>
          <cell r="P230">
            <v>1.3671607753705823</v>
          </cell>
          <cell r="Q230">
            <v>1.3671607753705823</v>
          </cell>
          <cell r="R230">
            <v>1.3675622622991039</v>
          </cell>
          <cell r="S230">
            <v>1.3548412965725196</v>
          </cell>
          <cell r="T230">
            <v>1.3555908850026503</v>
          </cell>
          <cell r="AA230">
            <v>1.3672896699269002</v>
          </cell>
          <cell r="AB230">
            <v>1.3671607753705823</v>
          </cell>
          <cell r="AC230">
            <v>1.3076224702099486</v>
          </cell>
          <cell r="AD230">
            <v>1.3080472602102526</v>
          </cell>
          <cell r="AE230">
            <v>1.2945368171021376</v>
          </cell>
          <cell r="AF230">
            <v>1.295358649789029</v>
          </cell>
          <cell r="AM230">
            <v>1.3610733723620612</v>
          </cell>
          <cell r="AN230">
            <v>1.3609470756528876</v>
          </cell>
          <cell r="AO230">
            <v>1.3609470756528876</v>
          </cell>
          <cell r="AP230">
            <v>1.3266393261895317</v>
          </cell>
          <cell r="AQ230">
            <v>1.3485391444713466</v>
          </cell>
          <cell r="AR230">
            <v>1.3493087327183177</v>
          </cell>
        </row>
        <row r="231">
          <cell r="D231">
            <v>156</v>
          </cell>
          <cell r="E231">
            <v>1.3076224702099486</v>
          </cell>
          <cell r="F231">
            <v>1.3080472602102526</v>
          </cell>
          <cell r="G231">
            <v>1.2945368171021376</v>
          </cell>
          <cell r="H231">
            <v>1.295358649789029</v>
          </cell>
          <cell r="O231">
            <v>1.3672896699269002</v>
          </cell>
          <cell r="P231">
            <v>1.3671607753705823</v>
          </cell>
          <cell r="Q231">
            <v>1.3671607753705823</v>
          </cell>
          <cell r="R231">
            <v>1.3675622622991039</v>
          </cell>
          <cell r="S231">
            <v>1.3548412965725196</v>
          </cell>
          <cell r="T231">
            <v>1.3555908850026503</v>
          </cell>
          <cell r="AA231">
            <v>1.3672896699269002</v>
          </cell>
          <cell r="AB231">
            <v>1.3671607753705823</v>
          </cell>
          <cell r="AC231">
            <v>1.3076224702099486</v>
          </cell>
          <cell r="AD231">
            <v>1.3080472602102526</v>
          </cell>
          <cell r="AE231">
            <v>1.2945368171021376</v>
          </cell>
          <cell r="AF231">
            <v>1.295358649789029</v>
          </cell>
          <cell r="AM231">
            <v>1.3610733723620612</v>
          </cell>
          <cell r="AN231">
            <v>1.3609470756528876</v>
          </cell>
          <cell r="AO231">
            <v>1.3609470756528876</v>
          </cell>
          <cell r="AP231">
            <v>1.3266393261895317</v>
          </cell>
          <cell r="AQ231">
            <v>1.3485391444713466</v>
          </cell>
          <cell r="AR231">
            <v>1.3493087327183177</v>
          </cell>
        </row>
        <row r="232">
          <cell r="D232">
            <v>157</v>
          </cell>
          <cell r="E232">
            <v>1.3076224702099486</v>
          </cell>
          <cell r="F232">
            <v>1.3080472602102526</v>
          </cell>
          <cell r="G232">
            <v>1.2945368171021376</v>
          </cell>
          <cell r="H232">
            <v>1.295358649789029</v>
          </cell>
          <cell r="O232">
            <v>1.3672896699269002</v>
          </cell>
          <cell r="P232">
            <v>1.3671607753705823</v>
          </cell>
          <cell r="Q232">
            <v>1.3671607753705823</v>
          </cell>
          <cell r="R232">
            <v>1.3675622622991039</v>
          </cell>
          <cell r="S232">
            <v>1.3548412965725196</v>
          </cell>
          <cell r="T232">
            <v>1.3555908850026503</v>
          </cell>
          <cell r="AA232">
            <v>1.3672896699269002</v>
          </cell>
          <cell r="AB232">
            <v>1.3671607753705823</v>
          </cell>
          <cell r="AC232">
            <v>1.3076224702099486</v>
          </cell>
          <cell r="AD232">
            <v>1.3080472602102526</v>
          </cell>
          <cell r="AE232">
            <v>1.2945368171021376</v>
          </cell>
          <cell r="AF232">
            <v>1.295358649789029</v>
          </cell>
          <cell r="AM232">
            <v>1.3610733723620612</v>
          </cell>
          <cell r="AN232">
            <v>1.3609470756528876</v>
          </cell>
          <cell r="AO232">
            <v>1.3609470756528876</v>
          </cell>
          <cell r="AP232">
            <v>1.3266393261895317</v>
          </cell>
          <cell r="AQ232">
            <v>1.3485391444713466</v>
          </cell>
          <cell r="AR232">
            <v>1.3493087327183177</v>
          </cell>
        </row>
        <row r="233">
          <cell r="D233">
            <v>158</v>
          </cell>
          <cell r="E233">
            <v>1.3076224702099486</v>
          </cell>
          <cell r="F233">
            <v>1.3080472602102526</v>
          </cell>
          <cell r="G233">
            <v>1.2945368171021376</v>
          </cell>
          <cell r="H233">
            <v>1.295358649789029</v>
          </cell>
          <cell r="O233">
            <v>1.3672896699269002</v>
          </cell>
          <cell r="P233">
            <v>1.3671607753705823</v>
          </cell>
          <cell r="Q233">
            <v>1.3671607753705823</v>
          </cell>
          <cell r="R233">
            <v>1.3675622622991039</v>
          </cell>
          <cell r="S233">
            <v>1.3548412965725196</v>
          </cell>
          <cell r="T233">
            <v>1.3555908850026503</v>
          </cell>
          <cell r="AA233">
            <v>1.3672896699269002</v>
          </cell>
          <cell r="AB233">
            <v>1.3671607753705823</v>
          </cell>
          <cell r="AC233">
            <v>1.3076224702099486</v>
          </cell>
          <cell r="AD233">
            <v>1.3080472602102526</v>
          </cell>
          <cell r="AE233">
            <v>1.2945368171021376</v>
          </cell>
          <cell r="AF233">
            <v>1.295358649789029</v>
          </cell>
          <cell r="AM233">
            <v>1.3610733723620612</v>
          </cell>
          <cell r="AN233">
            <v>1.3609470756528876</v>
          </cell>
          <cell r="AO233">
            <v>1.3609470756528876</v>
          </cell>
          <cell r="AP233">
            <v>1.3266393261895317</v>
          </cell>
          <cell r="AQ233">
            <v>1.3485391444713466</v>
          </cell>
          <cell r="AR233">
            <v>1.3493087327183177</v>
          </cell>
        </row>
        <row r="234">
          <cell r="D234">
            <v>159</v>
          </cell>
          <cell r="E234">
            <v>1.3076224702099486</v>
          </cell>
          <cell r="F234">
            <v>1.3080472602102526</v>
          </cell>
          <cell r="G234">
            <v>1.2945368171021376</v>
          </cell>
          <cell r="H234">
            <v>1.295358649789029</v>
          </cell>
          <cell r="O234">
            <v>1.3672896699269002</v>
          </cell>
          <cell r="P234">
            <v>1.3671607753705823</v>
          </cell>
          <cell r="Q234">
            <v>1.3671607753705823</v>
          </cell>
          <cell r="R234">
            <v>1.3675622622991039</v>
          </cell>
          <cell r="S234">
            <v>1.3548412965725196</v>
          </cell>
          <cell r="T234">
            <v>1.3555908850026503</v>
          </cell>
          <cell r="AA234">
            <v>1.3672896699269002</v>
          </cell>
          <cell r="AB234">
            <v>1.3671607753705823</v>
          </cell>
          <cell r="AC234">
            <v>1.3076224702099486</v>
          </cell>
          <cell r="AD234">
            <v>1.3080472602102526</v>
          </cell>
          <cell r="AE234">
            <v>1.2945368171021376</v>
          </cell>
          <cell r="AF234">
            <v>1.295358649789029</v>
          </cell>
          <cell r="AM234">
            <v>1.3610733723620612</v>
          </cell>
          <cell r="AN234">
            <v>1.3609470756528876</v>
          </cell>
          <cell r="AO234">
            <v>1.3609470756528876</v>
          </cell>
          <cell r="AP234">
            <v>1.3266393261895317</v>
          </cell>
          <cell r="AQ234">
            <v>1.3485391444713466</v>
          </cell>
          <cell r="AR234">
            <v>1.3493087327183177</v>
          </cell>
        </row>
        <row r="235">
          <cell r="D235">
            <v>160</v>
          </cell>
          <cell r="E235">
            <v>1.3076224702099486</v>
          </cell>
          <cell r="F235">
            <v>1.3080472602102526</v>
          </cell>
          <cell r="G235">
            <v>1.2945368171021376</v>
          </cell>
          <cell r="H235">
            <v>1.295358649789029</v>
          </cell>
          <cell r="O235">
            <v>1.3672896699269002</v>
          </cell>
          <cell r="P235">
            <v>1.3671607753705823</v>
          </cell>
          <cell r="Q235">
            <v>1.3671607753705823</v>
          </cell>
          <cell r="R235">
            <v>1.3675622622991039</v>
          </cell>
          <cell r="S235">
            <v>1.3548412965725196</v>
          </cell>
          <cell r="T235">
            <v>1.3555908850026503</v>
          </cell>
          <cell r="AA235">
            <v>1.3672896699269002</v>
          </cell>
          <cell r="AB235">
            <v>1.3671607753705823</v>
          </cell>
          <cell r="AC235">
            <v>1.3076224702099486</v>
          </cell>
          <cell r="AD235">
            <v>1.3080472602102526</v>
          </cell>
          <cell r="AE235">
            <v>1.2945368171021376</v>
          </cell>
          <cell r="AF235">
            <v>1.295358649789029</v>
          </cell>
          <cell r="AM235">
            <v>1.3610733723620612</v>
          </cell>
          <cell r="AN235">
            <v>1.3609470756528876</v>
          </cell>
          <cell r="AO235">
            <v>1.3609470756528876</v>
          </cell>
          <cell r="AP235">
            <v>1.3266393261895317</v>
          </cell>
          <cell r="AQ235">
            <v>1.3485391444713466</v>
          </cell>
          <cell r="AR235">
            <v>1.3493087327183177</v>
          </cell>
        </row>
        <row r="236">
          <cell r="D236">
            <v>161</v>
          </cell>
          <cell r="E236">
            <v>1.3076224702099486</v>
          </cell>
          <cell r="F236">
            <v>1.3080472602102526</v>
          </cell>
          <cell r="G236">
            <v>1.2945368171021376</v>
          </cell>
          <cell r="H236">
            <v>1.295358649789029</v>
          </cell>
          <cell r="O236">
            <v>1.3672896699269002</v>
          </cell>
          <cell r="P236">
            <v>1.3671607753705823</v>
          </cell>
          <cell r="Q236">
            <v>1.3671607753705823</v>
          </cell>
          <cell r="R236">
            <v>1.3675622622991039</v>
          </cell>
          <cell r="S236">
            <v>1.3548412965725196</v>
          </cell>
          <cell r="T236">
            <v>1.3555908850026503</v>
          </cell>
          <cell r="AA236">
            <v>1.3672896699269002</v>
          </cell>
          <cell r="AB236">
            <v>1.3671607753705823</v>
          </cell>
          <cell r="AC236">
            <v>1.3076224702099486</v>
          </cell>
          <cell r="AD236">
            <v>1.3080472602102526</v>
          </cell>
          <cell r="AE236">
            <v>1.2945368171021376</v>
          </cell>
          <cell r="AF236">
            <v>1.295358649789029</v>
          </cell>
          <cell r="AM236">
            <v>1.3610733723620612</v>
          </cell>
          <cell r="AN236">
            <v>1.3609470756528876</v>
          </cell>
          <cell r="AO236">
            <v>1.3609470756528876</v>
          </cell>
          <cell r="AP236">
            <v>1.3266393261895317</v>
          </cell>
          <cell r="AQ236">
            <v>1.3485391444713466</v>
          </cell>
          <cell r="AR236">
            <v>1.3493087327183177</v>
          </cell>
        </row>
        <row r="237">
          <cell r="D237">
            <v>162</v>
          </cell>
          <cell r="E237">
            <v>1.3076224702099486</v>
          </cell>
          <cell r="F237">
            <v>1.3080472602102526</v>
          </cell>
          <cell r="G237">
            <v>1.2945368171021376</v>
          </cell>
          <cell r="H237">
            <v>1.295358649789029</v>
          </cell>
          <cell r="O237">
            <v>1.3672896699269002</v>
          </cell>
          <cell r="P237">
            <v>1.3671607753705823</v>
          </cell>
          <cell r="Q237">
            <v>1.3671607753705823</v>
          </cell>
          <cell r="R237">
            <v>1.3675622622991039</v>
          </cell>
          <cell r="S237">
            <v>1.3548412965725196</v>
          </cell>
          <cell r="T237">
            <v>1.3555908850026503</v>
          </cell>
          <cell r="AA237">
            <v>1.3672896699269002</v>
          </cell>
          <cell r="AB237">
            <v>1.3671607753705823</v>
          </cell>
          <cell r="AC237">
            <v>1.3076224702099486</v>
          </cell>
          <cell r="AD237">
            <v>1.3080472602102526</v>
          </cell>
          <cell r="AE237">
            <v>1.2945368171021376</v>
          </cell>
          <cell r="AF237">
            <v>1.295358649789029</v>
          </cell>
          <cell r="AM237">
            <v>1.3610733723620612</v>
          </cell>
          <cell r="AN237">
            <v>1.3609470756528876</v>
          </cell>
          <cell r="AO237">
            <v>1.3609470756528876</v>
          </cell>
          <cell r="AP237">
            <v>1.3266393261895317</v>
          </cell>
          <cell r="AQ237">
            <v>1.3485391444713466</v>
          </cell>
          <cell r="AR237">
            <v>1.3493087327183177</v>
          </cell>
        </row>
        <row r="238">
          <cell r="D238">
            <v>163</v>
          </cell>
          <cell r="E238">
            <v>1.3076224702099486</v>
          </cell>
          <cell r="F238">
            <v>1.3080472602102526</v>
          </cell>
          <cell r="G238">
            <v>1.2945368171021376</v>
          </cell>
          <cell r="H238">
            <v>1.295358649789029</v>
          </cell>
          <cell r="O238">
            <v>1.3672896699269002</v>
          </cell>
          <cell r="P238">
            <v>1.3671607753705823</v>
          </cell>
          <cell r="Q238">
            <v>1.3671607753705823</v>
          </cell>
          <cell r="R238">
            <v>1.3675622622991039</v>
          </cell>
          <cell r="S238">
            <v>1.3548412965725196</v>
          </cell>
          <cell r="T238">
            <v>1.3555908850026503</v>
          </cell>
          <cell r="AA238">
            <v>1.3672896699269002</v>
          </cell>
          <cell r="AB238">
            <v>1.3671607753705823</v>
          </cell>
          <cell r="AC238">
            <v>1.3076224702099486</v>
          </cell>
          <cell r="AD238">
            <v>1.3080472602102526</v>
          </cell>
          <cell r="AE238">
            <v>1.2945368171021376</v>
          </cell>
          <cell r="AF238">
            <v>1.295358649789029</v>
          </cell>
          <cell r="AM238">
            <v>1.3610733723620612</v>
          </cell>
          <cell r="AN238">
            <v>1.3609470756528876</v>
          </cell>
          <cell r="AO238">
            <v>1.3609470756528876</v>
          </cell>
          <cell r="AP238">
            <v>1.3266393261895317</v>
          </cell>
          <cell r="AQ238">
            <v>1.3485391444713466</v>
          </cell>
          <cell r="AR238">
            <v>1.3493087327183177</v>
          </cell>
        </row>
        <row r="239">
          <cell r="D239">
            <v>164</v>
          </cell>
          <cell r="E239">
            <v>1.3076224702099486</v>
          </cell>
          <cell r="F239">
            <v>1.3080472602102526</v>
          </cell>
          <cell r="G239">
            <v>1.2945368171021376</v>
          </cell>
          <cell r="H239">
            <v>1.295358649789029</v>
          </cell>
          <cell r="O239">
            <v>1.3672896699269002</v>
          </cell>
          <cell r="P239">
            <v>1.3671607753705823</v>
          </cell>
          <cell r="Q239">
            <v>1.3671607753705823</v>
          </cell>
          <cell r="R239">
            <v>1.3675622622991039</v>
          </cell>
          <cell r="S239">
            <v>1.3548412965725196</v>
          </cell>
          <cell r="T239">
            <v>1.3555908850026503</v>
          </cell>
          <cell r="AA239">
            <v>1.3672896699269002</v>
          </cell>
          <cell r="AB239">
            <v>1.3671607753705823</v>
          </cell>
          <cell r="AC239">
            <v>1.3076224702099486</v>
          </cell>
          <cell r="AD239">
            <v>1.3080472602102526</v>
          </cell>
          <cell r="AE239">
            <v>1.2945368171021376</v>
          </cell>
          <cell r="AF239">
            <v>1.295358649789029</v>
          </cell>
          <cell r="AM239">
            <v>1.3610733723620612</v>
          </cell>
          <cell r="AN239">
            <v>1.3609470756528876</v>
          </cell>
          <cell r="AO239">
            <v>1.3609470756528876</v>
          </cell>
          <cell r="AP239">
            <v>1.3266393261895317</v>
          </cell>
          <cell r="AQ239">
            <v>1.3485391444713466</v>
          </cell>
          <cell r="AR239">
            <v>1.3493087327183177</v>
          </cell>
        </row>
        <row r="240">
          <cell r="D240">
            <v>165</v>
          </cell>
          <cell r="E240">
            <v>1.3076224702099486</v>
          </cell>
          <cell r="F240">
            <v>1.3080472602102526</v>
          </cell>
          <cell r="G240">
            <v>1.2945368171021376</v>
          </cell>
          <cell r="H240">
            <v>1.295358649789029</v>
          </cell>
          <cell r="O240">
            <v>1.3672896699269002</v>
          </cell>
          <cell r="P240">
            <v>1.3671607753705823</v>
          </cell>
          <cell r="Q240">
            <v>1.3671607753705823</v>
          </cell>
          <cell r="R240">
            <v>1.3675622622991039</v>
          </cell>
          <cell r="S240">
            <v>1.3548412965725196</v>
          </cell>
          <cell r="T240">
            <v>1.3555908850026503</v>
          </cell>
          <cell r="AA240">
            <v>1.3672896699269002</v>
          </cell>
          <cell r="AB240">
            <v>1.3671607753705823</v>
          </cell>
          <cell r="AC240">
            <v>1.3076224702099486</v>
          </cell>
          <cell r="AD240">
            <v>1.3080472602102526</v>
          </cell>
          <cell r="AE240">
            <v>1.2945368171021376</v>
          </cell>
          <cell r="AF240">
            <v>1.295358649789029</v>
          </cell>
          <cell r="AM240">
            <v>1.3610733723620612</v>
          </cell>
          <cell r="AN240">
            <v>1.3609470756528876</v>
          </cell>
          <cell r="AO240">
            <v>1.3609470756528876</v>
          </cell>
          <cell r="AP240">
            <v>1.3266393261895317</v>
          </cell>
          <cell r="AQ240">
            <v>1.3485391444713466</v>
          </cell>
          <cell r="AR240">
            <v>1.3493087327183177</v>
          </cell>
        </row>
        <row r="241">
          <cell r="D241">
            <v>166</v>
          </cell>
          <cell r="E241">
            <v>1.3076224702099486</v>
          </cell>
          <cell r="F241">
            <v>1.3080472602102526</v>
          </cell>
          <cell r="G241">
            <v>1.2945368171021376</v>
          </cell>
          <cell r="H241">
            <v>1.295358649789029</v>
          </cell>
          <cell r="O241">
            <v>1.3672896699269002</v>
          </cell>
          <cell r="P241">
            <v>1.3671607753705823</v>
          </cell>
          <cell r="Q241">
            <v>1.3671607753705823</v>
          </cell>
          <cell r="R241">
            <v>1.3675622622991039</v>
          </cell>
          <cell r="S241">
            <v>1.3548412965725196</v>
          </cell>
          <cell r="T241">
            <v>1.3555908850026503</v>
          </cell>
          <cell r="AA241">
            <v>1.3672896699269002</v>
          </cell>
          <cell r="AB241">
            <v>1.3671607753705823</v>
          </cell>
          <cell r="AC241">
            <v>1.3076224702099486</v>
          </cell>
          <cell r="AD241">
            <v>1.3080472602102526</v>
          </cell>
          <cell r="AE241">
            <v>1.2945368171021376</v>
          </cell>
          <cell r="AF241">
            <v>1.295358649789029</v>
          </cell>
          <cell r="AM241">
            <v>1.3610733723620612</v>
          </cell>
          <cell r="AN241">
            <v>1.3609470756528876</v>
          </cell>
          <cell r="AO241">
            <v>1.3609470756528876</v>
          </cell>
          <cell r="AP241">
            <v>1.3266393261895317</v>
          </cell>
          <cell r="AQ241">
            <v>1.3485391444713466</v>
          </cell>
          <cell r="AR241">
            <v>1.3493087327183177</v>
          </cell>
        </row>
        <row r="242">
          <cell r="D242">
            <v>167</v>
          </cell>
          <cell r="E242">
            <v>1.3076224702099486</v>
          </cell>
          <cell r="F242">
            <v>1.3080472602102526</v>
          </cell>
          <cell r="G242">
            <v>1.2945368171021376</v>
          </cell>
          <cell r="H242">
            <v>1.295358649789029</v>
          </cell>
          <cell r="O242">
            <v>1.3672896699269002</v>
          </cell>
          <cell r="P242">
            <v>1.3671607753705823</v>
          </cell>
          <cell r="Q242">
            <v>1.3671607753705823</v>
          </cell>
          <cell r="R242">
            <v>1.3675622622991039</v>
          </cell>
          <cell r="S242">
            <v>1.3548412965725196</v>
          </cell>
          <cell r="T242">
            <v>1.3555908850026503</v>
          </cell>
          <cell r="AA242">
            <v>1.3672896699269002</v>
          </cell>
          <cell r="AB242">
            <v>1.3671607753705823</v>
          </cell>
          <cell r="AC242">
            <v>1.3076224702099486</v>
          </cell>
          <cell r="AD242">
            <v>1.3080472602102526</v>
          </cell>
          <cell r="AE242">
            <v>1.2945368171021376</v>
          </cell>
          <cell r="AF242">
            <v>1.295358649789029</v>
          </cell>
          <cell r="AM242">
            <v>1.3610733723620612</v>
          </cell>
          <cell r="AN242">
            <v>1.3609470756528876</v>
          </cell>
          <cell r="AO242">
            <v>1.3609470756528876</v>
          </cell>
          <cell r="AP242">
            <v>1.3266393261895317</v>
          </cell>
          <cell r="AQ242">
            <v>1.3485391444713466</v>
          </cell>
          <cell r="AR242">
            <v>1.3493087327183177</v>
          </cell>
        </row>
        <row r="243">
          <cell r="D243">
            <v>168</v>
          </cell>
          <cell r="E243">
            <v>1.3076224702099486</v>
          </cell>
          <cell r="F243">
            <v>1.3080472602102526</v>
          </cell>
          <cell r="G243">
            <v>1.2945368171021376</v>
          </cell>
          <cell r="H243">
            <v>1.295358649789029</v>
          </cell>
          <cell r="O243">
            <v>1.3672896699269002</v>
          </cell>
          <cell r="P243">
            <v>1.3671607753705823</v>
          </cell>
          <cell r="Q243">
            <v>1.3671607753705823</v>
          </cell>
          <cell r="R243">
            <v>1.3675622622991039</v>
          </cell>
          <cell r="S243">
            <v>1.3548412965725196</v>
          </cell>
          <cell r="T243">
            <v>1.3555908850026503</v>
          </cell>
          <cell r="AA243">
            <v>1.3672896699269002</v>
          </cell>
          <cell r="AB243">
            <v>1.3671607753705823</v>
          </cell>
          <cell r="AC243">
            <v>1.3076224702099486</v>
          </cell>
          <cell r="AD243">
            <v>1.3080472602102526</v>
          </cell>
          <cell r="AE243">
            <v>1.2945368171021376</v>
          </cell>
          <cell r="AF243">
            <v>1.295358649789029</v>
          </cell>
          <cell r="AM243">
            <v>1.3610733723620612</v>
          </cell>
          <cell r="AN243">
            <v>1.3609470756528876</v>
          </cell>
          <cell r="AO243">
            <v>1.3609470756528876</v>
          </cell>
          <cell r="AP243">
            <v>1.3266393261895317</v>
          </cell>
          <cell r="AQ243">
            <v>1.3485391444713466</v>
          </cell>
          <cell r="AR243">
            <v>1.3493087327183177</v>
          </cell>
        </row>
      </sheetData>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H19"/>
  <sheetViews>
    <sheetView tabSelected="1" view="pageLayout" zoomScaleNormal="100" workbookViewId="0">
      <selection activeCell="B17" sqref="A17:XFD17"/>
    </sheetView>
  </sheetViews>
  <sheetFormatPr defaultColWidth="9.140625" defaultRowHeight="12.75"/>
  <cols>
    <col min="1" max="1" width="29.5703125" style="120" customWidth="1"/>
    <col min="2" max="2" width="100.42578125" style="120" customWidth="1"/>
    <col min="3" max="3" width="65.7109375" style="120" customWidth="1"/>
    <col min="4" max="4" width="30.28515625" style="120" customWidth="1"/>
    <col min="5" max="16384" width="9.140625" style="120"/>
  </cols>
  <sheetData>
    <row r="2" spans="1:8">
      <c r="A2" s="186" t="s">
        <v>689</v>
      </c>
    </row>
    <row r="3" spans="1:8">
      <c r="A3" s="186" t="s">
        <v>750</v>
      </c>
    </row>
    <row r="5" spans="1:8" ht="145.5" customHeight="1">
      <c r="A5" s="121" t="s">
        <v>650</v>
      </c>
      <c r="B5" s="780" t="s">
        <v>651</v>
      </c>
      <c r="C5" s="780"/>
      <c r="D5" s="780"/>
      <c r="E5" s="780"/>
      <c r="F5" s="780"/>
      <c r="G5" s="780"/>
      <c r="H5" s="780"/>
    </row>
    <row r="7" spans="1:8">
      <c r="A7" s="121" t="s">
        <v>652</v>
      </c>
    </row>
    <row r="8" spans="1:8">
      <c r="A8" s="121" t="s">
        <v>654</v>
      </c>
      <c r="B8" s="121" t="s">
        <v>655</v>
      </c>
      <c r="C8" s="121" t="s">
        <v>656</v>
      </c>
      <c r="D8" s="121" t="s">
        <v>657</v>
      </c>
    </row>
    <row r="9" spans="1:8" ht="51">
      <c r="A9" s="120" t="s">
        <v>653</v>
      </c>
      <c r="B9" s="122" t="s">
        <v>827</v>
      </c>
      <c r="C9" s="120" t="s">
        <v>658</v>
      </c>
      <c r="D9" s="120" t="s">
        <v>659</v>
      </c>
    </row>
    <row r="10" spans="1:8" ht="38.25">
      <c r="A10" s="120" t="s">
        <v>660</v>
      </c>
      <c r="B10" s="122" t="s">
        <v>663</v>
      </c>
      <c r="C10" s="120" t="s">
        <v>662</v>
      </c>
      <c r="D10" s="156" t="s">
        <v>828</v>
      </c>
    </row>
    <row r="11" spans="1:8" ht="51">
      <c r="A11" s="120" t="s">
        <v>661</v>
      </c>
      <c r="B11" s="122" t="s">
        <v>664</v>
      </c>
      <c r="C11" s="120" t="s">
        <v>665</v>
      </c>
      <c r="D11" s="120" t="s">
        <v>686</v>
      </c>
    </row>
    <row r="12" spans="1:8">
      <c r="A12" s="120" t="s">
        <v>754</v>
      </c>
      <c r="B12" s="122" t="s">
        <v>752</v>
      </c>
      <c r="C12" s="120" t="s">
        <v>687</v>
      </c>
      <c r="D12" s="120" t="s">
        <v>53</v>
      </c>
    </row>
    <row r="13" spans="1:8">
      <c r="A13" s="120" t="s">
        <v>666</v>
      </c>
      <c r="B13" s="122" t="s">
        <v>753</v>
      </c>
      <c r="C13" s="120" t="s">
        <v>687</v>
      </c>
      <c r="D13" s="120" t="s">
        <v>53</v>
      </c>
    </row>
    <row r="14" spans="1:8">
      <c r="A14" s="120" t="s">
        <v>667</v>
      </c>
      <c r="B14" s="122" t="s">
        <v>668</v>
      </c>
      <c r="C14" s="120" t="s">
        <v>682</v>
      </c>
      <c r="D14" s="120" t="s">
        <v>688</v>
      </c>
    </row>
    <row r="15" spans="1:8">
      <c r="A15" s="120" t="s">
        <v>671</v>
      </c>
      <c r="B15" s="122" t="s">
        <v>669</v>
      </c>
      <c r="C15" s="120" t="s">
        <v>685</v>
      </c>
      <c r="D15" s="120" t="s">
        <v>684</v>
      </c>
    </row>
    <row r="16" spans="1:8">
      <c r="A16" s="120" t="s">
        <v>670</v>
      </c>
      <c r="B16" s="122" t="s">
        <v>672</v>
      </c>
      <c r="C16" s="120" t="s">
        <v>682</v>
      </c>
      <c r="D16" s="120" t="s">
        <v>683</v>
      </c>
    </row>
    <row r="17" spans="1:4">
      <c r="A17" s="120" t="s">
        <v>673</v>
      </c>
      <c r="B17" s="122" t="s">
        <v>674</v>
      </c>
      <c r="C17" s="120" t="s">
        <v>675</v>
      </c>
      <c r="D17" s="120" t="s">
        <v>53</v>
      </c>
    </row>
    <row r="18" spans="1:4">
      <c r="A18" s="120" t="s">
        <v>676</v>
      </c>
      <c r="B18" s="122" t="s">
        <v>680</v>
      </c>
      <c r="C18" s="120" t="s">
        <v>681</v>
      </c>
      <c r="D18" s="120" t="s">
        <v>681</v>
      </c>
    </row>
    <row r="19" spans="1:4">
      <c r="A19" s="120" t="s">
        <v>677</v>
      </c>
      <c r="B19" s="122" t="s">
        <v>678</v>
      </c>
      <c r="C19" s="120" t="s">
        <v>679</v>
      </c>
      <c r="D19" s="120" t="s">
        <v>53</v>
      </c>
    </row>
  </sheetData>
  <mergeCells count="1">
    <mergeCell ref="B5:H5"/>
  </mergeCells>
  <pageMargins left="0.7" right="0.7" top="0.75" bottom="0.75" header="0.3" footer="0.3"/>
  <pageSetup paperSize="119" orientation="landscape" horizontalDpi="1200" verticalDpi="1200" r:id="rId1"/>
  <headerFooter>
    <oddHeader>&amp;LAppendix E-2: Incremental Cost Calculation&amp;RClean Energy Implementation Plan</oddHeader>
    <oddFooter>&amp;LDECEMBER 17, 2021&amp;C&amp;P of &amp;N&amp;RPuget Sound Energy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3"/>
  <sheetViews>
    <sheetView topLeftCell="A22" workbookViewId="0">
      <selection activeCell="A23" sqref="A23:XFD23"/>
    </sheetView>
  </sheetViews>
  <sheetFormatPr defaultRowHeight="15"/>
  <cols>
    <col min="1" max="1" width="48.85546875" bestFit="1" customWidth="1"/>
    <col min="2" max="2" width="18.5703125" bestFit="1" customWidth="1"/>
    <col min="3" max="3" width="12.7109375" bestFit="1" customWidth="1"/>
    <col min="4" max="4" width="4.42578125" bestFit="1" customWidth="1"/>
    <col min="5" max="5" width="18.28515625" customWidth="1"/>
    <col min="6" max="6" width="22.42578125" customWidth="1"/>
    <col min="7" max="7" width="23.85546875" customWidth="1"/>
    <col min="8" max="8" width="12.5703125" bestFit="1" customWidth="1"/>
    <col min="9" max="9" width="11.28515625" customWidth="1"/>
    <col min="10" max="11" width="11.5703125" bestFit="1" customWidth="1"/>
    <col min="12" max="12" width="12.5703125" bestFit="1" customWidth="1"/>
    <col min="13" max="13" width="13.28515625" customWidth="1"/>
    <col min="14" max="14" width="12.5703125" bestFit="1" customWidth="1"/>
    <col min="18" max="18" width="12.5703125" bestFit="1" customWidth="1"/>
  </cols>
  <sheetData>
    <row r="1" spans="1:18">
      <c r="A1" s="54" t="s">
        <v>119</v>
      </c>
      <c r="B1" s="54"/>
      <c r="C1" s="54"/>
      <c r="D1" s="54"/>
      <c r="E1" s="54"/>
      <c r="F1" s="54"/>
      <c r="G1" s="54"/>
      <c r="H1" s="811" t="s">
        <v>40</v>
      </c>
      <c r="I1" s="811"/>
      <c r="J1" s="811"/>
      <c r="K1" s="811"/>
      <c r="L1" s="811"/>
      <c r="M1" s="59"/>
      <c r="N1" s="811" t="s">
        <v>41</v>
      </c>
      <c r="O1" s="811"/>
      <c r="P1" s="811"/>
      <c r="Q1" s="811"/>
      <c r="R1" s="811"/>
    </row>
    <row r="2" spans="1:18" ht="30">
      <c r="A2" s="59" t="s">
        <v>42</v>
      </c>
      <c r="B2" s="59" t="s">
        <v>43</v>
      </c>
      <c r="C2" s="59" t="s">
        <v>44</v>
      </c>
      <c r="D2" s="59" t="s">
        <v>45</v>
      </c>
      <c r="E2" s="59" t="s">
        <v>46</v>
      </c>
      <c r="F2" s="59" t="s">
        <v>47</v>
      </c>
      <c r="G2" s="59" t="s">
        <v>48</v>
      </c>
      <c r="H2" s="59">
        <v>2022</v>
      </c>
      <c r="I2" s="59">
        <v>2023</v>
      </c>
      <c r="J2" s="59">
        <v>2024</v>
      </c>
      <c r="K2" s="59">
        <v>2025</v>
      </c>
      <c r="L2" s="60" t="s">
        <v>15</v>
      </c>
      <c r="M2" s="61" t="s">
        <v>49</v>
      </c>
      <c r="N2" s="59">
        <v>2022</v>
      </c>
      <c r="O2" s="59">
        <v>2023</v>
      </c>
      <c r="P2" s="59">
        <v>2024</v>
      </c>
      <c r="Q2" s="59">
        <v>2025</v>
      </c>
      <c r="R2" s="60" t="s">
        <v>15</v>
      </c>
    </row>
    <row r="3" spans="1:18">
      <c r="A3" s="59"/>
      <c r="B3" s="59"/>
      <c r="C3" s="59"/>
      <c r="D3" s="59"/>
      <c r="E3" s="59"/>
      <c r="F3" s="59"/>
      <c r="G3" s="59"/>
      <c r="H3" s="59"/>
      <c r="I3" s="59"/>
      <c r="J3" s="59"/>
      <c r="K3" s="59"/>
      <c r="L3" s="60"/>
      <c r="M3" s="61"/>
      <c r="N3" s="59"/>
      <c r="O3" s="59"/>
      <c r="P3" s="59"/>
      <c r="Q3" s="59"/>
      <c r="R3" s="60"/>
    </row>
    <row r="4" spans="1:18">
      <c r="A4" s="62" t="s">
        <v>50</v>
      </c>
      <c r="B4" s="59"/>
      <c r="C4" s="59"/>
      <c r="D4" s="59"/>
      <c r="E4" s="59"/>
      <c r="F4" s="59"/>
      <c r="G4" s="59"/>
      <c r="H4" s="59"/>
      <c r="I4" s="59"/>
      <c r="J4" s="59"/>
      <c r="K4" s="59"/>
      <c r="L4" s="60"/>
      <c r="M4" s="61"/>
      <c r="N4" s="59"/>
      <c r="O4" s="59"/>
      <c r="P4" s="59"/>
      <c r="Q4" s="59"/>
      <c r="R4" s="60"/>
    </row>
    <row r="5" spans="1:18">
      <c r="A5" s="60" t="s">
        <v>51</v>
      </c>
      <c r="B5" s="57" t="s">
        <v>52</v>
      </c>
      <c r="C5" s="58" t="s">
        <v>53</v>
      </c>
      <c r="D5" s="59"/>
      <c r="E5" s="59"/>
      <c r="F5" s="63" t="s">
        <v>54</v>
      </c>
      <c r="G5" s="58" t="s">
        <v>55</v>
      </c>
      <c r="H5" s="64">
        <v>160807.5</v>
      </c>
      <c r="I5" s="64">
        <v>0</v>
      </c>
      <c r="J5" s="64">
        <v>55122.5</v>
      </c>
      <c r="K5" s="64">
        <v>0</v>
      </c>
      <c r="L5" s="65">
        <v>215930</v>
      </c>
      <c r="M5" s="74">
        <v>1</v>
      </c>
      <c r="N5" s="66">
        <v>160807.5</v>
      </c>
      <c r="O5" s="66">
        <v>0</v>
      </c>
      <c r="P5" s="66">
        <v>55122.5</v>
      </c>
      <c r="Q5" s="66">
        <v>0</v>
      </c>
      <c r="R5" s="67">
        <v>215930</v>
      </c>
    </row>
    <row r="6" spans="1:18">
      <c r="A6" s="68" t="s">
        <v>56</v>
      </c>
      <c r="B6" s="54"/>
      <c r="C6" s="54"/>
      <c r="D6" s="59"/>
      <c r="E6" s="59"/>
      <c r="F6" s="63"/>
      <c r="G6" s="54"/>
      <c r="H6" s="64">
        <v>75000</v>
      </c>
      <c r="I6" s="64">
        <v>0</v>
      </c>
      <c r="J6" s="64">
        <v>0</v>
      </c>
      <c r="K6" s="64">
        <v>0</v>
      </c>
      <c r="L6" s="65">
        <v>75000</v>
      </c>
      <c r="M6" s="54"/>
      <c r="N6" s="66">
        <v>75000</v>
      </c>
      <c r="O6" s="66">
        <v>0</v>
      </c>
      <c r="P6" s="66">
        <v>0</v>
      </c>
      <c r="Q6" s="66">
        <v>0</v>
      </c>
      <c r="R6" s="67"/>
    </row>
    <row r="7" spans="1:18">
      <c r="A7" s="69" t="s">
        <v>57</v>
      </c>
      <c r="B7" s="54"/>
      <c r="C7" s="54"/>
      <c r="D7" s="59"/>
      <c r="E7" s="59"/>
      <c r="F7" s="63"/>
      <c r="G7" s="54"/>
      <c r="H7" s="56"/>
      <c r="I7" s="66"/>
      <c r="J7" s="66"/>
      <c r="K7" s="54"/>
      <c r="L7" s="67">
        <v>0</v>
      </c>
      <c r="M7" s="54"/>
      <c r="N7" s="66"/>
      <c r="O7" s="66"/>
      <c r="P7" s="66"/>
      <c r="Q7" s="54"/>
      <c r="R7" s="67"/>
    </row>
    <row r="8" spans="1:18">
      <c r="A8" s="69" t="s">
        <v>58</v>
      </c>
      <c r="B8" s="54"/>
      <c r="C8" s="54"/>
      <c r="D8" s="59"/>
      <c r="E8" s="59"/>
      <c r="F8" s="63"/>
      <c r="G8" s="54"/>
      <c r="H8" s="56">
        <v>75000</v>
      </c>
      <c r="I8" s="56"/>
      <c r="J8" s="56"/>
      <c r="K8" s="56"/>
      <c r="L8" s="67">
        <v>75000</v>
      </c>
      <c r="M8" s="54"/>
      <c r="N8" s="66"/>
      <c r="O8" s="66"/>
      <c r="P8" s="66"/>
      <c r="Q8" s="54"/>
      <c r="R8" s="67"/>
    </row>
    <row r="9" spans="1:18">
      <c r="A9" s="69" t="s">
        <v>59</v>
      </c>
      <c r="B9" s="54"/>
      <c r="C9" s="54"/>
      <c r="D9" s="59"/>
      <c r="E9" s="59"/>
      <c r="F9" s="63"/>
      <c r="G9" s="54"/>
      <c r="H9" s="56"/>
      <c r="I9" s="56"/>
      <c r="J9" s="56"/>
      <c r="K9" s="56"/>
      <c r="L9" s="67">
        <v>0</v>
      </c>
      <c r="M9" s="54"/>
      <c r="N9" s="66"/>
      <c r="O9" s="66"/>
      <c r="P9" s="66"/>
      <c r="Q9" s="54"/>
      <c r="R9" s="67"/>
    </row>
    <row r="10" spans="1:18">
      <c r="A10" s="69" t="s">
        <v>60</v>
      </c>
      <c r="B10" s="54"/>
      <c r="C10" s="54"/>
      <c r="D10" s="59"/>
      <c r="E10" s="59"/>
      <c r="F10" s="63"/>
      <c r="G10" s="54"/>
      <c r="H10" s="56"/>
      <c r="I10" s="56"/>
      <c r="J10" s="56"/>
      <c r="K10" s="56"/>
      <c r="L10" s="67">
        <v>0</v>
      </c>
      <c r="M10" s="54"/>
      <c r="N10" s="66"/>
      <c r="O10" s="66"/>
      <c r="P10" s="66"/>
      <c r="Q10" s="54"/>
      <c r="R10" s="67"/>
    </row>
    <row r="11" spans="1:18">
      <c r="A11" s="68" t="s">
        <v>61</v>
      </c>
      <c r="B11" s="54"/>
      <c r="C11" s="54"/>
      <c r="D11" s="59"/>
      <c r="E11" s="59"/>
      <c r="F11" s="63"/>
      <c r="G11" s="54"/>
      <c r="H11" s="64">
        <v>85807.5</v>
      </c>
      <c r="I11" s="64">
        <v>0</v>
      </c>
      <c r="J11" s="64">
        <v>55122.5</v>
      </c>
      <c r="K11" s="64">
        <v>0</v>
      </c>
      <c r="L11" s="65">
        <v>140930</v>
      </c>
      <c r="M11" s="54"/>
      <c r="N11" s="66">
        <v>85807.5</v>
      </c>
      <c r="O11" s="66">
        <v>0</v>
      </c>
      <c r="P11" s="66">
        <v>55122.5</v>
      </c>
      <c r="Q11" s="66">
        <v>0</v>
      </c>
      <c r="R11" s="67">
        <v>140930</v>
      </c>
    </row>
    <row r="12" spans="1:18">
      <c r="A12" s="69" t="s">
        <v>57</v>
      </c>
      <c r="B12" s="54"/>
      <c r="C12" s="54"/>
      <c r="D12" s="59"/>
      <c r="E12" s="59"/>
      <c r="F12" s="63"/>
      <c r="G12" s="54"/>
      <c r="H12" s="70">
        <v>85807.5</v>
      </c>
      <c r="I12" s="70">
        <v>0</v>
      </c>
      <c r="J12" s="70">
        <v>55122.5</v>
      </c>
      <c r="K12" s="70">
        <v>0</v>
      </c>
      <c r="L12" s="67">
        <v>140930</v>
      </c>
      <c r="M12" s="54"/>
      <c r="N12" s="66"/>
      <c r="O12" s="66"/>
      <c r="P12" s="66"/>
      <c r="Q12" s="54"/>
      <c r="R12" s="67"/>
    </row>
    <row r="13" spans="1:18">
      <c r="A13" s="69" t="s">
        <v>58</v>
      </c>
      <c r="B13" s="54"/>
      <c r="C13" s="54"/>
      <c r="D13" s="59"/>
      <c r="E13" s="59"/>
      <c r="F13" s="63"/>
      <c r="G13" s="54"/>
      <c r="H13" s="56"/>
      <c r="I13" s="56"/>
      <c r="J13" s="56"/>
      <c r="K13" s="56"/>
      <c r="L13" s="67">
        <v>0</v>
      </c>
      <c r="M13" s="54"/>
      <c r="N13" s="66"/>
      <c r="O13" s="66"/>
      <c r="P13" s="66"/>
      <c r="Q13" s="54"/>
      <c r="R13" s="67"/>
    </row>
    <row r="14" spans="1:18">
      <c r="A14" s="69" t="s">
        <v>60</v>
      </c>
      <c r="B14" s="54"/>
      <c r="C14" s="54"/>
      <c r="D14" s="59"/>
      <c r="E14" s="59"/>
      <c r="F14" s="63"/>
      <c r="G14" s="54"/>
      <c r="H14" s="56"/>
      <c r="I14" s="56"/>
      <c r="J14" s="56"/>
      <c r="K14" s="56"/>
      <c r="L14" s="67">
        <v>0</v>
      </c>
      <c r="M14" s="54"/>
      <c r="N14" s="66"/>
      <c r="O14" s="66"/>
      <c r="P14" s="66"/>
      <c r="Q14" s="54"/>
      <c r="R14" s="67"/>
    </row>
    <row r="15" spans="1:18">
      <c r="A15" s="60" t="s">
        <v>62</v>
      </c>
      <c r="B15" s="57" t="s">
        <v>52</v>
      </c>
      <c r="C15" s="58" t="s">
        <v>53</v>
      </c>
      <c r="D15" s="59"/>
      <c r="E15" s="59"/>
      <c r="F15" s="63" t="s">
        <v>63</v>
      </c>
      <c r="G15" s="58" t="s">
        <v>64</v>
      </c>
      <c r="H15" s="64">
        <v>0</v>
      </c>
      <c r="I15" s="64">
        <v>0</v>
      </c>
      <c r="J15" s="64">
        <v>0</v>
      </c>
      <c r="K15" s="64">
        <v>200000</v>
      </c>
      <c r="L15" s="65">
        <v>200000</v>
      </c>
      <c r="M15" s="74">
        <v>1</v>
      </c>
      <c r="N15" s="66">
        <v>0</v>
      </c>
      <c r="O15" s="66">
        <v>0</v>
      </c>
      <c r="P15" s="66">
        <v>0</v>
      </c>
      <c r="Q15" s="66">
        <v>200000</v>
      </c>
      <c r="R15" s="67">
        <v>200000</v>
      </c>
    </row>
    <row r="16" spans="1:18">
      <c r="A16" s="68" t="s">
        <v>56</v>
      </c>
      <c r="B16" s="54"/>
      <c r="C16" s="54"/>
      <c r="D16" s="59"/>
      <c r="E16" s="59"/>
      <c r="F16" s="63"/>
      <c r="G16" s="54"/>
      <c r="H16" s="64">
        <v>0</v>
      </c>
      <c r="I16" s="64">
        <v>0</v>
      </c>
      <c r="J16" s="64">
        <v>0</v>
      </c>
      <c r="K16" s="64">
        <v>200000</v>
      </c>
      <c r="L16" s="65">
        <v>200000</v>
      </c>
      <c r="M16" s="54"/>
      <c r="N16" s="66">
        <v>0</v>
      </c>
      <c r="O16" s="66">
        <v>0</v>
      </c>
      <c r="P16" s="66">
        <v>0</v>
      </c>
      <c r="Q16" s="66">
        <v>200000</v>
      </c>
      <c r="R16" s="67">
        <v>200000</v>
      </c>
    </row>
    <row r="17" spans="1:18">
      <c r="A17" s="69" t="s">
        <v>57</v>
      </c>
      <c r="B17" s="54"/>
      <c r="C17" s="54"/>
      <c r="D17" s="59"/>
      <c r="E17" s="59"/>
      <c r="F17" s="63"/>
      <c r="G17" s="54"/>
      <c r="H17" s="66"/>
      <c r="I17" s="66"/>
      <c r="J17" s="66"/>
      <c r="K17" s="54"/>
      <c r="L17" s="67">
        <v>0</v>
      </c>
      <c r="M17" s="54"/>
      <c r="N17" s="66"/>
      <c r="O17" s="66"/>
      <c r="P17" s="66"/>
      <c r="Q17" s="54"/>
      <c r="R17" s="67"/>
    </row>
    <row r="18" spans="1:18">
      <c r="A18" s="69" t="s">
        <v>58</v>
      </c>
      <c r="B18" s="54"/>
      <c r="C18" s="54"/>
      <c r="D18" s="59"/>
      <c r="E18" s="59"/>
      <c r="F18" s="63"/>
      <c r="G18" s="54"/>
      <c r="H18" s="56"/>
      <c r="I18" s="56"/>
      <c r="J18" s="56"/>
      <c r="K18" s="56">
        <v>200000</v>
      </c>
      <c r="L18" s="67">
        <v>200000</v>
      </c>
      <c r="M18" s="54"/>
      <c r="N18" s="66"/>
      <c r="O18" s="66"/>
      <c r="P18" s="66"/>
      <c r="Q18" s="54"/>
      <c r="R18" s="67"/>
    </row>
    <row r="19" spans="1:18">
      <c r="A19" s="69" t="s">
        <v>59</v>
      </c>
      <c r="B19" s="54"/>
      <c r="C19" s="54"/>
      <c r="D19" s="59"/>
      <c r="E19" s="59"/>
      <c r="F19" s="63"/>
      <c r="G19" s="54"/>
      <c r="H19" s="56"/>
      <c r="I19" s="56"/>
      <c r="J19" s="56"/>
      <c r="K19" s="56"/>
      <c r="L19" s="67">
        <v>0</v>
      </c>
      <c r="M19" s="54"/>
      <c r="N19" s="66"/>
      <c r="O19" s="66"/>
      <c r="P19" s="66"/>
      <c r="Q19" s="54"/>
      <c r="R19" s="67"/>
    </row>
    <row r="20" spans="1:18">
      <c r="A20" s="69" t="s">
        <v>60</v>
      </c>
      <c r="B20" s="54"/>
      <c r="C20" s="54"/>
      <c r="D20" s="59"/>
      <c r="E20" s="59"/>
      <c r="F20" s="63"/>
      <c r="G20" s="54"/>
      <c r="H20" s="56"/>
      <c r="I20" s="56"/>
      <c r="J20" s="56"/>
      <c r="K20" s="56"/>
      <c r="L20" s="67">
        <v>0</v>
      </c>
      <c r="M20" s="54"/>
      <c r="N20" s="66"/>
      <c r="O20" s="66"/>
      <c r="P20" s="66"/>
      <c r="Q20" s="54"/>
      <c r="R20" s="67"/>
    </row>
    <row r="21" spans="1:18">
      <c r="A21" s="68" t="s">
        <v>61</v>
      </c>
      <c r="B21" s="54"/>
      <c r="C21" s="54"/>
      <c r="D21" s="59"/>
      <c r="E21" s="59"/>
      <c r="F21" s="63"/>
      <c r="G21" s="54"/>
      <c r="H21" s="64">
        <v>0</v>
      </c>
      <c r="I21" s="64">
        <v>0</v>
      </c>
      <c r="J21" s="64">
        <v>0</v>
      </c>
      <c r="K21" s="64">
        <v>0</v>
      </c>
      <c r="L21" s="65">
        <v>0</v>
      </c>
      <c r="M21" s="54"/>
      <c r="N21" s="66">
        <v>0</v>
      </c>
      <c r="O21" s="66">
        <v>0</v>
      </c>
      <c r="P21" s="66">
        <v>0</v>
      </c>
      <c r="Q21" s="66">
        <v>0</v>
      </c>
      <c r="R21" s="67">
        <v>0</v>
      </c>
    </row>
    <row r="22" spans="1:18">
      <c r="A22" s="69" t="s">
        <v>57</v>
      </c>
      <c r="B22" s="54"/>
      <c r="C22" s="54"/>
      <c r="D22" s="59"/>
      <c r="E22" s="59"/>
      <c r="F22" s="63"/>
      <c r="G22" s="54"/>
      <c r="H22" s="70">
        <v>0</v>
      </c>
      <c r="I22" s="70">
        <v>0</v>
      </c>
      <c r="J22" s="70">
        <v>0</v>
      </c>
      <c r="K22" s="70">
        <v>0</v>
      </c>
      <c r="L22" s="67">
        <v>0</v>
      </c>
      <c r="M22" s="54"/>
      <c r="N22" s="66"/>
      <c r="O22" s="66"/>
      <c r="P22" s="66"/>
      <c r="Q22" s="54"/>
      <c r="R22" s="67"/>
    </row>
    <row r="23" spans="1:18">
      <c r="A23" s="69" t="s">
        <v>58</v>
      </c>
      <c r="B23" s="54"/>
      <c r="C23" s="54"/>
      <c r="D23" s="59"/>
      <c r="E23" s="59"/>
      <c r="F23" s="63"/>
      <c r="G23" s="54"/>
      <c r="H23" s="56"/>
      <c r="I23" s="56"/>
      <c r="J23" s="56"/>
      <c r="K23" s="56"/>
      <c r="L23" s="67">
        <v>0</v>
      </c>
      <c r="M23" s="54"/>
      <c r="N23" s="66"/>
      <c r="O23" s="66"/>
      <c r="P23" s="66"/>
      <c r="Q23" s="54"/>
      <c r="R23" s="67"/>
    </row>
    <row r="24" spans="1:18">
      <c r="A24" s="69" t="s">
        <v>60</v>
      </c>
      <c r="B24" s="54"/>
      <c r="C24" s="54"/>
      <c r="D24" s="59"/>
      <c r="E24" s="59"/>
      <c r="F24" s="63"/>
      <c r="G24" s="54"/>
      <c r="H24" s="56"/>
      <c r="I24" s="56"/>
      <c r="J24" s="56"/>
      <c r="K24" s="56"/>
      <c r="L24" s="67">
        <v>0</v>
      </c>
      <c r="M24" s="54"/>
      <c r="N24" s="66"/>
      <c r="O24" s="66"/>
      <c r="P24" s="66"/>
      <c r="Q24" s="54"/>
      <c r="R24" s="67"/>
    </row>
    <row r="25" spans="1:18">
      <c r="A25" s="60" t="s">
        <v>65</v>
      </c>
      <c r="B25" s="57" t="s">
        <v>66</v>
      </c>
      <c r="C25" s="58" t="s">
        <v>53</v>
      </c>
      <c r="D25" s="59"/>
      <c r="E25" s="59"/>
      <c r="F25" s="63" t="s">
        <v>67</v>
      </c>
      <c r="G25" s="58" t="s">
        <v>64</v>
      </c>
      <c r="H25" s="64">
        <v>0</v>
      </c>
      <c r="I25" s="64">
        <v>0</v>
      </c>
      <c r="J25" s="64">
        <v>0</v>
      </c>
      <c r="K25" s="64">
        <v>0</v>
      </c>
      <c r="L25" s="65">
        <v>0</v>
      </c>
      <c r="M25" s="74">
        <v>1</v>
      </c>
      <c r="N25" s="66">
        <v>0</v>
      </c>
      <c r="O25" s="66">
        <v>0</v>
      </c>
      <c r="P25" s="66">
        <v>0</v>
      </c>
      <c r="Q25" s="66">
        <v>0</v>
      </c>
      <c r="R25" s="67">
        <v>0</v>
      </c>
    </row>
    <row r="26" spans="1:18">
      <c r="A26" s="68" t="s">
        <v>56</v>
      </c>
      <c r="B26" s="54"/>
      <c r="C26" s="54"/>
      <c r="D26" s="59"/>
      <c r="E26" s="59"/>
      <c r="F26" s="63"/>
      <c r="G26" s="54"/>
      <c r="H26" s="64">
        <v>0</v>
      </c>
      <c r="I26" s="64">
        <v>0</v>
      </c>
      <c r="J26" s="64">
        <v>0</v>
      </c>
      <c r="K26" s="64">
        <v>0</v>
      </c>
      <c r="L26" s="65">
        <v>0</v>
      </c>
      <c r="M26" s="54"/>
      <c r="N26" s="66">
        <v>0</v>
      </c>
      <c r="O26" s="66">
        <v>0</v>
      </c>
      <c r="P26" s="66">
        <v>0</v>
      </c>
      <c r="Q26" s="66">
        <v>0</v>
      </c>
      <c r="R26" s="67">
        <v>0</v>
      </c>
    </row>
    <row r="27" spans="1:18">
      <c r="A27" s="69" t="s">
        <v>57</v>
      </c>
      <c r="B27" s="54"/>
      <c r="C27" s="54"/>
      <c r="D27" s="59"/>
      <c r="E27" s="59"/>
      <c r="F27" s="63"/>
      <c r="G27" s="54"/>
      <c r="H27" s="56"/>
      <c r="I27" s="56"/>
      <c r="J27" s="56"/>
      <c r="K27" s="56"/>
      <c r="L27" s="67">
        <v>0</v>
      </c>
      <c r="M27" s="54"/>
      <c r="N27" s="66"/>
      <c r="O27" s="66"/>
      <c r="P27" s="66"/>
      <c r="Q27" s="54"/>
      <c r="R27" s="67"/>
    </row>
    <row r="28" spans="1:18">
      <c r="A28" s="69" t="s">
        <v>58</v>
      </c>
      <c r="B28" s="54"/>
      <c r="C28" s="54"/>
      <c r="D28" s="59"/>
      <c r="E28" s="59"/>
      <c r="F28" s="63"/>
      <c r="G28" s="54"/>
      <c r="H28" s="56"/>
      <c r="I28" s="56"/>
      <c r="J28" s="56"/>
      <c r="K28" s="56"/>
      <c r="L28" s="67">
        <v>0</v>
      </c>
      <c r="M28" s="54"/>
      <c r="N28" s="66"/>
      <c r="O28" s="66"/>
      <c r="P28" s="66"/>
      <c r="Q28" s="54"/>
      <c r="R28" s="67"/>
    </row>
    <row r="29" spans="1:18">
      <c r="A29" s="69" t="s">
        <v>59</v>
      </c>
      <c r="B29" s="54"/>
      <c r="C29" s="54"/>
      <c r="D29" s="59"/>
      <c r="E29" s="59"/>
      <c r="F29" s="63"/>
      <c r="G29" s="54"/>
      <c r="H29" s="56"/>
      <c r="I29" s="56"/>
      <c r="J29" s="56"/>
      <c r="K29" s="56"/>
      <c r="L29" s="67">
        <v>0</v>
      </c>
      <c r="M29" s="54"/>
      <c r="N29" s="66"/>
      <c r="O29" s="66"/>
      <c r="P29" s="66"/>
      <c r="Q29" s="54"/>
      <c r="R29" s="67"/>
    </row>
    <row r="30" spans="1:18">
      <c r="A30" s="69" t="s">
        <v>60</v>
      </c>
      <c r="B30" s="54"/>
      <c r="C30" s="54"/>
      <c r="D30" s="59"/>
      <c r="E30" s="59"/>
      <c r="F30" s="63"/>
      <c r="G30" s="54"/>
      <c r="H30" s="56"/>
      <c r="I30" s="56"/>
      <c r="J30" s="56"/>
      <c r="K30" s="56"/>
      <c r="L30" s="67">
        <v>0</v>
      </c>
      <c r="M30" s="54"/>
      <c r="N30" s="66"/>
      <c r="O30" s="66"/>
      <c r="P30" s="66"/>
      <c r="Q30" s="54"/>
      <c r="R30" s="67"/>
    </row>
    <row r="31" spans="1:18">
      <c r="A31" s="68" t="s">
        <v>61</v>
      </c>
      <c r="B31" s="54"/>
      <c r="C31" s="54"/>
      <c r="D31" s="59"/>
      <c r="E31" s="59"/>
      <c r="F31" s="63"/>
      <c r="G31" s="54"/>
      <c r="H31" s="64">
        <v>0</v>
      </c>
      <c r="I31" s="64">
        <v>0</v>
      </c>
      <c r="J31" s="64">
        <v>0</v>
      </c>
      <c r="K31" s="64">
        <v>0</v>
      </c>
      <c r="L31" s="65">
        <v>0</v>
      </c>
      <c r="M31" s="54"/>
      <c r="N31" s="66">
        <v>0</v>
      </c>
      <c r="O31" s="66">
        <v>0</v>
      </c>
      <c r="P31" s="66">
        <v>0</v>
      </c>
      <c r="Q31" s="66">
        <v>0</v>
      </c>
      <c r="R31" s="67">
        <v>0</v>
      </c>
    </row>
    <row r="32" spans="1:18">
      <c r="A32" s="69" t="s">
        <v>57</v>
      </c>
      <c r="B32" s="54"/>
      <c r="C32" s="54"/>
      <c r="D32" s="59"/>
      <c r="E32" s="59"/>
      <c r="F32" s="63"/>
      <c r="G32" s="54"/>
      <c r="H32" s="70">
        <v>0</v>
      </c>
      <c r="I32" s="70">
        <v>0</v>
      </c>
      <c r="J32" s="70">
        <v>0</v>
      </c>
      <c r="K32" s="70">
        <v>0</v>
      </c>
      <c r="L32" s="67">
        <v>0</v>
      </c>
      <c r="M32" s="54"/>
      <c r="N32" s="66"/>
      <c r="O32" s="66"/>
      <c r="P32" s="66"/>
      <c r="Q32" s="54"/>
      <c r="R32" s="67"/>
    </row>
    <row r="33" spans="1:18">
      <c r="A33" s="69" t="s">
        <v>58</v>
      </c>
      <c r="B33" s="54"/>
      <c r="C33" s="54"/>
      <c r="D33" s="59"/>
      <c r="E33" s="59"/>
      <c r="F33" s="63"/>
      <c r="G33" s="54"/>
      <c r="H33" s="56"/>
      <c r="I33" s="56"/>
      <c r="J33" s="56"/>
      <c r="K33" s="56"/>
      <c r="L33" s="67">
        <v>0</v>
      </c>
      <c r="M33" s="54"/>
      <c r="N33" s="66"/>
      <c r="O33" s="66"/>
      <c r="P33" s="66"/>
      <c r="Q33" s="54"/>
      <c r="R33" s="67"/>
    </row>
    <row r="34" spans="1:18">
      <c r="A34" s="69" t="s">
        <v>60</v>
      </c>
      <c r="B34" s="54"/>
      <c r="C34" s="54"/>
      <c r="D34" s="59"/>
      <c r="E34" s="59"/>
      <c r="F34" s="63"/>
      <c r="G34" s="54"/>
      <c r="H34" s="56"/>
      <c r="I34" s="56"/>
      <c r="J34" s="56"/>
      <c r="K34" s="56"/>
      <c r="L34" s="67">
        <v>0</v>
      </c>
      <c r="M34" s="54"/>
      <c r="N34" s="66"/>
      <c r="O34" s="66"/>
      <c r="P34" s="66"/>
      <c r="Q34" s="54"/>
      <c r="R34" s="67"/>
    </row>
    <row r="35" spans="1:18">
      <c r="A35" s="60" t="s">
        <v>68</v>
      </c>
      <c r="B35" s="57" t="s">
        <v>69</v>
      </c>
      <c r="C35" s="58" t="s">
        <v>53</v>
      </c>
      <c r="D35" s="59"/>
      <c r="E35" s="59"/>
      <c r="F35" s="63" t="s">
        <v>70</v>
      </c>
      <c r="G35" s="58" t="s">
        <v>71</v>
      </c>
      <c r="H35" s="64">
        <v>142154</v>
      </c>
      <c r="I35" s="64">
        <v>258315</v>
      </c>
      <c r="J35" s="64">
        <v>193511</v>
      </c>
      <c r="K35" s="64">
        <v>193511</v>
      </c>
      <c r="L35" s="65">
        <v>787491</v>
      </c>
      <c r="M35" s="74">
        <v>1</v>
      </c>
      <c r="N35" s="66">
        <v>142154</v>
      </c>
      <c r="O35" s="66">
        <v>258315</v>
      </c>
      <c r="P35" s="66">
        <v>193511</v>
      </c>
      <c r="Q35" s="66">
        <v>193511</v>
      </c>
      <c r="R35" s="67">
        <v>787491</v>
      </c>
    </row>
    <row r="36" spans="1:18">
      <c r="A36" s="68" t="s">
        <v>56</v>
      </c>
      <c r="B36" s="54"/>
      <c r="C36" s="54"/>
      <c r="D36" s="59"/>
      <c r="E36" s="59"/>
      <c r="F36" s="63"/>
      <c r="G36" s="54"/>
      <c r="H36" s="64">
        <v>0</v>
      </c>
      <c r="I36" s="64">
        <v>0</v>
      </c>
      <c r="J36" s="64">
        <v>0</v>
      </c>
      <c r="K36" s="64">
        <v>0</v>
      </c>
      <c r="L36" s="65">
        <v>0</v>
      </c>
      <c r="M36" s="54"/>
      <c r="N36" s="66">
        <v>0</v>
      </c>
      <c r="O36" s="66">
        <v>0</v>
      </c>
      <c r="P36" s="66">
        <v>0</v>
      </c>
      <c r="Q36" s="66">
        <v>0</v>
      </c>
      <c r="R36" s="67">
        <v>0</v>
      </c>
    </row>
    <row r="37" spans="1:18">
      <c r="A37" s="69" t="s">
        <v>57</v>
      </c>
      <c r="B37" s="54"/>
      <c r="C37" s="54"/>
      <c r="D37" s="59"/>
      <c r="E37" s="59"/>
      <c r="F37" s="63"/>
      <c r="G37" s="54"/>
      <c r="H37" s="56"/>
      <c r="I37" s="56"/>
      <c r="J37" s="56"/>
      <c r="K37" s="56"/>
      <c r="L37" s="67">
        <v>0</v>
      </c>
      <c r="M37" s="54"/>
      <c r="N37" s="66"/>
      <c r="O37" s="66"/>
      <c r="P37" s="66"/>
      <c r="Q37" s="54"/>
      <c r="R37" s="67"/>
    </row>
    <row r="38" spans="1:18">
      <c r="A38" s="69" t="s">
        <v>58</v>
      </c>
      <c r="B38" s="54"/>
      <c r="C38" s="54"/>
      <c r="D38" s="59"/>
      <c r="E38" s="59"/>
      <c r="F38" s="63"/>
      <c r="G38" s="54"/>
      <c r="H38" s="56"/>
      <c r="I38" s="56"/>
      <c r="J38" s="56"/>
      <c r="K38" s="56"/>
      <c r="L38" s="67">
        <v>0</v>
      </c>
      <c r="M38" s="54"/>
      <c r="N38" s="66"/>
      <c r="O38" s="66"/>
      <c r="P38" s="66"/>
      <c r="Q38" s="54"/>
      <c r="R38" s="67"/>
    </row>
    <row r="39" spans="1:18">
      <c r="A39" s="69" t="s">
        <v>59</v>
      </c>
      <c r="B39" s="54"/>
      <c r="C39" s="54"/>
      <c r="D39" s="59"/>
      <c r="E39" s="59"/>
      <c r="F39" s="63"/>
      <c r="G39" s="54"/>
      <c r="H39" s="56"/>
      <c r="I39" s="56"/>
      <c r="J39" s="56"/>
      <c r="K39" s="56"/>
      <c r="L39" s="67">
        <v>0</v>
      </c>
      <c r="M39" s="54"/>
      <c r="N39" s="66"/>
      <c r="O39" s="66"/>
      <c r="P39" s="66"/>
      <c r="Q39" s="54"/>
      <c r="R39" s="67"/>
    </row>
    <row r="40" spans="1:18">
      <c r="A40" s="69" t="s">
        <v>60</v>
      </c>
      <c r="B40" s="54"/>
      <c r="C40" s="54"/>
      <c r="D40" s="59"/>
      <c r="E40" s="59"/>
      <c r="F40" s="63"/>
      <c r="G40" s="54"/>
      <c r="H40" s="56"/>
      <c r="I40" s="56"/>
      <c r="J40" s="56"/>
      <c r="K40" s="56"/>
      <c r="L40" s="67">
        <v>0</v>
      </c>
      <c r="M40" s="54"/>
      <c r="N40" s="66"/>
      <c r="O40" s="66"/>
      <c r="P40" s="66"/>
      <c r="Q40" s="54"/>
      <c r="R40" s="67"/>
    </row>
    <row r="41" spans="1:18">
      <c r="A41" s="68" t="s">
        <v>61</v>
      </c>
      <c r="B41" s="54"/>
      <c r="C41" s="54"/>
      <c r="D41" s="59"/>
      <c r="E41" s="59"/>
      <c r="F41" s="63"/>
      <c r="G41" s="54"/>
      <c r="H41" s="64">
        <v>142154</v>
      </c>
      <c r="I41" s="64">
        <v>258315</v>
      </c>
      <c r="J41" s="64">
        <v>193511</v>
      </c>
      <c r="K41" s="64">
        <v>193511</v>
      </c>
      <c r="L41" s="65">
        <v>787491</v>
      </c>
      <c r="M41" s="54"/>
      <c r="N41" s="66">
        <v>142154</v>
      </c>
      <c r="O41" s="66">
        <v>258315</v>
      </c>
      <c r="P41" s="66">
        <v>193511</v>
      </c>
      <c r="Q41" s="66">
        <v>193511</v>
      </c>
      <c r="R41" s="67">
        <v>787491</v>
      </c>
    </row>
    <row r="42" spans="1:18">
      <c r="A42" s="69" t="s">
        <v>57</v>
      </c>
      <c r="B42" s="54"/>
      <c r="C42" s="54"/>
      <c r="D42" s="59"/>
      <c r="E42" s="59"/>
      <c r="F42" s="63"/>
      <c r="G42" s="54"/>
      <c r="H42" s="70">
        <v>142154</v>
      </c>
      <c r="I42" s="70">
        <v>258315</v>
      </c>
      <c r="J42" s="70">
        <v>193511</v>
      </c>
      <c r="K42" s="70">
        <v>193511</v>
      </c>
      <c r="L42" s="67">
        <v>787491</v>
      </c>
      <c r="M42" s="54"/>
      <c r="N42" s="66"/>
      <c r="O42" s="66"/>
      <c r="P42" s="66"/>
      <c r="Q42" s="54"/>
      <c r="R42" s="67"/>
    </row>
    <row r="43" spans="1:18">
      <c r="A43" s="69" t="s">
        <v>58</v>
      </c>
      <c r="B43" s="54"/>
      <c r="C43" s="54"/>
      <c r="D43" s="59"/>
      <c r="E43" s="59"/>
      <c r="F43" s="63"/>
      <c r="G43" s="54"/>
      <c r="H43" s="56"/>
      <c r="I43" s="56"/>
      <c r="J43" s="56"/>
      <c r="K43" s="56"/>
      <c r="L43" s="67">
        <v>0</v>
      </c>
      <c r="M43" s="54"/>
      <c r="N43" s="66"/>
      <c r="O43" s="66"/>
      <c r="P43" s="66"/>
      <c r="Q43" s="54"/>
      <c r="R43" s="67"/>
    </row>
    <row r="44" spans="1:18">
      <c r="A44" s="69" t="s">
        <v>60</v>
      </c>
      <c r="B44" s="54"/>
      <c r="C44" s="54"/>
      <c r="D44" s="59"/>
      <c r="E44" s="59"/>
      <c r="F44" s="63"/>
      <c r="G44" s="54"/>
      <c r="H44" s="56"/>
      <c r="I44" s="56"/>
      <c r="J44" s="56"/>
      <c r="K44" s="56"/>
      <c r="L44" s="67">
        <v>0</v>
      </c>
      <c r="M44" s="54"/>
      <c r="N44" s="66"/>
      <c r="O44" s="66"/>
      <c r="P44" s="66"/>
      <c r="Q44" s="54"/>
      <c r="R44" s="67"/>
    </row>
    <row r="45" spans="1:18">
      <c r="A45" s="60" t="s">
        <v>72</v>
      </c>
      <c r="B45" s="57" t="s">
        <v>69</v>
      </c>
      <c r="C45" s="58" t="s">
        <v>53</v>
      </c>
      <c r="D45" s="59"/>
      <c r="E45" s="59"/>
      <c r="F45" s="63" t="s">
        <v>73</v>
      </c>
      <c r="G45" s="58" t="s">
        <v>74</v>
      </c>
      <c r="H45" s="64">
        <v>376495</v>
      </c>
      <c r="I45" s="64">
        <v>185245</v>
      </c>
      <c r="J45" s="64">
        <v>36711.5</v>
      </c>
      <c r="K45" s="64">
        <v>36711.5</v>
      </c>
      <c r="L45" s="65">
        <v>635163</v>
      </c>
      <c r="M45" s="74">
        <v>1</v>
      </c>
      <c r="N45" s="66">
        <v>376495</v>
      </c>
      <c r="O45" s="66">
        <v>185245</v>
      </c>
      <c r="P45" s="66">
        <v>36711.5</v>
      </c>
      <c r="Q45" s="66">
        <v>36711.5</v>
      </c>
      <c r="R45" s="67">
        <v>635163</v>
      </c>
    </row>
    <row r="46" spans="1:18">
      <c r="A46" s="68" t="s">
        <v>56</v>
      </c>
      <c r="B46" s="54"/>
      <c r="C46" s="54"/>
      <c r="D46" s="59"/>
      <c r="E46" s="59"/>
      <c r="F46" s="63"/>
      <c r="G46" s="54"/>
      <c r="H46" s="64">
        <v>0</v>
      </c>
      <c r="I46" s="64">
        <v>0</v>
      </c>
      <c r="J46" s="64">
        <v>0</v>
      </c>
      <c r="K46" s="64">
        <v>0</v>
      </c>
      <c r="L46" s="65">
        <v>0</v>
      </c>
      <c r="M46" s="54"/>
      <c r="N46" s="66">
        <v>0</v>
      </c>
      <c r="O46" s="66">
        <v>0</v>
      </c>
      <c r="P46" s="66">
        <v>0</v>
      </c>
      <c r="Q46" s="66">
        <v>0</v>
      </c>
      <c r="R46" s="67">
        <v>0</v>
      </c>
    </row>
    <row r="47" spans="1:18">
      <c r="A47" s="69" t="s">
        <v>57</v>
      </c>
      <c r="B47" s="54"/>
      <c r="C47" s="54"/>
      <c r="D47" s="59"/>
      <c r="E47" s="59"/>
      <c r="F47" s="63"/>
      <c r="G47" s="54"/>
      <c r="H47" s="56"/>
      <c r="I47" s="56"/>
      <c r="J47" s="56"/>
      <c r="K47" s="56"/>
      <c r="L47" s="67">
        <v>0</v>
      </c>
      <c r="M47" s="54"/>
      <c r="N47" s="66"/>
      <c r="O47" s="66"/>
      <c r="P47" s="66"/>
      <c r="Q47" s="54"/>
      <c r="R47" s="67"/>
    </row>
    <row r="48" spans="1:18">
      <c r="A48" s="69" t="s">
        <v>58</v>
      </c>
      <c r="B48" s="54"/>
      <c r="C48" s="54"/>
      <c r="D48" s="59"/>
      <c r="E48" s="59"/>
      <c r="F48" s="63"/>
      <c r="G48" s="54"/>
      <c r="H48" s="56"/>
      <c r="I48" s="56"/>
      <c r="J48" s="56"/>
      <c r="K48" s="56"/>
      <c r="L48" s="67">
        <v>0</v>
      </c>
      <c r="M48" s="54"/>
      <c r="N48" s="66"/>
      <c r="O48" s="66"/>
      <c r="P48" s="66"/>
      <c r="Q48" s="54"/>
      <c r="R48" s="67"/>
    </row>
    <row r="49" spans="1:18">
      <c r="A49" s="69" t="s">
        <v>59</v>
      </c>
      <c r="B49" s="54"/>
      <c r="C49" s="54"/>
      <c r="D49" s="59"/>
      <c r="E49" s="59"/>
      <c r="F49" s="63"/>
      <c r="G49" s="54"/>
      <c r="H49" s="56"/>
      <c r="I49" s="56"/>
      <c r="J49" s="56"/>
      <c r="K49" s="56"/>
      <c r="L49" s="67">
        <v>0</v>
      </c>
      <c r="M49" s="54"/>
      <c r="N49" s="66"/>
      <c r="O49" s="66"/>
      <c r="P49" s="66"/>
      <c r="Q49" s="54"/>
      <c r="R49" s="67"/>
    </row>
    <row r="50" spans="1:18">
      <c r="A50" s="69" t="s">
        <v>60</v>
      </c>
      <c r="B50" s="54"/>
      <c r="C50" s="54"/>
      <c r="D50" s="59"/>
      <c r="E50" s="59"/>
      <c r="F50" s="63"/>
      <c r="G50" s="54"/>
      <c r="H50" s="56"/>
      <c r="I50" s="56"/>
      <c r="J50" s="56"/>
      <c r="K50" s="56"/>
      <c r="L50" s="67">
        <v>0</v>
      </c>
      <c r="M50" s="54"/>
      <c r="N50" s="66"/>
      <c r="O50" s="66"/>
      <c r="P50" s="66"/>
      <c r="Q50" s="54"/>
      <c r="R50" s="67"/>
    </row>
    <row r="51" spans="1:18">
      <c r="A51" s="68" t="s">
        <v>61</v>
      </c>
      <c r="B51" s="54"/>
      <c r="C51" s="54"/>
      <c r="D51" s="59"/>
      <c r="E51" s="59"/>
      <c r="F51" s="63"/>
      <c r="G51" s="54"/>
      <c r="H51" s="64">
        <v>376495</v>
      </c>
      <c r="I51" s="64">
        <v>185245</v>
      </c>
      <c r="J51" s="64">
        <v>36711.5</v>
      </c>
      <c r="K51" s="64">
        <v>36711.5</v>
      </c>
      <c r="L51" s="65">
        <v>635163</v>
      </c>
      <c r="M51" s="54"/>
      <c r="N51" s="66">
        <v>376495</v>
      </c>
      <c r="O51" s="66">
        <v>185245</v>
      </c>
      <c r="P51" s="66">
        <v>36711.5</v>
      </c>
      <c r="Q51" s="66">
        <v>36711.5</v>
      </c>
      <c r="R51" s="67">
        <v>635163</v>
      </c>
    </row>
    <row r="52" spans="1:18">
      <c r="A52" s="69" t="s">
        <v>57</v>
      </c>
      <c r="B52" s="54"/>
      <c r="C52" s="54"/>
      <c r="D52" s="59"/>
      <c r="E52" s="59"/>
      <c r="F52" s="63"/>
      <c r="G52" s="54"/>
      <c r="H52" s="70">
        <v>301495</v>
      </c>
      <c r="I52" s="70">
        <v>110245</v>
      </c>
      <c r="J52" s="70">
        <v>36711.5</v>
      </c>
      <c r="K52" s="70">
        <v>36711.5</v>
      </c>
      <c r="L52" s="67">
        <v>485163</v>
      </c>
      <c r="M52" s="54"/>
      <c r="N52" s="66"/>
      <c r="O52" s="66"/>
      <c r="P52" s="66"/>
      <c r="Q52" s="54"/>
      <c r="R52" s="67"/>
    </row>
    <row r="53" spans="1:18">
      <c r="A53" s="69" t="s">
        <v>58</v>
      </c>
      <c r="B53" s="54"/>
      <c r="C53" s="54"/>
      <c r="D53" s="59"/>
      <c r="E53" s="59"/>
      <c r="F53" s="63"/>
      <c r="G53" s="54"/>
      <c r="H53" s="56">
        <v>75000</v>
      </c>
      <c r="I53" s="56">
        <v>75000</v>
      </c>
      <c r="J53" s="56"/>
      <c r="K53" s="56"/>
      <c r="L53" s="67">
        <v>150000</v>
      </c>
      <c r="M53" s="54"/>
      <c r="N53" s="66"/>
      <c r="O53" s="66"/>
      <c r="P53" s="66"/>
      <c r="Q53" s="54"/>
      <c r="R53" s="67"/>
    </row>
    <row r="54" spans="1:18">
      <c r="A54" s="69" t="s">
        <v>60</v>
      </c>
      <c r="B54" s="54"/>
      <c r="C54" s="54"/>
      <c r="D54" s="59"/>
      <c r="E54" s="59"/>
      <c r="F54" s="63"/>
      <c r="G54" s="54"/>
      <c r="H54" s="66"/>
      <c r="I54" s="66"/>
      <c r="J54" s="66"/>
      <c r="K54" s="54"/>
      <c r="L54" s="67">
        <v>0</v>
      </c>
      <c r="M54" s="54"/>
      <c r="N54" s="66"/>
      <c r="O54" s="66"/>
      <c r="P54" s="66"/>
      <c r="Q54" s="54"/>
      <c r="R54" s="67"/>
    </row>
    <row r="55" spans="1:18">
      <c r="A55" s="60" t="s">
        <v>75</v>
      </c>
      <c r="B55" s="57" t="s">
        <v>69</v>
      </c>
      <c r="C55" s="58" t="s">
        <v>53</v>
      </c>
      <c r="D55" s="59"/>
      <c r="E55" s="59"/>
      <c r="F55" s="63" t="s">
        <v>67</v>
      </c>
      <c r="G55" s="58" t="s">
        <v>64</v>
      </c>
      <c r="H55" s="64">
        <v>250000</v>
      </c>
      <c r="I55" s="64">
        <v>0</v>
      </c>
      <c r="J55" s="64">
        <v>0</v>
      </c>
      <c r="K55" s="64">
        <v>0</v>
      </c>
      <c r="L55" s="65">
        <v>250000</v>
      </c>
      <c r="M55" s="74">
        <v>1</v>
      </c>
      <c r="N55" s="66">
        <v>250000</v>
      </c>
      <c r="O55" s="66">
        <v>0</v>
      </c>
      <c r="P55" s="66">
        <v>0</v>
      </c>
      <c r="Q55" s="66">
        <v>0</v>
      </c>
      <c r="R55" s="67">
        <v>250000</v>
      </c>
    </row>
    <row r="56" spans="1:18">
      <c r="A56" s="68" t="s">
        <v>56</v>
      </c>
      <c r="B56" s="54"/>
      <c r="C56" s="54"/>
      <c r="D56" s="59"/>
      <c r="E56" s="59"/>
      <c r="F56" s="63"/>
      <c r="G56" s="54"/>
      <c r="H56" s="64">
        <v>0</v>
      </c>
      <c r="I56" s="64">
        <v>0</v>
      </c>
      <c r="J56" s="64">
        <v>0</v>
      </c>
      <c r="K56" s="64">
        <v>0</v>
      </c>
      <c r="L56" s="65">
        <v>0</v>
      </c>
      <c r="M56" s="54"/>
      <c r="N56" s="66">
        <v>0</v>
      </c>
      <c r="O56" s="66">
        <v>0</v>
      </c>
      <c r="P56" s="66">
        <v>0</v>
      </c>
      <c r="Q56" s="66">
        <v>0</v>
      </c>
      <c r="R56" s="67">
        <v>0</v>
      </c>
    </row>
    <row r="57" spans="1:18">
      <c r="A57" s="69" t="s">
        <v>57</v>
      </c>
      <c r="B57" s="54"/>
      <c r="C57" s="54"/>
      <c r="D57" s="59"/>
      <c r="E57" s="59"/>
      <c r="F57" s="63"/>
      <c r="G57" s="54"/>
      <c r="H57" s="56"/>
      <c r="I57" s="56"/>
      <c r="J57" s="56"/>
      <c r="K57" s="56"/>
      <c r="L57" s="67">
        <v>0</v>
      </c>
      <c r="M57" s="54"/>
      <c r="N57" s="66"/>
      <c r="O57" s="66"/>
      <c r="P57" s="66"/>
      <c r="Q57" s="54"/>
      <c r="R57" s="67"/>
    </row>
    <row r="58" spans="1:18">
      <c r="A58" s="69" t="s">
        <v>58</v>
      </c>
      <c r="B58" s="54"/>
      <c r="C58" s="54"/>
      <c r="D58" s="59"/>
      <c r="E58" s="59"/>
      <c r="F58" s="63"/>
      <c r="G58" s="54"/>
      <c r="H58" s="56"/>
      <c r="I58" s="56"/>
      <c r="J58" s="56"/>
      <c r="K58" s="56"/>
      <c r="L58" s="67">
        <v>0</v>
      </c>
      <c r="M58" s="54"/>
      <c r="N58" s="66"/>
      <c r="O58" s="66"/>
      <c r="P58" s="66"/>
      <c r="Q58" s="54"/>
      <c r="R58" s="67"/>
    </row>
    <row r="59" spans="1:18">
      <c r="A59" s="69" t="s">
        <v>59</v>
      </c>
      <c r="B59" s="54"/>
      <c r="C59" s="54"/>
      <c r="D59" s="59"/>
      <c r="E59" s="59"/>
      <c r="F59" s="63"/>
      <c r="G59" s="54"/>
      <c r="H59" s="56"/>
      <c r="I59" s="56"/>
      <c r="J59" s="56"/>
      <c r="K59" s="56"/>
      <c r="L59" s="67">
        <v>0</v>
      </c>
      <c r="M59" s="54"/>
      <c r="N59" s="66"/>
      <c r="O59" s="66"/>
      <c r="P59" s="66"/>
      <c r="Q59" s="54"/>
      <c r="R59" s="67"/>
    </row>
    <row r="60" spans="1:18">
      <c r="A60" s="69" t="s">
        <v>60</v>
      </c>
      <c r="B60" s="54"/>
      <c r="C60" s="54"/>
      <c r="D60" s="59"/>
      <c r="E60" s="59"/>
      <c r="F60" s="63"/>
      <c r="G60" s="54"/>
      <c r="H60" s="56"/>
      <c r="I60" s="56"/>
      <c r="J60" s="56"/>
      <c r="K60" s="56"/>
      <c r="L60" s="67">
        <v>0</v>
      </c>
      <c r="M60" s="54"/>
      <c r="N60" s="66"/>
      <c r="O60" s="66"/>
      <c r="P60" s="66"/>
      <c r="Q60" s="54"/>
      <c r="R60" s="67"/>
    </row>
    <row r="61" spans="1:18">
      <c r="A61" s="68" t="s">
        <v>61</v>
      </c>
      <c r="B61" s="54"/>
      <c r="C61" s="54"/>
      <c r="D61" s="59"/>
      <c r="E61" s="59"/>
      <c r="F61" s="63"/>
      <c r="G61" s="54"/>
      <c r="H61" s="64">
        <v>250000</v>
      </c>
      <c r="I61" s="64">
        <v>0</v>
      </c>
      <c r="J61" s="64">
        <v>0</v>
      </c>
      <c r="K61" s="64">
        <v>0</v>
      </c>
      <c r="L61" s="65">
        <v>250000</v>
      </c>
      <c r="M61" s="54"/>
      <c r="N61" s="66">
        <v>250000</v>
      </c>
      <c r="O61" s="66">
        <v>0</v>
      </c>
      <c r="P61" s="66">
        <v>0</v>
      </c>
      <c r="Q61" s="66">
        <v>0</v>
      </c>
      <c r="R61" s="67">
        <v>250000</v>
      </c>
    </row>
    <row r="62" spans="1:18">
      <c r="A62" s="69" t="s">
        <v>57</v>
      </c>
      <c r="B62" s="54"/>
      <c r="C62" s="54"/>
      <c r="D62" s="59"/>
      <c r="E62" s="59"/>
      <c r="F62" s="63"/>
      <c r="G62" s="54"/>
      <c r="H62" s="70">
        <v>0</v>
      </c>
      <c r="I62" s="70">
        <v>0</v>
      </c>
      <c r="J62" s="70">
        <v>0</v>
      </c>
      <c r="K62" s="70">
        <v>0</v>
      </c>
      <c r="L62" s="67">
        <v>0</v>
      </c>
      <c r="M62" s="54"/>
      <c r="N62" s="66"/>
      <c r="O62" s="66"/>
      <c r="P62" s="66"/>
      <c r="Q62" s="54"/>
      <c r="R62" s="67"/>
    </row>
    <row r="63" spans="1:18">
      <c r="A63" s="69" t="s">
        <v>58</v>
      </c>
      <c r="B63" s="54"/>
      <c r="C63" s="54"/>
      <c r="D63" s="59"/>
      <c r="E63" s="59"/>
      <c r="F63" s="63"/>
      <c r="G63" s="54"/>
      <c r="H63" s="56">
        <v>250000</v>
      </c>
      <c r="I63" s="56"/>
      <c r="J63" s="56"/>
      <c r="K63" s="56"/>
      <c r="L63" s="67">
        <v>250000</v>
      </c>
      <c r="M63" s="54"/>
      <c r="N63" s="66"/>
      <c r="O63" s="66"/>
      <c r="P63" s="66"/>
      <c r="Q63" s="54"/>
      <c r="R63" s="67"/>
    </row>
    <row r="64" spans="1:18">
      <c r="A64" s="69" t="s">
        <v>60</v>
      </c>
      <c r="B64" s="54"/>
      <c r="C64" s="54"/>
      <c r="D64" s="59"/>
      <c r="E64" s="59"/>
      <c r="F64" s="63"/>
      <c r="G64" s="54"/>
      <c r="H64" s="56"/>
      <c r="I64" s="56"/>
      <c r="J64" s="56"/>
      <c r="K64" s="56"/>
      <c r="L64" s="67">
        <v>0</v>
      </c>
      <c r="M64" s="54"/>
      <c r="N64" s="66"/>
      <c r="O64" s="66"/>
      <c r="P64" s="66"/>
      <c r="Q64" s="54"/>
      <c r="R64" s="67"/>
    </row>
    <row r="65" spans="1:18">
      <c r="A65" s="60" t="s">
        <v>76</v>
      </c>
      <c r="B65" s="57" t="s">
        <v>69</v>
      </c>
      <c r="C65" s="58" t="s">
        <v>77</v>
      </c>
      <c r="D65" s="59"/>
      <c r="E65" s="59"/>
      <c r="F65" s="63" t="s">
        <v>78</v>
      </c>
      <c r="G65" s="58" t="s">
        <v>79</v>
      </c>
      <c r="H65" s="64">
        <v>1200000</v>
      </c>
      <c r="I65" s="64">
        <v>3300000</v>
      </c>
      <c r="J65" s="64">
        <v>0</v>
      </c>
      <c r="K65" s="64">
        <v>0</v>
      </c>
      <c r="L65" s="65">
        <v>4500000</v>
      </c>
      <c r="M65" s="74">
        <v>1</v>
      </c>
      <c r="N65" s="66">
        <v>1200000</v>
      </c>
      <c r="O65" s="66">
        <v>3300000</v>
      </c>
      <c r="P65" s="66">
        <v>0</v>
      </c>
      <c r="Q65" s="66">
        <v>0</v>
      </c>
      <c r="R65" s="67">
        <v>4500000</v>
      </c>
    </row>
    <row r="66" spans="1:18">
      <c r="A66" s="68" t="s">
        <v>56</v>
      </c>
      <c r="B66" s="54"/>
      <c r="C66" s="54"/>
      <c r="D66" s="59"/>
      <c r="E66" s="59"/>
      <c r="F66" s="63"/>
      <c r="G66" s="54"/>
      <c r="H66" s="64">
        <v>1200000</v>
      </c>
      <c r="I66" s="64">
        <v>3300000</v>
      </c>
      <c r="J66" s="64">
        <v>0</v>
      </c>
      <c r="K66" s="64">
        <v>0</v>
      </c>
      <c r="L66" s="65">
        <v>4500000</v>
      </c>
      <c r="M66" s="54"/>
      <c r="N66" s="66">
        <v>1200000</v>
      </c>
      <c r="O66" s="66">
        <v>3300000</v>
      </c>
      <c r="P66" s="66">
        <v>0</v>
      </c>
      <c r="Q66" s="66">
        <v>0</v>
      </c>
      <c r="R66" s="67">
        <v>4500000</v>
      </c>
    </row>
    <row r="67" spans="1:18">
      <c r="A67" s="69" t="s">
        <v>57</v>
      </c>
      <c r="B67" s="54"/>
      <c r="C67" s="54"/>
      <c r="D67" s="59"/>
      <c r="E67" s="59"/>
      <c r="F67" s="63"/>
      <c r="G67" s="54"/>
      <c r="H67" s="56"/>
      <c r="I67" s="56"/>
      <c r="J67" s="56"/>
      <c r="K67" s="56"/>
      <c r="L67" s="67">
        <v>0</v>
      </c>
      <c r="M67" s="54"/>
      <c r="N67" s="66"/>
      <c r="O67" s="66"/>
      <c r="P67" s="66"/>
      <c r="Q67" s="54"/>
      <c r="R67" s="67"/>
    </row>
    <row r="68" spans="1:18">
      <c r="A68" s="69" t="s">
        <v>58</v>
      </c>
      <c r="B68" s="54"/>
      <c r="C68" s="54"/>
      <c r="D68" s="59"/>
      <c r="E68" s="59"/>
      <c r="F68" s="63"/>
      <c r="G68" s="54"/>
      <c r="H68" s="56">
        <v>200000</v>
      </c>
      <c r="I68" s="56">
        <v>300000</v>
      </c>
      <c r="J68" s="56"/>
      <c r="K68" s="56"/>
      <c r="L68" s="67">
        <v>500000</v>
      </c>
      <c r="M68" s="54"/>
      <c r="N68" s="66"/>
      <c r="O68" s="66"/>
      <c r="P68" s="66"/>
      <c r="Q68" s="54"/>
      <c r="R68" s="67"/>
    </row>
    <row r="69" spans="1:18">
      <c r="A69" s="69" t="s">
        <v>59</v>
      </c>
      <c r="B69" s="54"/>
      <c r="C69" s="54"/>
      <c r="D69" s="59"/>
      <c r="E69" s="59"/>
      <c r="F69" s="63"/>
      <c r="G69" s="54"/>
      <c r="H69" s="56"/>
      <c r="I69" s="56"/>
      <c r="J69" s="56"/>
      <c r="K69" s="56"/>
      <c r="L69" s="67">
        <v>0</v>
      </c>
      <c r="M69" s="54"/>
      <c r="N69" s="66"/>
      <c r="O69" s="66"/>
      <c r="P69" s="66"/>
      <c r="Q69" s="54"/>
      <c r="R69" s="67"/>
    </row>
    <row r="70" spans="1:18">
      <c r="A70" s="69" t="s">
        <v>60</v>
      </c>
      <c r="B70" s="54"/>
      <c r="C70" s="54"/>
      <c r="D70" s="59"/>
      <c r="E70" s="59"/>
      <c r="F70" s="63"/>
      <c r="G70" s="54"/>
      <c r="H70" s="56">
        <v>1000000</v>
      </c>
      <c r="I70" s="56">
        <v>3000000</v>
      </c>
      <c r="J70" s="56"/>
      <c r="K70" s="56"/>
      <c r="L70" s="67">
        <v>4000000</v>
      </c>
      <c r="M70" s="54"/>
      <c r="N70" s="66"/>
      <c r="O70" s="66"/>
      <c r="P70" s="66"/>
      <c r="Q70" s="54"/>
      <c r="R70" s="67"/>
    </row>
    <row r="71" spans="1:18">
      <c r="A71" s="68" t="s">
        <v>61</v>
      </c>
      <c r="B71" s="54"/>
      <c r="C71" s="54"/>
      <c r="D71" s="59"/>
      <c r="E71" s="59"/>
      <c r="F71" s="63"/>
      <c r="G71" s="54"/>
      <c r="H71" s="64">
        <v>0</v>
      </c>
      <c r="I71" s="64">
        <v>0</v>
      </c>
      <c r="J71" s="64">
        <v>0</v>
      </c>
      <c r="K71" s="64">
        <v>0</v>
      </c>
      <c r="L71" s="65">
        <v>0</v>
      </c>
      <c r="M71" s="54"/>
      <c r="N71" s="66">
        <v>0</v>
      </c>
      <c r="O71" s="66">
        <v>0</v>
      </c>
      <c r="P71" s="66">
        <v>0</v>
      </c>
      <c r="Q71" s="66">
        <v>0</v>
      </c>
      <c r="R71" s="67">
        <v>0</v>
      </c>
    </row>
    <row r="72" spans="1:18">
      <c r="A72" s="69" t="s">
        <v>57</v>
      </c>
      <c r="B72" s="54"/>
      <c r="C72" s="54"/>
      <c r="D72" s="59"/>
      <c r="E72" s="59"/>
      <c r="F72" s="63"/>
      <c r="G72" s="54"/>
      <c r="H72" s="70">
        <v>0</v>
      </c>
      <c r="I72" s="70">
        <v>0</v>
      </c>
      <c r="J72" s="70">
        <v>0</v>
      </c>
      <c r="K72" s="70">
        <v>0</v>
      </c>
      <c r="L72" s="67">
        <v>0</v>
      </c>
      <c r="M72" s="54"/>
      <c r="N72" s="66"/>
      <c r="O72" s="66"/>
      <c r="P72" s="66"/>
      <c r="Q72" s="54"/>
      <c r="R72" s="67"/>
    </row>
    <row r="73" spans="1:18">
      <c r="A73" s="69" t="s">
        <v>58</v>
      </c>
      <c r="B73" s="54"/>
      <c r="C73" s="54"/>
      <c r="D73" s="59"/>
      <c r="E73" s="59"/>
      <c r="F73" s="63"/>
      <c r="G73" s="54"/>
      <c r="H73" s="56"/>
      <c r="I73" s="56"/>
      <c r="J73" s="56"/>
      <c r="K73" s="56"/>
      <c r="L73" s="67">
        <v>0</v>
      </c>
      <c r="M73" s="54"/>
      <c r="N73" s="66"/>
      <c r="O73" s="66"/>
      <c r="P73" s="66"/>
      <c r="Q73" s="54"/>
      <c r="R73" s="67"/>
    </row>
    <row r="74" spans="1:18">
      <c r="A74" s="69" t="s">
        <v>60</v>
      </c>
      <c r="B74" s="54"/>
      <c r="C74" s="54"/>
      <c r="D74" s="59"/>
      <c r="E74" s="59"/>
      <c r="F74" s="63"/>
      <c r="G74" s="54"/>
      <c r="H74" s="56"/>
      <c r="I74" s="56"/>
      <c r="J74" s="56"/>
      <c r="K74" s="56"/>
      <c r="L74" s="67">
        <v>0</v>
      </c>
      <c r="M74" s="54"/>
      <c r="N74" s="66"/>
      <c r="O74" s="66"/>
      <c r="P74" s="66"/>
      <c r="Q74" s="54"/>
      <c r="R74" s="67"/>
    </row>
    <row r="75" spans="1:18">
      <c r="A75" s="60" t="s">
        <v>80</v>
      </c>
      <c r="B75" s="57" t="s">
        <v>69</v>
      </c>
      <c r="C75" s="58" t="s">
        <v>77</v>
      </c>
      <c r="D75" s="59"/>
      <c r="E75" s="59"/>
      <c r="F75" s="63" t="s">
        <v>81</v>
      </c>
      <c r="G75" s="58" t="s">
        <v>71</v>
      </c>
      <c r="H75" s="64">
        <v>0</v>
      </c>
      <c r="I75" s="64">
        <v>900000</v>
      </c>
      <c r="J75" s="64">
        <v>0</v>
      </c>
      <c r="K75" s="64">
        <v>0</v>
      </c>
      <c r="L75" s="65">
        <v>900000</v>
      </c>
      <c r="M75" s="74">
        <v>1</v>
      </c>
      <c r="N75" s="66">
        <v>0</v>
      </c>
      <c r="O75" s="66">
        <v>900000</v>
      </c>
      <c r="P75" s="66">
        <v>0</v>
      </c>
      <c r="Q75" s="66">
        <v>0</v>
      </c>
      <c r="R75" s="67">
        <v>900000</v>
      </c>
    </row>
    <row r="76" spans="1:18">
      <c r="A76" s="68" t="s">
        <v>56</v>
      </c>
      <c r="B76" s="54"/>
      <c r="C76" s="54"/>
      <c r="D76" s="59"/>
      <c r="E76" s="59"/>
      <c r="F76" s="63"/>
      <c r="G76" s="54"/>
      <c r="H76" s="64">
        <v>0</v>
      </c>
      <c r="I76" s="64">
        <v>900000</v>
      </c>
      <c r="J76" s="64">
        <v>0</v>
      </c>
      <c r="K76" s="64">
        <v>0</v>
      </c>
      <c r="L76" s="65">
        <v>900000</v>
      </c>
      <c r="M76" s="54"/>
      <c r="N76" s="66">
        <v>0</v>
      </c>
      <c r="O76" s="66">
        <v>900000</v>
      </c>
      <c r="P76" s="66">
        <v>0</v>
      </c>
      <c r="Q76" s="66">
        <v>0</v>
      </c>
      <c r="R76" s="67">
        <v>900000</v>
      </c>
    </row>
    <row r="77" spans="1:18">
      <c r="A77" s="69" t="s">
        <v>57</v>
      </c>
      <c r="B77" s="54"/>
      <c r="C77" s="54"/>
      <c r="D77" s="59"/>
      <c r="E77" s="59"/>
      <c r="F77" s="63"/>
      <c r="G77" s="54"/>
      <c r="H77" s="56"/>
      <c r="I77" s="56"/>
      <c r="J77" s="56"/>
      <c r="K77" s="56"/>
      <c r="L77" s="67">
        <v>0</v>
      </c>
      <c r="M77" s="54"/>
      <c r="N77" s="66"/>
      <c r="O77" s="66"/>
      <c r="P77" s="66"/>
      <c r="Q77" s="54"/>
      <c r="R77" s="67"/>
    </row>
    <row r="78" spans="1:18">
      <c r="A78" s="69" t="s">
        <v>58</v>
      </c>
      <c r="B78" s="54"/>
      <c r="C78" s="54"/>
      <c r="D78" s="59"/>
      <c r="E78" s="59"/>
      <c r="F78" s="63"/>
      <c r="G78" s="54"/>
      <c r="H78" s="56"/>
      <c r="I78" s="56">
        <v>500000</v>
      </c>
      <c r="J78" s="56"/>
      <c r="K78" s="56"/>
      <c r="L78" s="67">
        <v>500000</v>
      </c>
      <c r="M78" s="54"/>
      <c r="N78" s="66"/>
      <c r="O78" s="66"/>
      <c r="P78" s="66"/>
      <c r="Q78" s="54"/>
      <c r="R78" s="67"/>
    </row>
    <row r="79" spans="1:18">
      <c r="A79" s="69" t="s">
        <v>59</v>
      </c>
      <c r="B79" s="54"/>
      <c r="C79" s="54"/>
      <c r="D79" s="59"/>
      <c r="E79" s="59"/>
      <c r="F79" s="63"/>
      <c r="G79" s="54"/>
      <c r="H79" s="56"/>
      <c r="I79" s="56"/>
      <c r="J79" s="56"/>
      <c r="K79" s="56"/>
      <c r="L79" s="67">
        <v>0</v>
      </c>
      <c r="M79" s="54"/>
      <c r="N79" s="66"/>
      <c r="O79" s="66"/>
      <c r="P79" s="66"/>
      <c r="Q79" s="54"/>
      <c r="R79" s="67"/>
    </row>
    <row r="80" spans="1:18">
      <c r="A80" s="69" t="s">
        <v>60</v>
      </c>
      <c r="B80" s="54"/>
      <c r="C80" s="54"/>
      <c r="D80" s="59"/>
      <c r="E80" s="59"/>
      <c r="F80" s="63"/>
      <c r="G80" s="54"/>
      <c r="H80" s="56"/>
      <c r="I80" s="56">
        <v>400000</v>
      </c>
      <c r="J80" s="56"/>
      <c r="K80" s="56"/>
      <c r="L80" s="67">
        <v>400000</v>
      </c>
      <c r="M80" s="54"/>
      <c r="N80" s="66"/>
      <c r="O80" s="66"/>
      <c r="P80" s="66"/>
      <c r="Q80" s="54"/>
      <c r="R80" s="67"/>
    </row>
    <row r="81" spans="1:18">
      <c r="A81" s="68" t="s">
        <v>61</v>
      </c>
      <c r="B81" s="54"/>
      <c r="C81" s="54"/>
      <c r="D81" s="59"/>
      <c r="E81" s="59"/>
      <c r="F81" s="63"/>
      <c r="G81" s="54"/>
      <c r="H81" s="64">
        <v>0</v>
      </c>
      <c r="I81" s="64">
        <v>0</v>
      </c>
      <c r="J81" s="64">
        <v>0</v>
      </c>
      <c r="K81" s="64">
        <v>0</v>
      </c>
      <c r="L81" s="65">
        <v>0</v>
      </c>
      <c r="M81" s="54"/>
      <c r="N81" s="66">
        <v>0</v>
      </c>
      <c r="O81" s="66">
        <v>0</v>
      </c>
      <c r="P81" s="66">
        <v>0</v>
      </c>
      <c r="Q81" s="66">
        <v>0</v>
      </c>
      <c r="R81" s="67">
        <v>0</v>
      </c>
    </row>
    <row r="82" spans="1:18">
      <c r="A82" s="69" t="s">
        <v>57</v>
      </c>
      <c r="B82" s="54"/>
      <c r="C82" s="54"/>
      <c r="D82" s="59"/>
      <c r="E82" s="59"/>
      <c r="F82" s="63"/>
      <c r="G82" s="54"/>
      <c r="H82" s="70">
        <v>0</v>
      </c>
      <c r="I82" s="70">
        <v>0</v>
      </c>
      <c r="J82" s="70">
        <v>0</v>
      </c>
      <c r="K82" s="70">
        <v>0</v>
      </c>
      <c r="L82" s="67">
        <v>0</v>
      </c>
      <c r="M82" s="54"/>
      <c r="N82" s="66"/>
      <c r="O82" s="66"/>
      <c r="P82" s="66"/>
      <c r="Q82" s="54"/>
      <c r="R82" s="67"/>
    </row>
    <row r="83" spans="1:18">
      <c r="A83" s="69" t="s">
        <v>58</v>
      </c>
      <c r="B83" s="54"/>
      <c r="C83" s="54"/>
      <c r="D83" s="59"/>
      <c r="E83" s="59"/>
      <c r="F83" s="63"/>
      <c r="G83" s="54"/>
      <c r="H83" s="56"/>
      <c r="I83" s="56"/>
      <c r="J83" s="56"/>
      <c r="K83" s="56"/>
      <c r="L83" s="67">
        <v>0</v>
      </c>
      <c r="M83" s="54"/>
      <c r="N83" s="66"/>
      <c r="O83" s="66"/>
      <c r="P83" s="66"/>
      <c r="Q83" s="54"/>
      <c r="R83" s="67"/>
    </row>
    <row r="84" spans="1:18">
      <c r="A84" s="69" t="s">
        <v>60</v>
      </c>
      <c r="B84" s="54"/>
      <c r="C84" s="54"/>
      <c r="D84" s="59"/>
      <c r="E84" s="59"/>
      <c r="F84" s="63"/>
      <c r="G84" s="54"/>
      <c r="H84" s="56"/>
      <c r="I84" s="56"/>
      <c r="J84" s="56"/>
      <c r="K84" s="56"/>
      <c r="L84" s="67">
        <v>0</v>
      </c>
      <c r="M84" s="54"/>
      <c r="N84" s="66"/>
      <c r="O84" s="66"/>
      <c r="P84" s="66"/>
      <c r="Q84" s="54"/>
      <c r="R84" s="67"/>
    </row>
    <row r="85" spans="1:18">
      <c r="A85" s="60" t="s">
        <v>82</v>
      </c>
      <c r="B85" s="57" t="s">
        <v>69</v>
      </c>
      <c r="C85" s="58" t="s">
        <v>83</v>
      </c>
      <c r="D85" s="59"/>
      <c r="E85" s="59"/>
      <c r="F85" s="63" t="s">
        <v>84</v>
      </c>
      <c r="G85" s="58" t="s">
        <v>71</v>
      </c>
      <c r="H85" s="64">
        <v>811370</v>
      </c>
      <c r="I85" s="64">
        <v>322740</v>
      </c>
      <c r="J85" s="64">
        <v>122740</v>
      </c>
      <c r="K85" s="64">
        <v>122740</v>
      </c>
      <c r="L85" s="65">
        <v>1379590</v>
      </c>
      <c r="M85" s="74">
        <v>1</v>
      </c>
      <c r="N85" s="66">
        <v>811370</v>
      </c>
      <c r="O85" s="66">
        <v>322740</v>
      </c>
      <c r="P85" s="66">
        <v>122740</v>
      </c>
      <c r="Q85" s="66">
        <v>122740</v>
      </c>
      <c r="R85" s="67">
        <v>1379590</v>
      </c>
    </row>
    <row r="86" spans="1:18">
      <c r="A86" s="68" t="s">
        <v>56</v>
      </c>
      <c r="B86" s="54"/>
      <c r="C86" s="54"/>
      <c r="D86" s="59"/>
      <c r="E86" s="59"/>
      <c r="F86" s="63"/>
      <c r="G86" s="54"/>
      <c r="H86" s="64">
        <v>750000</v>
      </c>
      <c r="I86" s="64">
        <v>200000</v>
      </c>
      <c r="J86" s="64">
        <v>0</v>
      </c>
      <c r="K86" s="64">
        <v>0</v>
      </c>
      <c r="L86" s="65">
        <v>950000</v>
      </c>
      <c r="M86" s="54"/>
      <c r="N86" s="66">
        <v>750000</v>
      </c>
      <c r="O86" s="66">
        <v>200000</v>
      </c>
      <c r="P86" s="66">
        <v>0</v>
      </c>
      <c r="Q86" s="66">
        <v>0</v>
      </c>
      <c r="R86" s="67">
        <v>950000</v>
      </c>
    </row>
    <row r="87" spans="1:18">
      <c r="A87" s="69" t="s">
        <v>57</v>
      </c>
      <c r="B87" s="54"/>
      <c r="C87" s="54"/>
      <c r="D87" s="59"/>
      <c r="E87" s="59"/>
      <c r="F87" s="63"/>
      <c r="G87" s="54"/>
      <c r="H87" s="56"/>
      <c r="I87" s="56"/>
      <c r="J87" s="56"/>
      <c r="K87" s="56"/>
      <c r="L87" s="67">
        <v>0</v>
      </c>
      <c r="M87" s="54"/>
      <c r="N87" s="66"/>
      <c r="O87" s="66"/>
      <c r="P87" s="66"/>
      <c r="Q87" s="54"/>
      <c r="R87" s="67"/>
    </row>
    <row r="88" spans="1:18">
      <c r="A88" s="69" t="s">
        <v>58</v>
      </c>
      <c r="B88" s="54"/>
      <c r="C88" s="54"/>
      <c r="D88" s="59"/>
      <c r="E88" s="59"/>
      <c r="F88" s="63"/>
      <c r="G88" s="54"/>
      <c r="H88" s="56">
        <v>150000</v>
      </c>
      <c r="I88" s="56"/>
      <c r="J88" s="56"/>
      <c r="K88" s="56"/>
      <c r="L88" s="67">
        <v>150000</v>
      </c>
      <c r="M88" s="54"/>
      <c r="N88" s="66"/>
      <c r="O88" s="66"/>
      <c r="P88" s="66"/>
      <c r="Q88" s="54"/>
      <c r="R88" s="67"/>
    </row>
    <row r="89" spans="1:18">
      <c r="A89" s="69" t="s">
        <v>59</v>
      </c>
      <c r="B89" s="54"/>
      <c r="C89" s="54"/>
      <c r="D89" s="59"/>
      <c r="E89" s="59"/>
      <c r="F89" s="63"/>
      <c r="G89" s="54"/>
      <c r="H89" s="56"/>
      <c r="I89" s="56"/>
      <c r="J89" s="56"/>
      <c r="K89" s="56"/>
      <c r="L89" s="67">
        <v>0</v>
      </c>
      <c r="M89" s="54"/>
      <c r="N89" s="66"/>
      <c r="O89" s="66"/>
      <c r="P89" s="66"/>
      <c r="Q89" s="54"/>
      <c r="R89" s="67"/>
    </row>
    <row r="90" spans="1:18">
      <c r="A90" s="69" t="s">
        <v>60</v>
      </c>
      <c r="B90" s="54"/>
      <c r="C90" s="54"/>
      <c r="D90" s="59"/>
      <c r="E90" s="59"/>
      <c r="F90" s="63"/>
      <c r="G90" s="54"/>
      <c r="H90" s="56">
        <v>600000</v>
      </c>
      <c r="I90" s="56">
        <v>200000</v>
      </c>
      <c r="J90" s="56"/>
      <c r="K90" s="56"/>
      <c r="L90" s="67">
        <v>800000</v>
      </c>
      <c r="M90" s="54"/>
      <c r="N90" s="66"/>
      <c r="O90" s="66"/>
      <c r="P90" s="66"/>
      <c r="Q90" s="54"/>
      <c r="R90" s="67"/>
    </row>
    <row r="91" spans="1:18">
      <c r="A91" s="68" t="s">
        <v>61</v>
      </c>
      <c r="B91" s="54"/>
      <c r="C91" s="54"/>
      <c r="D91" s="59"/>
      <c r="E91" s="59"/>
      <c r="F91" s="63"/>
      <c r="G91" s="54"/>
      <c r="H91" s="64">
        <v>61370</v>
      </c>
      <c r="I91" s="64">
        <v>122740</v>
      </c>
      <c r="J91" s="64">
        <v>122740</v>
      </c>
      <c r="K91" s="64">
        <v>122740</v>
      </c>
      <c r="L91" s="65">
        <v>429590</v>
      </c>
      <c r="M91" s="54"/>
      <c r="N91" s="66">
        <v>61370</v>
      </c>
      <c r="O91" s="66">
        <v>122740</v>
      </c>
      <c r="P91" s="66">
        <v>122740</v>
      </c>
      <c r="Q91" s="66">
        <v>122740</v>
      </c>
      <c r="R91" s="67">
        <v>429590</v>
      </c>
    </row>
    <row r="92" spans="1:18">
      <c r="A92" s="69" t="s">
        <v>57</v>
      </c>
      <c r="B92" s="54"/>
      <c r="C92" s="54"/>
      <c r="D92" s="59"/>
      <c r="E92" s="59"/>
      <c r="F92" s="63"/>
      <c r="G92" s="54"/>
      <c r="H92" s="70">
        <v>61370</v>
      </c>
      <c r="I92" s="70">
        <v>122740</v>
      </c>
      <c r="J92" s="70">
        <v>122740</v>
      </c>
      <c r="K92" s="70">
        <v>122740</v>
      </c>
      <c r="L92" s="67">
        <v>429590</v>
      </c>
      <c r="M92" s="54"/>
      <c r="N92" s="66"/>
      <c r="O92" s="66"/>
      <c r="P92" s="66"/>
      <c r="Q92" s="54"/>
      <c r="R92" s="67"/>
    </row>
    <row r="93" spans="1:18">
      <c r="A93" s="69" t="s">
        <v>58</v>
      </c>
      <c r="B93" s="54"/>
      <c r="C93" s="54"/>
      <c r="D93" s="59"/>
      <c r="E93" s="59"/>
      <c r="F93" s="63"/>
      <c r="G93" s="54"/>
      <c r="H93" s="56"/>
      <c r="I93" s="56"/>
      <c r="J93" s="56"/>
      <c r="K93" s="56"/>
      <c r="L93" s="67">
        <v>0</v>
      </c>
      <c r="M93" s="54"/>
      <c r="N93" s="66"/>
      <c r="O93" s="66"/>
      <c r="P93" s="66"/>
      <c r="Q93" s="54"/>
      <c r="R93" s="67"/>
    </row>
    <row r="94" spans="1:18">
      <c r="A94" s="69" t="s">
        <v>60</v>
      </c>
      <c r="B94" s="54"/>
      <c r="C94" s="54"/>
      <c r="D94" s="59"/>
      <c r="E94" s="59"/>
      <c r="F94" s="63"/>
      <c r="G94" s="54"/>
      <c r="H94" s="56"/>
      <c r="I94" s="56"/>
      <c r="J94" s="56"/>
      <c r="K94" s="56"/>
      <c r="L94" s="67">
        <v>0</v>
      </c>
      <c r="M94" s="54"/>
      <c r="N94" s="66"/>
      <c r="O94" s="66"/>
      <c r="P94" s="66"/>
      <c r="Q94" s="54"/>
      <c r="R94" s="67"/>
    </row>
    <row r="95" spans="1:18">
      <c r="A95" s="60" t="s">
        <v>85</v>
      </c>
      <c r="B95" s="57" t="s">
        <v>69</v>
      </c>
      <c r="C95" s="58" t="s">
        <v>77</v>
      </c>
      <c r="D95" s="59"/>
      <c r="E95" s="59"/>
      <c r="F95" s="63" t="s">
        <v>86</v>
      </c>
      <c r="G95" s="58" t="s">
        <v>79</v>
      </c>
      <c r="H95" s="64">
        <v>4044375</v>
      </c>
      <c r="I95" s="64">
        <v>4244375</v>
      </c>
      <c r="J95" s="64">
        <v>244375</v>
      </c>
      <c r="K95" s="64">
        <v>244375</v>
      </c>
      <c r="L95" s="65">
        <v>8777500</v>
      </c>
      <c r="M95" s="74">
        <v>1</v>
      </c>
      <c r="N95" s="66">
        <v>4044375</v>
      </c>
      <c r="O95" s="66">
        <v>4244375</v>
      </c>
      <c r="P95" s="66">
        <v>244375</v>
      </c>
      <c r="Q95" s="66">
        <v>244375</v>
      </c>
      <c r="R95" s="67">
        <v>8777500</v>
      </c>
    </row>
    <row r="96" spans="1:18">
      <c r="A96" s="68" t="s">
        <v>56</v>
      </c>
      <c r="B96" s="54"/>
      <c r="C96" s="54"/>
      <c r="D96" s="59"/>
      <c r="E96" s="59"/>
      <c r="F96" s="63"/>
      <c r="G96" s="54"/>
      <c r="H96" s="64">
        <v>3800000</v>
      </c>
      <c r="I96" s="64">
        <v>4000000</v>
      </c>
      <c r="J96" s="64">
        <v>0</v>
      </c>
      <c r="K96" s="64">
        <v>0</v>
      </c>
      <c r="L96" s="65">
        <v>7800000</v>
      </c>
      <c r="M96" s="54"/>
      <c r="N96" s="66">
        <v>3800000</v>
      </c>
      <c r="O96" s="66">
        <v>4000000</v>
      </c>
      <c r="P96" s="66">
        <v>0</v>
      </c>
      <c r="Q96" s="66">
        <v>0</v>
      </c>
      <c r="R96" s="67">
        <v>7800000</v>
      </c>
    </row>
    <row r="97" spans="1:18">
      <c r="A97" s="69" t="s">
        <v>57</v>
      </c>
      <c r="B97" s="54"/>
      <c r="C97" s="54"/>
      <c r="D97" s="59"/>
      <c r="E97" s="59"/>
      <c r="F97" s="63"/>
      <c r="G97" s="54"/>
      <c r="H97" s="56"/>
      <c r="I97" s="56"/>
      <c r="J97" s="56"/>
      <c r="K97" s="56"/>
      <c r="L97" s="67">
        <v>0</v>
      </c>
      <c r="M97" s="54"/>
      <c r="N97" s="66"/>
      <c r="O97" s="66"/>
      <c r="P97" s="66"/>
      <c r="Q97" s="54"/>
      <c r="R97" s="67"/>
    </row>
    <row r="98" spans="1:18">
      <c r="A98" s="69" t="s">
        <v>58</v>
      </c>
      <c r="B98" s="54"/>
      <c r="C98" s="54"/>
      <c r="D98" s="59"/>
      <c r="E98" s="59"/>
      <c r="F98" s="63"/>
      <c r="G98" s="54"/>
      <c r="H98" s="56">
        <v>300000</v>
      </c>
      <c r="I98" s="56"/>
      <c r="J98" s="56"/>
      <c r="K98" s="56"/>
      <c r="L98" s="67">
        <v>300000</v>
      </c>
      <c r="M98" s="54"/>
      <c r="N98" s="66"/>
      <c r="O98" s="66"/>
      <c r="P98" s="66"/>
      <c r="Q98" s="54"/>
      <c r="R98" s="67"/>
    </row>
    <row r="99" spans="1:18">
      <c r="A99" s="69" t="s">
        <v>59</v>
      </c>
      <c r="B99" s="54"/>
      <c r="C99" s="54"/>
      <c r="D99" s="59"/>
      <c r="E99" s="59"/>
      <c r="F99" s="63"/>
      <c r="G99" s="54"/>
      <c r="H99" s="56"/>
      <c r="I99" s="56"/>
      <c r="J99" s="56"/>
      <c r="K99" s="56"/>
      <c r="L99" s="67">
        <v>0</v>
      </c>
      <c r="M99" s="54"/>
      <c r="N99" s="66"/>
      <c r="O99" s="66"/>
      <c r="P99" s="66"/>
      <c r="Q99" s="54"/>
      <c r="R99" s="67"/>
    </row>
    <row r="100" spans="1:18">
      <c r="A100" s="69" t="s">
        <v>60</v>
      </c>
      <c r="B100" s="54"/>
      <c r="C100" s="54"/>
      <c r="D100" s="59"/>
      <c r="E100" s="59"/>
      <c r="F100" s="63"/>
      <c r="G100" s="54"/>
      <c r="H100" s="56">
        <v>3500000</v>
      </c>
      <c r="I100" s="56">
        <v>4000000</v>
      </c>
      <c r="J100" s="56"/>
      <c r="K100" s="56"/>
      <c r="L100" s="67">
        <v>7500000</v>
      </c>
      <c r="M100" s="54"/>
      <c r="N100" s="66"/>
      <c r="O100" s="66"/>
      <c r="P100" s="66"/>
      <c r="Q100" s="54"/>
      <c r="R100" s="67"/>
    </row>
    <row r="101" spans="1:18">
      <c r="A101" s="68" t="s">
        <v>61</v>
      </c>
      <c r="B101" s="54"/>
      <c r="C101" s="54"/>
      <c r="D101" s="59"/>
      <c r="E101" s="59"/>
      <c r="F101" s="63"/>
      <c r="G101" s="54"/>
      <c r="H101" s="64">
        <v>244375</v>
      </c>
      <c r="I101" s="64">
        <v>244375</v>
      </c>
      <c r="J101" s="64">
        <v>244375</v>
      </c>
      <c r="K101" s="64">
        <v>244375</v>
      </c>
      <c r="L101" s="65">
        <v>977500</v>
      </c>
      <c r="M101" s="54"/>
      <c r="N101" s="66">
        <v>244375</v>
      </c>
      <c r="O101" s="66">
        <v>244375</v>
      </c>
      <c r="P101" s="66">
        <v>244375</v>
      </c>
      <c r="Q101" s="66">
        <v>244375</v>
      </c>
      <c r="R101" s="67">
        <v>977500</v>
      </c>
    </row>
    <row r="102" spans="1:18">
      <c r="A102" s="69" t="s">
        <v>57</v>
      </c>
      <c r="B102" s="54"/>
      <c r="C102" s="54"/>
      <c r="D102" s="59"/>
      <c r="E102" s="59"/>
      <c r="F102" s="63"/>
      <c r="G102" s="54"/>
      <c r="H102" s="70">
        <v>244375</v>
      </c>
      <c r="I102" s="70">
        <v>244375</v>
      </c>
      <c r="J102" s="70">
        <v>244375</v>
      </c>
      <c r="K102" s="70">
        <v>244375</v>
      </c>
      <c r="L102" s="67">
        <v>977500</v>
      </c>
      <c r="M102" s="54"/>
      <c r="N102" s="66"/>
      <c r="O102" s="66"/>
      <c r="P102" s="66"/>
      <c r="Q102" s="54"/>
      <c r="R102" s="67"/>
    </row>
    <row r="103" spans="1:18">
      <c r="A103" s="69" t="s">
        <v>58</v>
      </c>
      <c r="B103" s="54"/>
      <c r="C103" s="54"/>
      <c r="D103" s="59"/>
      <c r="E103" s="59"/>
      <c r="F103" s="63"/>
      <c r="G103" s="54"/>
      <c r="H103" s="56"/>
      <c r="I103" s="56"/>
      <c r="J103" s="56"/>
      <c r="K103" s="56"/>
      <c r="L103" s="67">
        <v>0</v>
      </c>
      <c r="M103" s="54"/>
      <c r="N103" s="66"/>
      <c r="O103" s="66"/>
      <c r="P103" s="66"/>
      <c r="Q103" s="54"/>
      <c r="R103" s="67"/>
    </row>
    <row r="104" spans="1:18">
      <c r="A104" s="69" t="s">
        <v>60</v>
      </c>
      <c r="B104" s="54"/>
      <c r="C104" s="54"/>
      <c r="D104" s="59"/>
      <c r="E104" s="59"/>
      <c r="F104" s="63"/>
      <c r="G104" s="54"/>
      <c r="H104" s="56"/>
      <c r="I104" s="56"/>
      <c r="J104" s="56"/>
      <c r="K104" s="56"/>
      <c r="L104" s="67">
        <v>0</v>
      </c>
      <c r="M104" s="54"/>
      <c r="N104" s="66"/>
      <c r="O104" s="66"/>
      <c r="P104" s="66"/>
      <c r="Q104" s="54"/>
      <c r="R104" s="67"/>
    </row>
    <row r="105" spans="1:18">
      <c r="A105" s="60" t="s">
        <v>87</v>
      </c>
      <c r="B105" s="57" t="s">
        <v>69</v>
      </c>
      <c r="C105" s="58" t="s">
        <v>53</v>
      </c>
      <c r="D105" s="59"/>
      <c r="E105" s="59"/>
      <c r="F105" s="63" t="s">
        <v>88</v>
      </c>
      <c r="G105" s="58" t="s">
        <v>64</v>
      </c>
      <c r="H105" s="64">
        <v>0</v>
      </c>
      <c r="I105" s="64">
        <v>0</v>
      </c>
      <c r="J105" s="64">
        <v>950000</v>
      </c>
      <c r="K105" s="64">
        <v>0</v>
      </c>
      <c r="L105" s="65">
        <v>950000</v>
      </c>
      <c r="M105" s="74">
        <v>1</v>
      </c>
      <c r="N105" s="66">
        <v>0</v>
      </c>
      <c r="O105" s="66">
        <v>0</v>
      </c>
      <c r="P105" s="66">
        <v>950000</v>
      </c>
      <c r="Q105" s="66">
        <v>0</v>
      </c>
      <c r="R105" s="67">
        <v>950000</v>
      </c>
    </row>
    <row r="106" spans="1:18">
      <c r="A106" s="68" t="s">
        <v>56</v>
      </c>
      <c r="B106" s="54"/>
      <c r="C106" s="54"/>
      <c r="D106" s="59"/>
      <c r="E106" s="59"/>
      <c r="F106" s="63"/>
      <c r="G106" s="54"/>
      <c r="H106" s="64">
        <v>0</v>
      </c>
      <c r="I106" s="64">
        <v>0</v>
      </c>
      <c r="J106" s="64">
        <v>950000</v>
      </c>
      <c r="K106" s="64">
        <v>0</v>
      </c>
      <c r="L106" s="65">
        <v>950000</v>
      </c>
      <c r="M106" s="54"/>
      <c r="N106" s="66">
        <v>0</v>
      </c>
      <c r="O106" s="66">
        <v>0</v>
      </c>
      <c r="P106" s="66">
        <v>950000</v>
      </c>
      <c r="Q106" s="66">
        <v>0</v>
      </c>
      <c r="R106" s="67">
        <v>950000</v>
      </c>
    </row>
    <row r="107" spans="1:18">
      <c r="A107" s="69" t="s">
        <v>57</v>
      </c>
      <c r="B107" s="54"/>
      <c r="C107" s="54"/>
      <c r="D107" s="59"/>
      <c r="E107" s="59"/>
      <c r="F107" s="63"/>
      <c r="G107" s="54"/>
      <c r="H107" s="56"/>
      <c r="I107" s="56"/>
      <c r="J107" s="56"/>
      <c r="K107" s="56"/>
      <c r="L107" s="67">
        <v>0</v>
      </c>
      <c r="M107" s="54"/>
      <c r="N107" s="66"/>
      <c r="O107" s="66"/>
      <c r="P107" s="66"/>
      <c r="Q107" s="54"/>
      <c r="R107" s="67"/>
    </row>
    <row r="108" spans="1:18">
      <c r="A108" s="69" t="s">
        <v>58</v>
      </c>
      <c r="B108" s="54"/>
      <c r="C108" s="54"/>
      <c r="D108" s="59"/>
      <c r="E108" s="59"/>
      <c r="F108" s="63"/>
      <c r="G108" s="54"/>
      <c r="H108" s="56"/>
      <c r="I108" s="56"/>
      <c r="J108" s="56">
        <v>150000</v>
      </c>
      <c r="K108" s="56"/>
      <c r="L108" s="67">
        <v>150000</v>
      </c>
      <c r="M108" s="54"/>
      <c r="N108" s="66"/>
      <c r="O108" s="66"/>
      <c r="P108" s="66"/>
      <c r="Q108" s="54"/>
      <c r="R108" s="67"/>
    </row>
    <row r="109" spans="1:18">
      <c r="A109" s="69" t="s">
        <v>59</v>
      </c>
      <c r="B109" s="54"/>
      <c r="C109" s="54"/>
      <c r="D109" s="59"/>
      <c r="E109" s="59"/>
      <c r="F109" s="63"/>
      <c r="G109" s="54"/>
      <c r="H109" s="56"/>
      <c r="I109" s="56"/>
      <c r="J109" s="56"/>
      <c r="K109" s="56"/>
      <c r="L109" s="67">
        <v>0</v>
      </c>
      <c r="M109" s="54"/>
      <c r="N109" s="66"/>
      <c r="O109" s="66"/>
      <c r="P109" s="66"/>
      <c r="Q109" s="54"/>
      <c r="R109" s="67"/>
    </row>
    <row r="110" spans="1:18">
      <c r="A110" s="69" t="s">
        <v>60</v>
      </c>
      <c r="B110" s="54"/>
      <c r="C110" s="54"/>
      <c r="D110" s="59"/>
      <c r="E110" s="59"/>
      <c r="F110" s="63"/>
      <c r="G110" s="54"/>
      <c r="H110" s="56"/>
      <c r="I110" s="56"/>
      <c r="J110" s="56">
        <v>800000</v>
      </c>
      <c r="K110" s="56"/>
      <c r="L110" s="67">
        <v>800000</v>
      </c>
      <c r="M110" s="54"/>
      <c r="N110" s="66"/>
      <c r="O110" s="66"/>
      <c r="P110" s="66"/>
      <c r="Q110" s="54"/>
      <c r="R110" s="67"/>
    </row>
    <row r="111" spans="1:18">
      <c r="A111" s="68" t="s">
        <v>61</v>
      </c>
      <c r="B111" s="54"/>
      <c r="C111" s="54"/>
      <c r="D111" s="59"/>
      <c r="E111" s="59"/>
      <c r="F111" s="63"/>
      <c r="G111" s="54"/>
      <c r="H111" s="64">
        <v>0</v>
      </c>
      <c r="I111" s="64">
        <v>0</v>
      </c>
      <c r="J111" s="64">
        <v>0</v>
      </c>
      <c r="K111" s="64">
        <v>0</v>
      </c>
      <c r="L111" s="65">
        <v>0</v>
      </c>
      <c r="M111" s="54"/>
      <c r="N111" s="66">
        <v>0</v>
      </c>
      <c r="O111" s="66">
        <v>0</v>
      </c>
      <c r="P111" s="66">
        <v>0</v>
      </c>
      <c r="Q111" s="66">
        <v>0</v>
      </c>
      <c r="R111" s="67">
        <v>0</v>
      </c>
    </row>
    <row r="112" spans="1:18">
      <c r="A112" s="69" t="s">
        <v>57</v>
      </c>
      <c r="B112" s="54"/>
      <c r="C112" s="54"/>
      <c r="D112" s="59"/>
      <c r="E112" s="59"/>
      <c r="F112" s="63"/>
      <c r="G112" s="54"/>
      <c r="H112" s="70">
        <v>0</v>
      </c>
      <c r="I112" s="70">
        <v>0</v>
      </c>
      <c r="J112" s="70">
        <v>0</v>
      </c>
      <c r="K112" s="70">
        <v>0</v>
      </c>
      <c r="L112" s="67">
        <v>0</v>
      </c>
      <c r="M112" s="54"/>
      <c r="N112" s="66"/>
      <c r="O112" s="66"/>
      <c r="P112" s="66"/>
      <c r="Q112" s="54"/>
      <c r="R112" s="67"/>
    </row>
    <row r="113" spans="1:18">
      <c r="A113" s="69" t="s">
        <v>58</v>
      </c>
      <c r="B113" s="54"/>
      <c r="C113" s="54"/>
      <c r="D113" s="59"/>
      <c r="E113" s="59"/>
      <c r="F113" s="63"/>
      <c r="G113" s="54"/>
      <c r="H113" s="56"/>
      <c r="I113" s="56"/>
      <c r="J113" s="56"/>
      <c r="K113" s="56"/>
      <c r="L113" s="67">
        <v>0</v>
      </c>
      <c r="M113" s="54"/>
      <c r="N113" s="66"/>
      <c r="O113" s="66"/>
      <c r="P113" s="66"/>
      <c r="Q113" s="54"/>
      <c r="R113" s="67"/>
    </row>
    <row r="114" spans="1:18">
      <c r="A114" s="69" t="s">
        <v>60</v>
      </c>
      <c r="B114" s="54"/>
      <c r="C114" s="54"/>
      <c r="D114" s="59"/>
      <c r="E114" s="59"/>
      <c r="F114" s="63"/>
      <c r="G114" s="54"/>
      <c r="H114" s="56"/>
      <c r="I114" s="56"/>
      <c r="J114" s="56"/>
      <c r="K114" s="56"/>
      <c r="L114" s="67">
        <v>0</v>
      </c>
      <c r="M114" s="54"/>
      <c r="N114" s="66"/>
      <c r="O114" s="66"/>
      <c r="P114" s="66"/>
      <c r="Q114" s="54"/>
      <c r="R114" s="67"/>
    </row>
    <row r="115" spans="1:18">
      <c r="A115" s="60" t="s">
        <v>89</v>
      </c>
      <c r="B115" s="57" t="s">
        <v>69</v>
      </c>
      <c r="C115" s="58" t="s">
        <v>83</v>
      </c>
      <c r="D115" s="59"/>
      <c r="E115" s="59"/>
      <c r="F115" s="63" t="s">
        <v>86</v>
      </c>
      <c r="G115" s="58" t="s">
        <v>79</v>
      </c>
      <c r="H115" s="64">
        <v>0</v>
      </c>
      <c r="I115" s="64">
        <v>1150000</v>
      </c>
      <c r="J115" s="64">
        <v>0</v>
      </c>
      <c r="K115" s="64">
        <v>0</v>
      </c>
      <c r="L115" s="65">
        <v>1150000</v>
      </c>
      <c r="M115" s="74">
        <v>1</v>
      </c>
      <c r="N115" s="66">
        <v>0</v>
      </c>
      <c r="O115" s="66">
        <v>1150000</v>
      </c>
      <c r="P115" s="66">
        <v>0</v>
      </c>
      <c r="Q115" s="66">
        <v>0</v>
      </c>
      <c r="R115" s="67">
        <v>1150000</v>
      </c>
    </row>
    <row r="116" spans="1:18">
      <c r="A116" s="68" t="s">
        <v>56</v>
      </c>
      <c r="B116" s="54"/>
      <c r="C116" s="54"/>
      <c r="D116" s="59"/>
      <c r="E116" s="59"/>
      <c r="F116" s="63"/>
      <c r="G116" s="54"/>
      <c r="H116" s="64">
        <v>0</v>
      </c>
      <c r="I116" s="64">
        <v>1150000</v>
      </c>
      <c r="J116" s="64">
        <v>0</v>
      </c>
      <c r="K116" s="64">
        <v>0</v>
      </c>
      <c r="L116" s="65">
        <v>1150000</v>
      </c>
      <c r="M116" s="54"/>
      <c r="N116" s="66">
        <v>0</v>
      </c>
      <c r="O116" s="66">
        <v>1150000</v>
      </c>
      <c r="P116" s="66">
        <v>0</v>
      </c>
      <c r="Q116" s="66">
        <v>0</v>
      </c>
      <c r="R116" s="67">
        <v>1150000</v>
      </c>
    </row>
    <row r="117" spans="1:18">
      <c r="A117" s="69" t="s">
        <v>57</v>
      </c>
      <c r="B117" s="54"/>
      <c r="C117" s="54"/>
      <c r="D117" s="59"/>
      <c r="E117" s="59"/>
      <c r="F117" s="63"/>
      <c r="G117" s="54"/>
      <c r="H117" s="56"/>
      <c r="I117" s="56"/>
      <c r="J117" s="56"/>
      <c r="K117" s="56"/>
      <c r="L117" s="67">
        <v>0</v>
      </c>
      <c r="M117" s="54"/>
      <c r="N117" s="66"/>
      <c r="O117" s="66"/>
      <c r="P117" s="66"/>
      <c r="Q117" s="54"/>
      <c r="R117" s="67"/>
    </row>
    <row r="118" spans="1:18">
      <c r="A118" s="69" t="s">
        <v>58</v>
      </c>
      <c r="B118" s="54"/>
      <c r="C118" s="54"/>
      <c r="D118" s="59"/>
      <c r="E118" s="59"/>
      <c r="F118" s="63"/>
      <c r="G118" s="54"/>
      <c r="H118" s="56"/>
      <c r="I118" s="56">
        <v>150000</v>
      </c>
      <c r="J118" s="56"/>
      <c r="K118" s="56"/>
      <c r="L118" s="67">
        <v>150000</v>
      </c>
      <c r="M118" s="54"/>
      <c r="N118" s="66"/>
      <c r="O118" s="66"/>
      <c r="P118" s="66"/>
      <c r="Q118" s="54"/>
      <c r="R118" s="67"/>
    </row>
    <row r="119" spans="1:18">
      <c r="A119" s="69" t="s">
        <v>59</v>
      </c>
      <c r="B119" s="54"/>
      <c r="C119" s="54"/>
      <c r="D119" s="59"/>
      <c r="E119" s="59"/>
      <c r="F119" s="63"/>
      <c r="G119" s="54"/>
      <c r="H119" s="56"/>
      <c r="I119" s="56"/>
      <c r="J119" s="56"/>
      <c r="K119" s="56"/>
      <c r="L119" s="67">
        <v>0</v>
      </c>
      <c r="M119" s="54"/>
      <c r="N119" s="66"/>
      <c r="O119" s="66"/>
      <c r="P119" s="66"/>
      <c r="Q119" s="54"/>
      <c r="R119" s="67"/>
    </row>
    <row r="120" spans="1:18">
      <c r="A120" s="69" t="s">
        <v>60</v>
      </c>
      <c r="B120" s="54"/>
      <c r="C120" s="54"/>
      <c r="D120" s="59"/>
      <c r="E120" s="59"/>
      <c r="F120" s="63"/>
      <c r="G120" s="54"/>
      <c r="H120" s="56"/>
      <c r="I120" s="56">
        <v>1000000</v>
      </c>
      <c r="J120" s="56"/>
      <c r="K120" s="56"/>
      <c r="L120" s="67">
        <v>1000000</v>
      </c>
      <c r="M120" s="54"/>
      <c r="N120" s="66"/>
      <c r="O120" s="66"/>
      <c r="P120" s="66"/>
      <c r="Q120" s="54"/>
      <c r="R120" s="67"/>
    </row>
    <row r="121" spans="1:18">
      <c r="A121" s="68" t="s">
        <v>61</v>
      </c>
      <c r="B121" s="54"/>
      <c r="C121" s="54"/>
      <c r="D121" s="59"/>
      <c r="E121" s="59"/>
      <c r="F121" s="63"/>
      <c r="G121" s="54"/>
      <c r="H121" s="64">
        <v>0</v>
      </c>
      <c r="I121" s="64">
        <v>0</v>
      </c>
      <c r="J121" s="64">
        <v>0</v>
      </c>
      <c r="K121" s="64">
        <v>0</v>
      </c>
      <c r="L121" s="65">
        <v>0</v>
      </c>
      <c r="M121" s="54"/>
      <c r="N121" s="66">
        <v>0</v>
      </c>
      <c r="O121" s="66">
        <v>0</v>
      </c>
      <c r="P121" s="66">
        <v>0</v>
      </c>
      <c r="Q121" s="66">
        <v>0</v>
      </c>
      <c r="R121" s="67">
        <v>0</v>
      </c>
    </row>
    <row r="122" spans="1:18">
      <c r="A122" s="69" t="s">
        <v>57</v>
      </c>
      <c r="B122" s="54"/>
      <c r="C122" s="54"/>
      <c r="D122" s="59"/>
      <c r="E122" s="59"/>
      <c r="F122" s="63"/>
      <c r="G122" s="54"/>
      <c r="H122" s="70">
        <v>0</v>
      </c>
      <c r="I122" s="70">
        <v>0</v>
      </c>
      <c r="J122" s="70">
        <v>0</v>
      </c>
      <c r="K122" s="70">
        <v>0</v>
      </c>
      <c r="L122" s="67">
        <v>0</v>
      </c>
      <c r="M122" s="54"/>
      <c r="N122" s="66"/>
      <c r="O122" s="66"/>
      <c r="P122" s="66"/>
      <c r="Q122" s="54"/>
      <c r="R122" s="67"/>
    </row>
    <row r="123" spans="1:18">
      <c r="A123" s="69" t="s">
        <v>58</v>
      </c>
      <c r="B123" s="54"/>
      <c r="C123" s="54"/>
      <c r="D123" s="59"/>
      <c r="E123" s="59"/>
      <c r="F123" s="63"/>
      <c r="G123" s="54"/>
      <c r="H123" s="56"/>
      <c r="I123" s="56"/>
      <c r="J123" s="56"/>
      <c r="K123" s="56"/>
      <c r="L123" s="67">
        <v>0</v>
      </c>
      <c r="M123" s="54"/>
      <c r="N123" s="66"/>
      <c r="O123" s="66"/>
      <c r="P123" s="66"/>
      <c r="Q123" s="54"/>
      <c r="R123" s="67"/>
    </row>
    <row r="124" spans="1:18">
      <c r="A124" s="69" t="s">
        <v>60</v>
      </c>
      <c r="B124" s="54"/>
      <c r="C124" s="54"/>
      <c r="D124" s="59"/>
      <c r="E124" s="59"/>
      <c r="F124" s="63"/>
      <c r="G124" s="54"/>
      <c r="H124" s="56"/>
      <c r="I124" s="56"/>
      <c r="J124" s="56"/>
      <c r="K124" s="56"/>
      <c r="L124" s="67">
        <v>0</v>
      </c>
      <c r="M124" s="54"/>
      <c r="N124" s="66"/>
      <c r="O124" s="66"/>
      <c r="P124" s="66"/>
      <c r="Q124" s="54"/>
      <c r="R124" s="67"/>
    </row>
    <row r="125" spans="1:18">
      <c r="A125" s="60" t="s">
        <v>90</v>
      </c>
      <c r="B125" s="57" t="s">
        <v>66</v>
      </c>
      <c r="C125" s="58" t="s">
        <v>53</v>
      </c>
      <c r="D125" s="59"/>
      <c r="E125" s="59"/>
      <c r="F125" s="63"/>
      <c r="G125" s="58" t="s">
        <v>64</v>
      </c>
      <c r="H125" s="64">
        <v>75000</v>
      </c>
      <c r="I125" s="64">
        <v>0</v>
      </c>
      <c r="J125" s="64">
        <v>0</v>
      </c>
      <c r="K125" s="64">
        <v>0</v>
      </c>
      <c r="L125" s="65">
        <v>75000</v>
      </c>
      <c r="M125" s="74">
        <v>1</v>
      </c>
      <c r="N125" s="66">
        <v>75000</v>
      </c>
      <c r="O125" s="66">
        <v>0</v>
      </c>
      <c r="P125" s="66">
        <v>0</v>
      </c>
      <c r="Q125" s="66">
        <v>0</v>
      </c>
      <c r="R125" s="67">
        <v>75000</v>
      </c>
    </row>
    <row r="126" spans="1:18">
      <c r="A126" s="68" t="s">
        <v>56</v>
      </c>
      <c r="B126" s="54"/>
      <c r="C126" s="54"/>
      <c r="D126" s="59"/>
      <c r="E126" s="59"/>
      <c r="F126" s="63"/>
      <c r="G126" s="54"/>
      <c r="H126" s="64">
        <v>0</v>
      </c>
      <c r="I126" s="64">
        <v>0</v>
      </c>
      <c r="J126" s="64">
        <v>0</v>
      </c>
      <c r="K126" s="64">
        <v>0</v>
      </c>
      <c r="L126" s="65">
        <v>0</v>
      </c>
      <c r="M126" s="54"/>
      <c r="N126" s="66">
        <v>0</v>
      </c>
      <c r="O126" s="66">
        <v>0</v>
      </c>
      <c r="P126" s="66">
        <v>0</v>
      </c>
      <c r="Q126" s="66">
        <v>0</v>
      </c>
      <c r="R126" s="67">
        <v>0</v>
      </c>
    </row>
    <row r="127" spans="1:18">
      <c r="A127" s="69" t="s">
        <v>57</v>
      </c>
      <c r="B127" s="54"/>
      <c r="C127" s="54"/>
      <c r="D127" s="59"/>
      <c r="E127" s="59"/>
      <c r="F127" s="63"/>
      <c r="G127" s="54"/>
      <c r="H127" s="56"/>
      <c r="I127" s="56"/>
      <c r="J127" s="56"/>
      <c r="K127" s="56"/>
      <c r="L127" s="67">
        <v>0</v>
      </c>
      <c r="M127" s="54"/>
      <c r="N127" s="66"/>
      <c r="O127" s="66"/>
      <c r="P127" s="66"/>
      <c r="Q127" s="54"/>
      <c r="R127" s="67"/>
    </row>
    <row r="128" spans="1:18">
      <c r="A128" s="69" t="s">
        <v>58</v>
      </c>
      <c r="B128" s="54"/>
      <c r="C128" s="54"/>
      <c r="D128" s="59"/>
      <c r="E128" s="59"/>
      <c r="F128" s="63"/>
      <c r="G128" s="54"/>
      <c r="H128" s="56"/>
      <c r="I128" s="56"/>
      <c r="J128" s="56"/>
      <c r="K128" s="56"/>
      <c r="L128" s="67">
        <v>0</v>
      </c>
      <c r="M128" s="54"/>
      <c r="N128" s="66"/>
      <c r="O128" s="66"/>
      <c r="P128" s="66"/>
      <c r="Q128" s="54"/>
      <c r="R128" s="67"/>
    </row>
    <row r="129" spans="1:18">
      <c r="A129" s="69" t="s">
        <v>59</v>
      </c>
      <c r="B129" s="54"/>
      <c r="C129" s="54"/>
      <c r="D129" s="59"/>
      <c r="E129" s="59"/>
      <c r="F129" s="63"/>
      <c r="G129" s="54"/>
      <c r="H129" s="56"/>
      <c r="I129" s="56"/>
      <c r="J129" s="56"/>
      <c r="K129" s="56"/>
      <c r="L129" s="67">
        <v>0</v>
      </c>
      <c r="M129" s="54"/>
      <c r="N129" s="66"/>
      <c r="O129" s="66"/>
      <c r="P129" s="66"/>
      <c r="Q129" s="54"/>
      <c r="R129" s="67"/>
    </row>
    <row r="130" spans="1:18">
      <c r="A130" s="69" t="s">
        <v>60</v>
      </c>
      <c r="B130" s="54"/>
      <c r="C130" s="54"/>
      <c r="D130" s="59"/>
      <c r="E130" s="59"/>
      <c r="F130" s="63"/>
      <c r="G130" s="54"/>
      <c r="H130" s="56"/>
      <c r="I130" s="56"/>
      <c r="J130" s="56"/>
      <c r="K130" s="56"/>
      <c r="L130" s="67">
        <v>0</v>
      </c>
      <c r="M130" s="54"/>
      <c r="N130" s="66"/>
      <c r="O130" s="66"/>
      <c r="P130" s="66"/>
      <c r="Q130" s="54"/>
      <c r="R130" s="67"/>
    </row>
    <row r="131" spans="1:18">
      <c r="A131" s="68" t="s">
        <v>61</v>
      </c>
      <c r="B131" s="54"/>
      <c r="C131" s="54"/>
      <c r="D131" s="59"/>
      <c r="E131" s="59"/>
      <c r="F131" s="63"/>
      <c r="G131" s="54"/>
      <c r="H131" s="64">
        <v>75000</v>
      </c>
      <c r="I131" s="64">
        <v>0</v>
      </c>
      <c r="J131" s="64">
        <v>0</v>
      </c>
      <c r="K131" s="64">
        <v>0</v>
      </c>
      <c r="L131" s="65">
        <v>75000</v>
      </c>
      <c r="M131" s="54"/>
      <c r="N131" s="66">
        <v>75000</v>
      </c>
      <c r="O131" s="66">
        <v>0</v>
      </c>
      <c r="P131" s="66">
        <v>0</v>
      </c>
      <c r="Q131" s="66">
        <v>0</v>
      </c>
      <c r="R131" s="67">
        <v>75000</v>
      </c>
    </row>
    <row r="132" spans="1:18">
      <c r="A132" s="69" t="s">
        <v>57</v>
      </c>
      <c r="B132" s="54"/>
      <c r="C132" s="54"/>
      <c r="D132" s="59"/>
      <c r="E132" s="59"/>
      <c r="F132" s="63"/>
      <c r="G132" s="54"/>
      <c r="H132" s="70">
        <v>0</v>
      </c>
      <c r="I132" s="70">
        <v>0</v>
      </c>
      <c r="J132" s="70">
        <v>0</v>
      </c>
      <c r="K132" s="70">
        <v>0</v>
      </c>
      <c r="L132" s="67">
        <v>0</v>
      </c>
      <c r="M132" s="54"/>
      <c r="N132" s="66"/>
      <c r="O132" s="66"/>
      <c r="P132" s="66"/>
      <c r="Q132" s="54"/>
      <c r="R132" s="67"/>
    </row>
    <row r="133" spans="1:18">
      <c r="A133" s="69" t="s">
        <v>58</v>
      </c>
      <c r="B133" s="54"/>
      <c r="C133" s="54"/>
      <c r="D133" s="59"/>
      <c r="E133" s="59"/>
      <c r="F133" s="63"/>
      <c r="G133" s="54"/>
      <c r="H133" s="56">
        <v>75000</v>
      </c>
      <c r="I133" s="56"/>
      <c r="J133" s="56"/>
      <c r="K133" s="56"/>
      <c r="L133" s="67">
        <v>75000</v>
      </c>
      <c r="M133" s="54"/>
      <c r="N133" s="66"/>
      <c r="O133" s="66"/>
      <c r="P133" s="66"/>
      <c r="Q133" s="54"/>
      <c r="R133" s="67"/>
    </row>
    <row r="134" spans="1:18">
      <c r="A134" s="69" t="s">
        <v>60</v>
      </c>
      <c r="B134" s="54"/>
      <c r="C134" s="54"/>
      <c r="D134" s="59"/>
      <c r="E134" s="59"/>
      <c r="F134" s="63"/>
      <c r="G134" s="54"/>
      <c r="H134" s="56"/>
      <c r="I134" s="56"/>
      <c r="J134" s="56"/>
      <c r="K134" s="56"/>
      <c r="L134" s="67">
        <v>0</v>
      </c>
      <c r="M134" s="54"/>
      <c r="N134" s="66"/>
      <c r="O134" s="66"/>
      <c r="P134" s="66"/>
      <c r="Q134" s="54"/>
      <c r="R134" s="67"/>
    </row>
    <row r="135" spans="1:18">
      <c r="A135" s="60" t="s">
        <v>91</v>
      </c>
      <c r="B135" s="57" t="s">
        <v>66</v>
      </c>
      <c r="C135" s="58" t="s">
        <v>77</v>
      </c>
      <c r="D135" s="59"/>
      <c r="E135" s="59"/>
      <c r="F135" s="63" t="s">
        <v>92</v>
      </c>
      <c r="G135" s="58" t="s">
        <v>55</v>
      </c>
      <c r="H135" s="64">
        <v>0</v>
      </c>
      <c r="I135" s="64">
        <v>122740</v>
      </c>
      <c r="J135" s="64">
        <v>0</v>
      </c>
      <c r="K135" s="64">
        <v>0</v>
      </c>
      <c r="L135" s="65">
        <v>122740</v>
      </c>
      <c r="M135" s="74">
        <v>1</v>
      </c>
      <c r="N135" s="66">
        <v>0</v>
      </c>
      <c r="O135" s="66">
        <v>122740</v>
      </c>
      <c r="P135" s="66">
        <v>0</v>
      </c>
      <c r="Q135" s="66">
        <v>0</v>
      </c>
      <c r="R135" s="67">
        <v>122740</v>
      </c>
    </row>
    <row r="136" spans="1:18">
      <c r="A136" s="68" t="s">
        <v>56</v>
      </c>
      <c r="B136" s="54"/>
      <c r="C136" s="54"/>
      <c r="D136" s="59"/>
      <c r="E136" s="59"/>
      <c r="F136" s="63"/>
      <c r="G136" s="54"/>
      <c r="H136" s="64">
        <v>0</v>
      </c>
      <c r="I136" s="64">
        <v>0</v>
      </c>
      <c r="J136" s="64">
        <v>0</v>
      </c>
      <c r="K136" s="64">
        <v>0</v>
      </c>
      <c r="L136" s="65">
        <v>0</v>
      </c>
      <c r="M136" s="54"/>
      <c r="N136" s="66">
        <v>0</v>
      </c>
      <c r="O136" s="66">
        <v>0</v>
      </c>
      <c r="P136" s="66">
        <v>0</v>
      </c>
      <c r="Q136" s="66">
        <v>0</v>
      </c>
      <c r="R136" s="67">
        <v>0</v>
      </c>
    </row>
    <row r="137" spans="1:18">
      <c r="A137" s="69" t="s">
        <v>57</v>
      </c>
      <c r="B137" s="54"/>
      <c r="C137" s="54"/>
      <c r="D137" s="59"/>
      <c r="E137" s="59"/>
      <c r="F137" s="63"/>
      <c r="G137" s="54"/>
      <c r="H137" s="56"/>
      <c r="I137" s="56"/>
      <c r="J137" s="56"/>
      <c r="K137" s="56"/>
      <c r="L137" s="67">
        <v>0</v>
      </c>
      <c r="M137" s="54"/>
      <c r="N137" s="66"/>
      <c r="O137" s="66"/>
      <c r="P137" s="66"/>
      <c r="Q137" s="54"/>
      <c r="R137" s="67"/>
    </row>
    <row r="138" spans="1:18">
      <c r="A138" s="69" t="s">
        <v>58</v>
      </c>
      <c r="B138" s="54"/>
      <c r="C138" s="54"/>
      <c r="D138" s="59"/>
      <c r="E138" s="59"/>
      <c r="F138" s="63"/>
      <c r="G138" s="54"/>
      <c r="H138" s="56"/>
      <c r="I138" s="56"/>
      <c r="J138" s="56"/>
      <c r="K138" s="56"/>
      <c r="L138" s="67">
        <v>0</v>
      </c>
      <c r="M138" s="54"/>
      <c r="N138" s="66"/>
      <c r="O138" s="66"/>
      <c r="P138" s="66"/>
      <c r="Q138" s="54"/>
      <c r="R138" s="67"/>
    </row>
    <row r="139" spans="1:18">
      <c r="A139" s="69" t="s">
        <v>59</v>
      </c>
      <c r="B139" s="54"/>
      <c r="C139" s="54"/>
      <c r="D139" s="59"/>
      <c r="E139" s="59"/>
      <c r="F139" s="63"/>
      <c r="G139" s="54"/>
      <c r="H139" s="56"/>
      <c r="I139" s="56"/>
      <c r="J139" s="56"/>
      <c r="K139" s="56"/>
      <c r="L139" s="67">
        <v>0</v>
      </c>
      <c r="M139" s="54"/>
      <c r="N139" s="66"/>
      <c r="O139" s="66"/>
      <c r="P139" s="66"/>
      <c r="Q139" s="54"/>
      <c r="R139" s="67"/>
    </row>
    <row r="140" spans="1:18">
      <c r="A140" s="69" t="s">
        <v>60</v>
      </c>
      <c r="B140" s="54"/>
      <c r="C140" s="54"/>
      <c r="D140" s="59"/>
      <c r="E140" s="59"/>
      <c r="F140" s="63"/>
      <c r="G140" s="54"/>
      <c r="H140" s="56"/>
      <c r="I140" s="56"/>
      <c r="J140" s="56"/>
      <c r="K140" s="56"/>
      <c r="L140" s="67">
        <v>0</v>
      </c>
      <c r="M140" s="54"/>
      <c r="N140" s="66"/>
      <c r="O140" s="66"/>
      <c r="P140" s="66"/>
      <c r="Q140" s="54"/>
      <c r="R140" s="67"/>
    </row>
    <row r="141" spans="1:18">
      <c r="A141" s="68" t="s">
        <v>61</v>
      </c>
      <c r="B141" s="54"/>
      <c r="C141" s="54"/>
      <c r="D141" s="59"/>
      <c r="E141" s="59"/>
      <c r="F141" s="63"/>
      <c r="G141" s="54"/>
      <c r="H141" s="64">
        <v>0</v>
      </c>
      <c r="I141" s="64">
        <v>122740</v>
      </c>
      <c r="J141" s="64">
        <v>0</v>
      </c>
      <c r="K141" s="64">
        <v>0</v>
      </c>
      <c r="L141" s="65">
        <v>122740</v>
      </c>
      <c r="M141" s="54"/>
      <c r="N141" s="66">
        <v>0</v>
      </c>
      <c r="O141" s="66">
        <v>122740</v>
      </c>
      <c r="P141" s="66">
        <v>0</v>
      </c>
      <c r="Q141" s="66">
        <v>0</v>
      </c>
      <c r="R141" s="67">
        <v>122740</v>
      </c>
    </row>
    <row r="142" spans="1:18">
      <c r="A142" s="69" t="s">
        <v>57</v>
      </c>
      <c r="B142" s="54"/>
      <c r="C142" s="54"/>
      <c r="D142" s="59"/>
      <c r="E142" s="59"/>
      <c r="F142" s="63"/>
      <c r="G142" s="54"/>
      <c r="H142" s="70">
        <v>0</v>
      </c>
      <c r="I142" s="70">
        <v>122740</v>
      </c>
      <c r="J142" s="70">
        <v>0</v>
      </c>
      <c r="K142" s="70">
        <v>0</v>
      </c>
      <c r="L142" s="67">
        <v>122740</v>
      </c>
      <c r="M142" s="54"/>
      <c r="N142" s="66"/>
      <c r="O142" s="66"/>
      <c r="P142" s="66"/>
      <c r="Q142" s="54"/>
      <c r="R142" s="67"/>
    </row>
    <row r="143" spans="1:18">
      <c r="A143" s="69" t="s">
        <v>58</v>
      </c>
      <c r="B143" s="54"/>
      <c r="C143" s="54"/>
      <c r="D143" s="59"/>
      <c r="E143" s="59"/>
      <c r="F143" s="63"/>
      <c r="G143" s="54"/>
      <c r="H143" s="56"/>
      <c r="I143" s="56"/>
      <c r="J143" s="56"/>
      <c r="K143" s="56"/>
      <c r="L143" s="67">
        <v>0</v>
      </c>
      <c r="M143" s="54"/>
      <c r="N143" s="66"/>
      <c r="O143" s="66"/>
      <c r="P143" s="66"/>
      <c r="Q143" s="54"/>
      <c r="R143" s="67"/>
    </row>
    <row r="144" spans="1:18">
      <c r="A144" s="69" t="s">
        <v>60</v>
      </c>
      <c r="B144" s="54"/>
      <c r="C144" s="54"/>
      <c r="D144" s="59"/>
      <c r="E144" s="59"/>
      <c r="F144" s="63"/>
      <c r="G144" s="54"/>
      <c r="H144" s="56"/>
      <c r="I144" s="56"/>
      <c r="J144" s="56"/>
      <c r="K144" s="56"/>
      <c r="L144" s="67">
        <v>0</v>
      </c>
      <c r="M144" s="54"/>
      <c r="N144" s="66"/>
      <c r="O144" s="66"/>
      <c r="P144" s="66"/>
      <c r="Q144" s="54"/>
      <c r="R144" s="67"/>
    </row>
    <row r="145" spans="1:18">
      <c r="A145" s="60" t="s">
        <v>93</v>
      </c>
      <c r="B145" s="57" t="s">
        <v>94</v>
      </c>
      <c r="C145" s="58" t="s">
        <v>53</v>
      </c>
      <c r="D145" s="59"/>
      <c r="E145" s="59"/>
      <c r="F145" s="63"/>
      <c r="G145" s="58" t="s">
        <v>95</v>
      </c>
      <c r="H145" s="64">
        <v>290502.5</v>
      </c>
      <c r="I145" s="64">
        <v>138252.5</v>
      </c>
      <c r="J145" s="64">
        <v>97750</v>
      </c>
      <c r="K145" s="64">
        <v>97750</v>
      </c>
      <c r="L145" s="65">
        <v>624255</v>
      </c>
      <c r="M145" s="74">
        <v>1</v>
      </c>
      <c r="N145" s="66">
        <v>290502.5</v>
      </c>
      <c r="O145" s="66">
        <v>138252.5</v>
      </c>
      <c r="P145" s="66">
        <v>97750</v>
      </c>
      <c r="Q145" s="66">
        <v>97750</v>
      </c>
      <c r="R145" s="67">
        <v>624255</v>
      </c>
    </row>
    <row r="146" spans="1:18">
      <c r="A146" s="68" t="s">
        <v>56</v>
      </c>
      <c r="B146" s="54"/>
      <c r="C146" s="54"/>
      <c r="D146" s="59"/>
      <c r="E146" s="59"/>
      <c r="F146" s="63"/>
      <c r="G146" s="54"/>
      <c r="H146" s="64">
        <v>0</v>
      </c>
      <c r="I146" s="64">
        <v>0</v>
      </c>
      <c r="J146" s="64">
        <v>0</v>
      </c>
      <c r="K146" s="64">
        <v>0</v>
      </c>
      <c r="L146" s="65">
        <v>0</v>
      </c>
      <c r="M146" s="54"/>
      <c r="N146" s="66">
        <v>0</v>
      </c>
      <c r="O146" s="66">
        <v>0</v>
      </c>
      <c r="P146" s="66">
        <v>0</v>
      </c>
      <c r="Q146" s="66">
        <v>0</v>
      </c>
      <c r="R146" s="67">
        <v>0</v>
      </c>
    </row>
    <row r="147" spans="1:18">
      <c r="A147" s="69" t="s">
        <v>57</v>
      </c>
      <c r="B147" s="54"/>
      <c r="C147" s="54"/>
      <c r="D147" s="59"/>
      <c r="E147" s="59"/>
      <c r="F147" s="63"/>
      <c r="G147" s="54"/>
      <c r="H147" s="54"/>
      <c r="I147" s="56"/>
      <c r="J147" s="56"/>
      <c r="K147" s="56"/>
      <c r="L147" s="67">
        <v>0</v>
      </c>
      <c r="M147" s="54"/>
      <c r="N147" s="66"/>
      <c r="O147" s="66"/>
      <c r="P147" s="66"/>
      <c r="Q147" s="54"/>
      <c r="R147" s="67"/>
    </row>
    <row r="148" spans="1:18">
      <c r="A148" s="69" t="s">
        <v>58</v>
      </c>
      <c r="B148" s="54"/>
      <c r="C148" s="54"/>
      <c r="D148" s="59"/>
      <c r="E148" s="59"/>
      <c r="F148" s="63"/>
      <c r="G148" s="54"/>
      <c r="H148" s="56"/>
      <c r="I148" s="56"/>
      <c r="J148" s="56"/>
      <c r="K148" s="56"/>
      <c r="L148" s="67">
        <v>0</v>
      </c>
      <c r="M148" s="54"/>
      <c r="N148" s="66"/>
      <c r="O148" s="66"/>
      <c r="P148" s="66"/>
      <c r="Q148" s="54"/>
      <c r="R148" s="67"/>
    </row>
    <row r="149" spans="1:18">
      <c r="A149" s="69" t="s">
        <v>59</v>
      </c>
      <c r="B149" s="54"/>
      <c r="C149" s="54"/>
      <c r="D149" s="59"/>
      <c r="E149" s="59"/>
      <c r="F149" s="63"/>
      <c r="G149" s="54"/>
      <c r="H149" s="56"/>
      <c r="I149" s="56"/>
      <c r="J149" s="56"/>
      <c r="K149" s="56"/>
      <c r="L149" s="67">
        <v>0</v>
      </c>
      <c r="M149" s="54"/>
      <c r="N149" s="66"/>
      <c r="O149" s="66"/>
      <c r="P149" s="66"/>
      <c r="Q149" s="54"/>
      <c r="R149" s="67"/>
    </row>
    <row r="150" spans="1:18">
      <c r="A150" s="69" t="s">
        <v>60</v>
      </c>
      <c r="B150" s="54"/>
      <c r="C150" s="54"/>
      <c r="D150" s="59"/>
      <c r="E150" s="59"/>
      <c r="F150" s="63"/>
      <c r="G150" s="54"/>
      <c r="H150" s="56"/>
      <c r="I150" s="56"/>
      <c r="J150" s="56"/>
      <c r="K150" s="56"/>
      <c r="L150" s="67">
        <v>0</v>
      </c>
      <c r="M150" s="54"/>
      <c r="N150" s="66"/>
      <c r="O150" s="66"/>
      <c r="P150" s="66"/>
      <c r="Q150" s="54"/>
      <c r="R150" s="67"/>
    </row>
    <row r="151" spans="1:18">
      <c r="A151" s="68" t="s">
        <v>61</v>
      </c>
      <c r="B151" s="54"/>
      <c r="C151" s="54"/>
      <c r="D151" s="59"/>
      <c r="E151" s="59"/>
      <c r="F151" s="63"/>
      <c r="G151" s="54"/>
      <c r="H151" s="64">
        <v>290502.5</v>
      </c>
      <c r="I151" s="64">
        <v>138252.5</v>
      </c>
      <c r="J151" s="64">
        <v>97750</v>
      </c>
      <c r="K151" s="64">
        <v>97750</v>
      </c>
      <c r="L151" s="65">
        <v>624255</v>
      </c>
      <c r="M151" s="54"/>
      <c r="N151" s="66">
        <v>290502.5</v>
      </c>
      <c r="O151" s="66">
        <v>138252.5</v>
      </c>
      <c r="P151" s="66">
        <v>97750</v>
      </c>
      <c r="Q151" s="66">
        <v>97750</v>
      </c>
      <c r="R151" s="67">
        <v>624255</v>
      </c>
    </row>
    <row r="152" spans="1:18">
      <c r="A152" s="69" t="s">
        <v>57</v>
      </c>
      <c r="B152" s="54"/>
      <c r="C152" s="54"/>
      <c r="D152" s="59"/>
      <c r="E152" s="59"/>
      <c r="F152" s="63"/>
      <c r="G152" s="54"/>
      <c r="H152" s="70">
        <v>40502.5</v>
      </c>
      <c r="I152" s="70">
        <v>138252.5</v>
      </c>
      <c r="J152" s="70">
        <v>97750</v>
      </c>
      <c r="K152" s="70">
        <v>97750</v>
      </c>
      <c r="L152" s="67">
        <v>374255</v>
      </c>
      <c r="M152" s="54"/>
      <c r="N152" s="66"/>
      <c r="O152" s="66"/>
      <c r="P152" s="66"/>
      <c r="Q152" s="54"/>
      <c r="R152" s="67"/>
    </row>
    <row r="153" spans="1:18">
      <c r="A153" s="69" t="s">
        <v>58</v>
      </c>
      <c r="B153" s="54"/>
      <c r="C153" s="54"/>
      <c r="D153" s="59"/>
      <c r="E153" s="59"/>
      <c r="F153" s="63"/>
      <c r="G153" s="54"/>
      <c r="H153" s="56">
        <v>250000</v>
      </c>
      <c r="I153" s="56"/>
      <c r="J153" s="56"/>
      <c r="K153" s="56"/>
      <c r="L153" s="67">
        <v>250000</v>
      </c>
      <c r="M153" s="54"/>
      <c r="N153" s="66"/>
      <c r="O153" s="66"/>
      <c r="P153" s="66"/>
      <c r="Q153" s="54"/>
      <c r="R153" s="67"/>
    </row>
    <row r="154" spans="1:18">
      <c r="A154" s="69" t="s">
        <v>60</v>
      </c>
      <c r="B154" s="54"/>
      <c r="C154" s="54"/>
      <c r="D154" s="59"/>
      <c r="E154" s="59"/>
      <c r="F154" s="63"/>
      <c r="G154" s="54"/>
      <c r="H154" s="56"/>
      <c r="I154" s="56"/>
      <c r="J154" s="56"/>
      <c r="K154" s="56"/>
      <c r="L154" s="67">
        <v>0</v>
      </c>
      <c r="M154" s="54"/>
      <c r="N154" s="66"/>
      <c r="O154" s="66"/>
      <c r="P154" s="66"/>
      <c r="Q154" s="54"/>
      <c r="R154" s="67"/>
    </row>
    <row r="155" spans="1:18">
      <c r="A155" s="60" t="s">
        <v>96</v>
      </c>
      <c r="B155" s="57" t="s">
        <v>94</v>
      </c>
      <c r="C155" s="58" t="s">
        <v>53</v>
      </c>
      <c r="D155" s="59"/>
      <c r="E155" s="59"/>
      <c r="F155" s="63"/>
      <c r="G155" s="58" t="s">
        <v>97</v>
      </c>
      <c r="H155" s="64">
        <v>290502.5</v>
      </c>
      <c r="I155" s="64">
        <v>138252.5</v>
      </c>
      <c r="J155" s="64">
        <v>97750</v>
      </c>
      <c r="K155" s="64">
        <v>97750</v>
      </c>
      <c r="L155" s="65">
        <v>624255</v>
      </c>
      <c r="M155" s="74">
        <v>1</v>
      </c>
      <c r="N155" s="66">
        <v>290502.5</v>
      </c>
      <c r="O155" s="66">
        <v>138252.5</v>
      </c>
      <c r="P155" s="66">
        <v>97750</v>
      </c>
      <c r="Q155" s="66">
        <v>97750</v>
      </c>
      <c r="R155" s="67">
        <v>624255</v>
      </c>
    </row>
    <row r="156" spans="1:18">
      <c r="A156" s="68" t="s">
        <v>56</v>
      </c>
      <c r="B156" s="54"/>
      <c r="C156" s="54"/>
      <c r="D156" s="59"/>
      <c r="E156" s="59"/>
      <c r="F156" s="63"/>
      <c r="G156" s="54"/>
      <c r="H156" s="64">
        <v>0</v>
      </c>
      <c r="I156" s="64">
        <v>0</v>
      </c>
      <c r="J156" s="64">
        <v>0</v>
      </c>
      <c r="K156" s="64">
        <v>0</v>
      </c>
      <c r="L156" s="65">
        <v>0</v>
      </c>
      <c r="M156" s="54"/>
      <c r="N156" s="66">
        <v>0</v>
      </c>
      <c r="O156" s="66">
        <v>0</v>
      </c>
      <c r="P156" s="66">
        <v>0</v>
      </c>
      <c r="Q156" s="66">
        <v>0</v>
      </c>
      <c r="R156" s="67">
        <v>0</v>
      </c>
    </row>
    <row r="157" spans="1:18">
      <c r="A157" s="69" t="s">
        <v>57</v>
      </c>
      <c r="B157" s="54"/>
      <c r="C157" s="54"/>
      <c r="D157" s="59"/>
      <c r="E157" s="59"/>
      <c r="F157" s="63"/>
      <c r="G157" s="54"/>
      <c r="H157" s="56"/>
      <c r="I157" s="56"/>
      <c r="J157" s="56"/>
      <c r="K157" s="56"/>
      <c r="L157" s="67">
        <v>0</v>
      </c>
      <c r="M157" s="54"/>
      <c r="N157" s="66"/>
      <c r="O157" s="66"/>
      <c r="P157" s="66"/>
      <c r="Q157" s="54"/>
      <c r="R157" s="67"/>
    </row>
    <row r="158" spans="1:18">
      <c r="A158" s="69" t="s">
        <v>58</v>
      </c>
      <c r="B158" s="54"/>
      <c r="C158" s="54"/>
      <c r="D158" s="59"/>
      <c r="E158" s="59"/>
      <c r="F158" s="63"/>
      <c r="G158" s="54"/>
      <c r="H158" s="56"/>
      <c r="I158" s="56"/>
      <c r="J158" s="56"/>
      <c r="K158" s="56"/>
      <c r="L158" s="67">
        <v>0</v>
      </c>
      <c r="M158" s="54"/>
      <c r="N158" s="66"/>
      <c r="O158" s="66"/>
      <c r="P158" s="66"/>
      <c r="Q158" s="54"/>
      <c r="R158" s="67"/>
    </row>
    <row r="159" spans="1:18">
      <c r="A159" s="69" t="s">
        <v>59</v>
      </c>
      <c r="B159" s="54"/>
      <c r="C159" s="54"/>
      <c r="D159" s="59"/>
      <c r="E159" s="59"/>
      <c r="F159" s="63"/>
      <c r="G159" s="54"/>
      <c r="H159" s="56"/>
      <c r="I159" s="56"/>
      <c r="J159" s="56"/>
      <c r="K159" s="56"/>
      <c r="L159" s="67">
        <v>0</v>
      </c>
      <c r="M159" s="54"/>
      <c r="N159" s="66"/>
      <c r="O159" s="66"/>
      <c r="P159" s="66"/>
      <c r="Q159" s="54"/>
      <c r="R159" s="67"/>
    </row>
    <row r="160" spans="1:18">
      <c r="A160" s="69" t="s">
        <v>60</v>
      </c>
      <c r="B160" s="54"/>
      <c r="C160" s="54"/>
      <c r="D160" s="59"/>
      <c r="E160" s="59"/>
      <c r="F160" s="63"/>
      <c r="G160" s="54"/>
      <c r="H160" s="56"/>
      <c r="I160" s="56"/>
      <c r="J160" s="56"/>
      <c r="K160" s="56"/>
      <c r="L160" s="67">
        <v>0</v>
      </c>
      <c r="M160" s="54"/>
      <c r="N160" s="66"/>
      <c r="O160" s="66"/>
      <c r="P160" s="66"/>
      <c r="Q160" s="54"/>
      <c r="R160" s="67"/>
    </row>
    <row r="161" spans="1:18">
      <c r="A161" s="68" t="s">
        <v>61</v>
      </c>
      <c r="B161" s="54"/>
      <c r="C161" s="54"/>
      <c r="D161" s="59"/>
      <c r="E161" s="59"/>
      <c r="F161" s="63"/>
      <c r="G161" s="54"/>
      <c r="H161" s="64">
        <v>290502.5</v>
      </c>
      <c r="I161" s="64">
        <v>138252.5</v>
      </c>
      <c r="J161" s="64">
        <v>97750</v>
      </c>
      <c r="K161" s="64">
        <v>97750</v>
      </c>
      <c r="L161" s="65">
        <v>624255</v>
      </c>
      <c r="M161" s="54"/>
      <c r="N161" s="66">
        <v>290502.5</v>
      </c>
      <c r="O161" s="66">
        <v>138252.5</v>
      </c>
      <c r="P161" s="66">
        <v>97750</v>
      </c>
      <c r="Q161" s="66">
        <v>97750</v>
      </c>
      <c r="R161" s="67">
        <v>624255</v>
      </c>
    </row>
    <row r="162" spans="1:18">
      <c r="A162" s="69" t="s">
        <v>57</v>
      </c>
      <c r="B162" s="54"/>
      <c r="C162" s="54"/>
      <c r="D162" s="59"/>
      <c r="E162" s="59"/>
      <c r="F162" s="63"/>
      <c r="G162" s="54"/>
      <c r="H162" s="70">
        <v>40502.5</v>
      </c>
      <c r="I162" s="70">
        <v>138252.5</v>
      </c>
      <c r="J162" s="70">
        <v>97750</v>
      </c>
      <c r="K162" s="70">
        <v>97750</v>
      </c>
      <c r="L162" s="67">
        <v>374255</v>
      </c>
      <c r="M162" s="54"/>
      <c r="N162" s="66"/>
      <c r="O162" s="66"/>
      <c r="P162" s="66"/>
      <c r="Q162" s="54"/>
      <c r="R162" s="67"/>
    </row>
    <row r="163" spans="1:18">
      <c r="A163" s="69" t="s">
        <v>58</v>
      </c>
      <c r="B163" s="54"/>
      <c r="C163" s="54"/>
      <c r="D163" s="59"/>
      <c r="E163" s="59"/>
      <c r="F163" s="63"/>
      <c r="G163" s="54"/>
      <c r="H163" s="56">
        <v>250000</v>
      </c>
      <c r="I163" s="56"/>
      <c r="J163" s="56"/>
      <c r="K163" s="56"/>
      <c r="L163" s="67">
        <v>250000</v>
      </c>
      <c r="M163" s="54"/>
      <c r="N163" s="66"/>
      <c r="O163" s="66"/>
      <c r="P163" s="66"/>
      <c r="Q163" s="54"/>
      <c r="R163" s="67"/>
    </row>
    <row r="164" spans="1:18">
      <c r="A164" s="69" t="s">
        <v>60</v>
      </c>
      <c r="B164" s="54"/>
      <c r="C164" s="54"/>
      <c r="D164" s="59"/>
      <c r="E164" s="59"/>
      <c r="F164" s="63"/>
      <c r="G164" s="54"/>
      <c r="H164" s="56"/>
      <c r="I164" s="56"/>
      <c r="J164" s="56"/>
      <c r="K164" s="56"/>
      <c r="L164" s="67">
        <v>0</v>
      </c>
      <c r="M164" s="54"/>
      <c r="N164" s="66"/>
      <c r="O164" s="66"/>
      <c r="P164" s="66"/>
      <c r="Q164" s="54"/>
      <c r="R164" s="67"/>
    </row>
    <row r="165" spans="1:18">
      <c r="A165" s="60" t="s">
        <v>98</v>
      </c>
      <c r="B165" s="57" t="s">
        <v>94</v>
      </c>
      <c r="C165" s="58" t="s">
        <v>53</v>
      </c>
      <c r="D165" s="59"/>
      <c r="E165" s="59"/>
      <c r="F165" s="63"/>
      <c r="G165" s="58" t="s">
        <v>99</v>
      </c>
      <c r="H165" s="64">
        <v>290502.5</v>
      </c>
      <c r="I165" s="64">
        <v>97750</v>
      </c>
      <c r="J165" s="64">
        <v>97750</v>
      </c>
      <c r="K165" s="64">
        <v>97750</v>
      </c>
      <c r="L165" s="65">
        <v>583752.5</v>
      </c>
      <c r="M165" s="74">
        <v>1</v>
      </c>
      <c r="N165" s="66">
        <v>290502.5</v>
      </c>
      <c r="O165" s="66">
        <v>97750</v>
      </c>
      <c r="P165" s="66">
        <v>97750</v>
      </c>
      <c r="Q165" s="66">
        <v>97750</v>
      </c>
      <c r="R165" s="67">
        <v>583752.5</v>
      </c>
    </row>
    <row r="166" spans="1:18">
      <c r="A166" s="68" t="s">
        <v>56</v>
      </c>
      <c r="B166" s="54"/>
      <c r="C166" s="54"/>
      <c r="D166" s="59"/>
      <c r="E166" s="59"/>
      <c r="F166" s="63"/>
      <c r="G166" s="54"/>
      <c r="H166" s="64">
        <v>0</v>
      </c>
      <c r="I166" s="64">
        <v>0</v>
      </c>
      <c r="J166" s="64">
        <v>0</v>
      </c>
      <c r="K166" s="64">
        <v>0</v>
      </c>
      <c r="L166" s="65">
        <v>0</v>
      </c>
      <c r="M166" s="54"/>
      <c r="N166" s="66">
        <v>0</v>
      </c>
      <c r="O166" s="66">
        <v>0</v>
      </c>
      <c r="P166" s="66">
        <v>0</v>
      </c>
      <c r="Q166" s="66">
        <v>0</v>
      </c>
      <c r="R166" s="67">
        <v>0</v>
      </c>
    </row>
    <row r="167" spans="1:18">
      <c r="A167" s="69" t="s">
        <v>57</v>
      </c>
      <c r="B167" s="54"/>
      <c r="C167" s="54"/>
      <c r="D167" s="59"/>
      <c r="E167" s="59"/>
      <c r="F167" s="63"/>
      <c r="G167" s="54"/>
      <c r="H167" s="56"/>
      <c r="I167" s="56"/>
      <c r="J167" s="56"/>
      <c r="K167" s="56"/>
      <c r="L167" s="67">
        <v>0</v>
      </c>
      <c r="M167" s="54"/>
      <c r="N167" s="66"/>
      <c r="O167" s="66"/>
      <c r="P167" s="66"/>
      <c r="Q167" s="54"/>
      <c r="R167" s="67"/>
    </row>
    <row r="168" spans="1:18">
      <c r="A168" s="69" t="s">
        <v>58</v>
      </c>
      <c r="B168" s="54"/>
      <c r="C168" s="54"/>
      <c r="D168" s="59"/>
      <c r="E168" s="59"/>
      <c r="F168" s="63"/>
      <c r="G168" s="54"/>
      <c r="H168" s="56"/>
      <c r="I168" s="56"/>
      <c r="J168" s="56"/>
      <c r="K168" s="56"/>
      <c r="L168" s="67">
        <v>0</v>
      </c>
      <c r="M168" s="54"/>
      <c r="N168" s="66"/>
      <c r="O168" s="66"/>
      <c r="P168" s="66"/>
      <c r="Q168" s="54"/>
      <c r="R168" s="67"/>
    </row>
    <row r="169" spans="1:18">
      <c r="A169" s="69" t="s">
        <v>59</v>
      </c>
      <c r="B169" s="54"/>
      <c r="C169" s="54"/>
      <c r="D169" s="59"/>
      <c r="E169" s="59"/>
      <c r="F169" s="63"/>
      <c r="G169" s="54"/>
      <c r="H169" s="56"/>
      <c r="I169" s="56"/>
      <c r="J169" s="56"/>
      <c r="K169" s="56"/>
      <c r="L169" s="67">
        <v>0</v>
      </c>
      <c r="M169" s="54"/>
      <c r="N169" s="66"/>
      <c r="O169" s="66"/>
      <c r="P169" s="66"/>
      <c r="Q169" s="54"/>
      <c r="R169" s="67"/>
    </row>
    <row r="170" spans="1:18">
      <c r="A170" s="69" t="s">
        <v>60</v>
      </c>
      <c r="B170" s="54"/>
      <c r="C170" s="54"/>
      <c r="D170" s="59"/>
      <c r="E170" s="59"/>
      <c r="F170" s="63"/>
      <c r="G170" s="54"/>
      <c r="H170" s="56"/>
      <c r="I170" s="56"/>
      <c r="J170" s="56"/>
      <c r="K170" s="56"/>
      <c r="L170" s="67">
        <v>0</v>
      </c>
      <c r="M170" s="54"/>
      <c r="N170" s="66"/>
      <c r="O170" s="66"/>
      <c r="P170" s="66"/>
      <c r="Q170" s="54"/>
      <c r="R170" s="67"/>
    </row>
    <row r="171" spans="1:18">
      <c r="A171" s="68" t="s">
        <v>61</v>
      </c>
      <c r="B171" s="54"/>
      <c r="C171" s="54"/>
      <c r="D171" s="59"/>
      <c r="E171" s="59"/>
      <c r="F171" s="63"/>
      <c r="G171" s="54"/>
      <c r="H171" s="64">
        <v>290502.5</v>
      </c>
      <c r="I171" s="64">
        <v>97750</v>
      </c>
      <c r="J171" s="64">
        <v>97750</v>
      </c>
      <c r="K171" s="64">
        <v>97750</v>
      </c>
      <c r="L171" s="65">
        <v>583752.5</v>
      </c>
      <c r="M171" s="54"/>
      <c r="N171" s="66">
        <v>290502.5</v>
      </c>
      <c r="O171" s="66">
        <v>97750</v>
      </c>
      <c r="P171" s="66">
        <v>97750</v>
      </c>
      <c r="Q171" s="66">
        <v>97750</v>
      </c>
      <c r="R171" s="67">
        <v>583752.5</v>
      </c>
    </row>
    <row r="172" spans="1:18">
      <c r="A172" s="69" t="s">
        <v>57</v>
      </c>
      <c r="B172" s="54"/>
      <c r="C172" s="54"/>
      <c r="D172" s="59"/>
      <c r="E172" s="59"/>
      <c r="F172" s="63"/>
      <c r="G172" s="54"/>
      <c r="H172" s="70">
        <v>40502.5</v>
      </c>
      <c r="I172" s="70">
        <v>97750</v>
      </c>
      <c r="J172" s="70">
        <v>97750</v>
      </c>
      <c r="K172" s="70">
        <v>97750</v>
      </c>
      <c r="L172" s="67">
        <v>333752.5</v>
      </c>
      <c r="M172" s="54"/>
      <c r="N172" s="66"/>
      <c r="O172" s="66"/>
      <c r="P172" s="66"/>
      <c r="Q172" s="54"/>
      <c r="R172" s="67"/>
    </row>
    <row r="173" spans="1:18">
      <c r="A173" s="69" t="s">
        <v>58</v>
      </c>
      <c r="B173" s="54"/>
      <c r="C173" s="54"/>
      <c r="D173" s="59"/>
      <c r="E173" s="59"/>
      <c r="F173" s="63"/>
      <c r="G173" s="54"/>
      <c r="H173" s="56">
        <v>250000</v>
      </c>
      <c r="I173" s="56"/>
      <c r="J173" s="56"/>
      <c r="K173" s="56"/>
      <c r="L173" s="67">
        <v>250000</v>
      </c>
      <c r="M173" s="54"/>
      <c r="N173" s="66"/>
      <c r="O173" s="66"/>
      <c r="P173" s="66"/>
      <c r="Q173" s="54"/>
      <c r="R173" s="67"/>
    </row>
    <row r="174" spans="1:18">
      <c r="A174" s="69" t="s">
        <v>60</v>
      </c>
      <c r="B174" s="54"/>
      <c r="C174" s="54"/>
      <c r="D174" s="59"/>
      <c r="E174" s="59"/>
      <c r="F174" s="63"/>
      <c r="G174" s="54"/>
      <c r="H174" s="56"/>
      <c r="I174" s="56"/>
      <c r="J174" s="56"/>
      <c r="K174" s="56"/>
      <c r="L174" s="67">
        <v>0</v>
      </c>
      <c r="M174" s="54"/>
      <c r="N174" s="66"/>
      <c r="O174" s="66"/>
      <c r="P174" s="66"/>
      <c r="Q174" s="54"/>
      <c r="R174" s="67"/>
    </row>
    <row r="175" spans="1:18">
      <c r="A175" s="60" t="s">
        <v>100</v>
      </c>
      <c r="B175" s="57" t="s">
        <v>94</v>
      </c>
      <c r="C175" s="58" t="s">
        <v>101</v>
      </c>
      <c r="D175" s="59"/>
      <c r="E175" s="59"/>
      <c r="F175" s="63"/>
      <c r="G175" s="58" t="s">
        <v>102</v>
      </c>
      <c r="H175" s="64">
        <v>5962737</v>
      </c>
      <c r="I175" s="64">
        <v>1839763</v>
      </c>
      <c r="J175" s="64">
        <v>0</v>
      </c>
      <c r="K175" s="64">
        <v>0</v>
      </c>
      <c r="L175" s="65">
        <v>7802500</v>
      </c>
      <c r="M175" s="74">
        <v>1</v>
      </c>
      <c r="N175" s="66">
        <v>5962737</v>
      </c>
      <c r="O175" s="66">
        <v>1839763</v>
      </c>
      <c r="P175" s="66">
        <v>0</v>
      </c>
      <c r="Q175" s="66">
        <v>0</v>
      </c>
      <c r="R175" s="67">
        <v>7802500</v>
      </c>
    </row>
    <row r="176" spans="1:18">
      <c r="A176" s="68" t="s">
        <v>56</v>
      </c>
      <c r="B176" s="54"/>
      <c r="C176" s="54"/>
      <c r="D176" s="59"/>
      <c r="E176" s="59"/>
      <c r="F176" s="63" t="s">
        <v>103</v>
      </c>
      <c r="G176" s="54"/>
      <c r="H176" s="76">
        <v>5962737</v>
      </c>
      <c r="I176" s="76">
        <v>1839763</v>
      </c>
      <c r="J176" s="77">
        <v>0</v>
      </c>
      <c r="K176" s="77">
        <v>0</v>
      </c>
      <c r="L176" s="65">
        <v>7802500</v>
      </c>
      <c r="M176" s="54"/>
      <c r="N176" s="66">
        <v>5962737</v>
      </c>
      <c r="O176" s="66">
        <v>1839763</v>
      </c>
      <c r="P176" s="66">
        <v>0</v>
      </c>
      <c r="Q176" s="66">
        <v>0</v>
      </c>
      <c r="R176" s="67">
        <v>7802500</v>
      </c>
    </row>
    <row r="177" spans="1:18">
      <c r="A177" s="69" t="s">
        <v>57</v>
      </c>
      <c r="B177" s="54"/>
      <c r="C177" s="54"/>
      <c r="D177" s="59"/>
      <c r="E177" s="59"/>
      <c r="F177" s="63"/>
      <c r="G177" s="54"/>
      <c r="H177" s="56"/>
      <c r="I177" s="56"/>
      <c r="J177" s="56"/>
      <c r="K177" s="56"/>
      <c r="L177" s="67">
        <v>0</v>
      </c>
      <c r="M177" s="54"/>
      <c r="N177" s="66"/>
      <c r="O177" s="66"/>
      <c r="P177" s="66"/>
      <c r="Q177" s="54"/>
      <c r="R177" s="67"/>
    </row>
    <row r="178" spans="1:18">
      <c r="A178" s="69" t="s">
        <v>58</v>
      </c>
      <c r="B178" s="54"/>
      <c r="C178" s="54"/>
      <c r="D178" s="59"/>
      <c r="E178" s="59"/>
      <c r="F178" s="63"/>
      <c r="G178" s="54"/>
      <c r="H178" s="56"/>
      <c r="I178" s="56"/>
      <c r="J178" s="56"/>
      <c r="K178" s="56"/>
      <c r="L178" s="67">
        <v>0</v>
      </c>
      <c r="M178" s="54"/>
      <c r="N178" s="66"/>
      <c r="O178" s="66"/>
      <c r="P178" s="66"/>
      <c r="Q178" s="54"/>
      <c r="R178" s="67"/>
    </row>
    <row r="179" spans="1:18">
      <c r="A179" s="69" t="s">
        <v>59</v>
      </c>
      <c r="B179" s="54"/>
      <c r="C179" s="54"/>
      <c r="D179" s="59"/>
      <c r="E179" s="59"/>
      <c r="F179" s="63"/>
      <c r="G179" s="54"/>
      <c r="H179" s="56"/>
      <c r="I179" s="56"/>
      <c r="J179" s="56"/>
      <c r="K179" s="56"/>
      <c r="L179" s="67">
        <v>0</v>
      </c>
      <c r="M179" s="54"/>
      <c r="N179" s="66"/>
      <c r="O179" s="66"/>
      <c r="P179" s="66"/>
      <c r="Q179" s="54"/>
      <c r="R179" s="67"/>
    </row>
    <row r="180" spans="1:18">
      <c r="A180" s="69" t="s">
        <v>60</v>
      </c>
      <c r="B180" s="54"/>
      <c r="C180" s="54"/>
      <c r="D180" s="59"/>
      <c r="E180" s="59"/>
      <c r="F180" s="63"/>
      <c r="G180" s="54"/>
      <c r="H180" s="56"/>
      <c r="I180" s="56"/>
      <c r="J180" s="56"/>
      <c r="K180" s="56"/>
      <c r="L180" s="67">
        <v>0</v>
      </c>
      <c r="M180" s="54"/>
      <c r="N180" s="66"/>
      <c r="O180" s="66"/>
      <c r="P180" s="66"/>
      <c r="Q180" s="54"/>
      <c r="R180" s="67"/>
    </row>
    <row r="181" spans="1:18">
      <c r="A181" s="68" t="s">
        <v>61</v>
      </c>
      <c r="B181" s="54"/>
      <c r="C181" s="54"/>
      <c r="D181" s="59"/>
      <c r="E181" s="59"/>
      <c r="F181" s="63"/>
      <c r="G181" s="54"/>
      <c r="H181" s="64">
        <v>0</v>
      </c>
      <c r="I181" s="64">
        <v>0</v>
      </c>
      <c r="J181" s="64">
        <v>0</v>
      </c>
      <c r="K181" s="64">
        <v>0</v>
      </c>
      <c r="L181" s="65">
        <v>0</v>
      </c>
      <c r="M181" s="54"/>
      <c r="N181" s="66">
        <v>0</v>
      </c>
      <c r="O181" s="66">
        <v>0</v>
      </c>
      <c r="P181" s="66">
        <v>0</v>
      </c>
      <c r="Q181" s="66">
        <v>0</v>
      </c>
      <c r="R181" s="67">
        <v>0</v>
      </c>
    </row>
    <row r="182" spans="1:18">
      <c r="A182" s="69" t="s">
        <v>57</v>
      </c>
      <c r="B182" s="54"/>
      <c r="C182" s="54"/>
      <c r="D182" s="59"/>
      <c r="E182" s="59"/>
      <c r="F182" s="63"/>
      <c r="G182" s="54"/>
      <c r="H182" s="70">
        <v>0</v>
      </c>
      <c r="I182" s="70">
        <v>0</v>
      </c>
      <c r="J182" s="70">
        <v>0</v>
      </c>
      <c r="K182" s="70">
        <v>0</v>
      </c>
      <c r="L182" s="67">
        <v>0</v>
      </c>
      <c r="M182" s="54"/>
      <c r="N182" s="66"/>
      <c r="O182" s="66"/>
      <c r="P182" s="66"/>
      <c r="Q182" s="54"/>
      <c r="R182" s="67"/>
    </row>
    <row r="183" spans="1:18">
      <c r="A183" s="69" t="s">
        <v>58</v>
      </c>
      <c r="B183" s="54"/>
      <c r="C183" s="54"/>
      <c r="D183" s="59"/>
      <c r="E183" s="59"/>
      <c r="F183" s="63"/>
      <c r="G183" s="54"/>
      <c r="H183" s="56"/>
      <c r="I183" s="56"/>
      <c r="J183" s="56"/>
      <c r="K183" s="56"/>
      <c r="L183" s="67">
        <v>0</v>
      </c>
      <c r="M183" s="54"/>
      <c r="N183" s="66"/>
      <c r="O183" s="66"/>
      <c r="P183" s="66"/>
      <c r="Q183" s="54"/>
      <c r="R183" s="67"/>
    </row>
    <row r="184" spans="1:18">
      <c r="A184" s="69" t="s">
        <v>60</v>
      </c>
      <c r="B184" s="54"/>
      <c r="C184" s="54"/>
      <c r="D184" s="59"/>
      <c r="E184" s="59"/>
      <c r="F184" s="63"/>
      <c r="G184" s="54"/>
      <c r="H184" s="56"/>
      <c r="I184" s="56"/>
      <c r="J184" s="56"/>
      <c r="K184" s="56"/>
      <c r="L184" s="67">
        <v>0</v>
      </c>
      <c r="M184" s="54"/>
      <c r="N184" s="66"/>
      <c r="O184" s="66"/>
      <c r="P184" s="66"/>
      <c r="Q184" s="54"/>
      <c r="R184" s="67"/>
    </row>
    <row r="185" spans="1:18">
      <c r="A185" s="78" t="s">
        <v>104</v>
      </c>
      <c r="B185" s="79"/>
      <c r="C185" s="80"/>
      <c r="D185" s="81"/>
      <c r="E185" s="81"/>
      <c r="F185" s="80"/>
      <c r="G185" s="80"/>
      <c r="H185" s="82">
        <v>13894446</v>
      </c>
      <c r="I185" s="82">
        <v>12697433</v>
      </c>
      <c r="J185" s="82">
        <v>1895710</v>
      </c>
      <c r="K185" s="82">
        <v>1090587.5</v>
      </c>
      <c r="L185" s="82">
        <v>29578176.5</v>
      </c>
      <c r="M185" s="83"/>
      <c r="N185" s="82">
        <v>13894446</v>
      </c>
      <c r="O185" s="82">
        <v>12697433</v>
      </c>
      <c r="P185" s="82">
        <v>1895710</v>
      </c>
      <c r="Q185" s="82">
        <v>1090587.5</v>
      </c>
      <c r="R185" s="82">
        <v>29578176.5</v>
      </c>
    </row>
    <row r="186" spans="1:18">
      <c r="A186" s="68" t="s">
        <v>56</v>
      </c>
      <c r="B186" s="54"/>
      <c r="C186" s="54"/>
      <c r="D186" s="59"/>
      <c r="E186" s="59"/>
      <c r="F186" s="54"/>
      <c r="G186" s="54"/>
      <c r="H186" s="71">
        <v>11787737</v>
      </c>
      <c r="I186" s="71">
        <v>11389763</v>
      </c>
      <c r="J186" s="71">
        <v>950000</v>
      </c>
      <c r="K186" s="71">
        <v>200000</v>
      </c>
      <c r="L186" s="71">
        <v>24327500</v>
      </c>
      <c r="M186" s="54"/>
      <c r="N186" s="71">
        <v>11787737</v>
      </c>
      <c r="O186" s="71">
        <v>11389763</v>
      </c>
      <c r="P186" s="71">
        <v>950000</v>
      </c>
      <c r="Q186" s="71">
        <v>200000</v>
      </c>
      <c r="R186" s="71">
        <v>24327500</v>
      </c>
    </row>
    <row r="187" spans="1:18">
      <c r="A187" s="68" t="s">
        <v>61</v>
      </c>
      <c r="B187" s="54"/>
      <c r="C187" s="54"/>
      <c r="D187" s="59"/>
      <c r="E187" s="59"/>
      <c r="F187" s="54"/>
      <c r="G187" s="54"/>
      <c r="H187" s="71">
        <v>2106709</v>
      </c>
      <c r="I187" s="71">
        <v>1307670</v>
      </c>
      <c r="J187" s="71">
        <v>945710</v>
      </c>
      <c r="K187" s="71">
        <v>890587.5</v>
      </c>
      <c r="L187" s="71">
        <v>5250676.5</v>
      </c>
      <c r="M187" s="54"/>
      <c r="N187" s="71">
        <v>2106709</v>
      </c>
      <c r="O187" s="71">
        <v>1307670</v>
      </c>
      <c r="P187" s="71">
        <v>945710</v>
      </c>
      <c r="Q187" s="71">
        <v>890587.5</v>
      </c>
      <c r="R187" s="71">
        <v>5250676.5</v>
      </c>
    </row>
    <row r="188" spans="1:18">
      <c r="A188" s="69"/>
      <c r="B188" s="54"/>
      <c r="C188" s="54"/>
      <c r="D188" s="59"/>
      <c r="E188" s="59"/>
      <c r="F188" s="54"/>
      <c r="G188" s="54"/>
      <c r="H188" s="72">
        <f>SUM(H176,H96,H86,H66,H6)</f>
        <v>11787737</v>
      </c>
      <c r="I188" s="72"/>
      <c r="J188" s="72"/>
      <c r="K188" s="72"/>
      <c r="L188" s="54"/>
      <c r="M188" s="54"/>
      <c r="N188" s="72"/>
      <c r="O188" s="72"/>
      <c r="P188" s="72"/>
      <c r="Q188" s="72"/>
      <c r="R188" s="54"/>
    </row>
    <row r="189" spans="1:18">
      <c r="A189" s="54"/>
      <c r="B189" s="54"/>
      <c r="C189" s="54"/>
      <c r="D189" s="59"/>
      <c r="E189" s="59"/>
      <c r="F189" s="54"/>
      <c r="G189" s="54"/>
      <c r="H189" s="54"/>
      <c r="I189" s="54"/>
      <c r="J189" s="54"/>
      <c r="K189" s="54"/>
      <c r="L189" s="54"/>
      <c r="M189" s="54"/>
      <c r="N189" s="54"/>
      <c r="O189" s="54"/>
      <c r="P189" s="54"/>
      <c r="Q189" s="54"/>
      <c r="R189" s="54"/>
    </row>
    <row r="190" spans="1:18">
      <c r="A190" s="73" t="s">
        <v>105</v>
      </c>
      <c r="B190" s="54"/>
      <c r="C190" s="54"/>
      <c r="D190" s="59"/>
      <c r="E190" s="59"/>
      <c r="F190" s="54"/>
      <c r="G190" s="54"/>
      <c r="H190" s="54"/>
      <c r="I190" s="54"/>
      <c r="J190" s="54"/>
      <c r="K190" s="54"/>
      <c r="L190" s="54"/>
      <c r="M190" s="54"/>
      <c r="N190" s="54"/>
      <c r="O190" s="54"/>
      <c r="P190" s="54"/>
      <c r="Q190" s="54"/>
      <c r="R190" s="54"/>
    </row>
    <row r="191" spans="1:18">
      <c r="A191" s="60" t="s">
        <v>106</v>
      </c>
      <c r="B191" s="57" t="s">
        <v>66</v>
      </c>
      <c r="C191" s="58" t="s">
        <v>83</v>
      </c>
      <c r="D191" s="59"/>
      <c r="E191" s="59"/>
      <c r="F191" s="63" t="s">
        <v>107</v>
      </c>
      <c r="G191" s="58" t="s">
        <v>102</v>
      </c>
      <c r="H191" s="64">
        <v>827571</v>
      </c>
      <c r="I191" s="64">
        <v>685759.66666666674</v>
      </c>
      <c r="J191" s="64">
        <v>685759.66666666674</v>
      </c>
      <c r="K191" s="64">
        <v>685759.66666666674</v>
      </c>
      <c r="L191" s="65">
        <v>2884850</v>
      </c>
      <c r="M191" s="74">
        <v>1</v>
      </c>
      <c r="N191" s="66">
        <v>827571</v>
      </c>
      <c r="O191" s="66">
        <v>685759.66666666674</v>
      </c>
      <c r="P191" s="66">
        <v>685759.66666666674</v>
      </c>
      <c r="Q191" s="66">
        <v>685759.66666666674</v>
      </c>
      <c r="R191" s="67">
        <v>2884850</v>
      </c>
    </row>
    <row r="192" spans="1:18">
      <c r="A192" s="68" t="s">
        <v>56</v>
      </c>
      <c r="B192" s="54"/>
      <c r="C192" s="54"/>
      <c r="D192" s="59"/>
      <c r="E192" s="59"/>
      <c r="F192" s="63"/>
      <c r="G192" s="54"/>
      <c r="H192" s="64">
        <v>750000</v>
      </c>
      <c r="I192" s="64">
        <v>0</v>
      </c>
      <c r="J192" s="64">
        <v>0</v>
      </c>
      <c r="K192" s="64">
        <v>0</v>
      </c>
      <c r="L192" s="65">
        <v>750000</v>
      </c>
      <c r="M192" s="54"/>
      <c r="N192" s="66">
        <v>750000</v>
      </c>
      <c r="O192" s="66">
        <v>0</v>
      </c>
      <c r="P192" s="66">
        <v>0</v>
      </c>
      <c r="Q192" s="66">
        <v>0</v>
      </c>
      <c r="R192" s="67">
        <v>750000</v>
      </c>
    </row>
    <row r="193" spans="1:18">
      <c r="A193" s="69" t="s">
        <v>57</v>
      </c>
      <c r="B193" s="54"/>
      <c r="C193" s="54"/>
      <c r="D193" s="59"/>
      <c r="E193" s="59"/>
      <c r="F193" s="63"/>
      <c r="G193" s="54"/>
      <c r="H193" s="56"/>
      <c r="I193" s="56"/>
      <c r="J193" s="56"/>
      <c r="K193" s="56"/>
      <c r="L193" s="67">
        <v>0</v>
      </c>
      <c r="M193" s="54"/>
      <c r="N193" s="66"/>
      <c r="O193" s="66"/>
      <c r="P193" s="66"/>
      <c r="Q193" s="54"/>
      <c r="R193" s="67"/>
    </row>
    <row r="194" spans="1:18">
      <c r="A194" s="69" t="s">
        <v>58</v>
      </c>
      <c r="B194" s="54"/>
      <c r="C194" s="54"/>
      <c r="D194" s="59"/>
      <c r="E194" s="59"/>
      <c r="F194" s="63"/>
      <c r="G194" s="54"/>
      <c r="H194" s="56">
        <v>750000</v>
      </c>
      <c r="I194" s="54"/>
      <c r="J194" s="56"/>
      <c r="K194" s="56"/>
      <c r="L194" s="67">
        <v>750000</v>
      </c>
      <c r="M194" s="54"/>
      <c r="N194" s="66"/>
      <c r="O194" s="66"/>
      <c r="P194" s="66"/>
      <c r="Q194" s="54"/>
      <c r="R194" s="67"/>
    </row>
    <row r="195" spans="1:18">
      <c r="A195" s="69" t="s">
        <v>59</v>
      </c>
      <c r="B195" s="54"/>
      <c r="C195" s="54"/>
      <c r="D195" s="59"/>
      <c r="E195" s="59"/>
      <c r="F195" s="63"/>
      <c r="G195" s="54"/>
      <c r="H195" s="56"/>
      <c r="I195" s="56"/>
      <c r="J195" s="56"/>
      <c r="K195" s="56"/>
      <c r="L195" s="67">
        <v>0</v>
      </c>
      <c r="M195" s="54"/>
      <c r="N195" s="66"/>
      <c r="O195" s="66"/>
      <c r="P195" s="66"/>
      <c r="Q195" s="54"/>
      <c r="R195" s="67"/>
    </row>
    <row r="196" spans="1:18">
      <c r="A196" s="69" t="s">
        <v>60</v>
      </c>
      <c r="B196" s="54"/>
      <c r="C196" s="54"/>
      <c r="D196" s="59"/>
      <c r="E196" s="59"/>
      <c r="F196" s="63"/>
      <c r="G196" s="54"/>
      <c r="H196" s="56"/>
      <c r="I196" s="56"/>
      <c r="J196" s="56"/>
      <c r="K196" s="56"/>
      <c r="L196" s="67">
        <v>0</v>
      </c>
      <c r="M196" s="54"/>
      <c r="N196" s="66"/>
      <c r="O196" s="66"/>
      <c r="P196" s="66"/>
      <c r="Q196" s="54"/>
      <c r="R196" s="67"/>
    </row>
    <row r="197" spans="1:18">
      <c r="A197" s="68" t="s">
        <v>61</v>
      </c>
      <c r="B197" s="54"/>
      <c r="C197" s="54"/>
      <c r="D197" s="59"/>
      <c r="E197" s="59"/>
      <c r="F197" s="63"/>
      <c r="G197" s="54"/>
      <c r="H197" s="64">
        <v>77571</v>
      </c>
      <c r="I197" s="64">
        <v>685759.66666666674</v>
      </c>
      <c r="J197" s="64">
        <v>685759.66666666674</v>
      </c>
      <c r="K197" s="64">
        <v>685759.66666666674</v>
      </c>
      <c r="L197" s="65">
        <v>2134850</v>
      </c>
      <c r="M197" s="54"/>
      <c r="N197" s="66">
        <v>77571</v>
      </c>
      <c r="O197" s="66">
        <v>685759.66666666674</v>
      </c>
      <c r="P197" s="66">
        <v>685759.66666666674</v>
      </c>
      <c r="Q197" s="66">
        <v>685759.66666666674</v>
      </c>
      <c r="R197" s="67">
        <v>2134850</v>
      </c>
    </row>
    <row r="198" spans="1:18">
      <c r="A198" s="69" t="s">
        <v>57</v>
      </c>
      <c r="B198" s="54"/>
      <c r="C198" s="54"/>
      <c r="D198" s="59"/>
      <c r="E198" s="59"/>
      <c r="F198" s="63"/>
      <c r="G198" s="54"/>
      <c r="H198" s="70">
        <v>77571</v>
      </c>
      <c r="I198" s="70">
        <v>269093</v>
      </c>
      <c r="J198" s="70">
        <v>269093</v>
      </c>
      <c r="K198" s="70">
        <v>269093</v>
      </c>
      <c r="L198" s="67">
        <v>884850</v>
      </c>
      <c r="M198" s="54"/>
      <c r="N198" s="66"/>
      <c r="O198" s="66"/>
      <c r="P198" s="66"/>
      <c r="Q198" s="54"/>
      <c r="R198" s="67"/>
    </row>
    <row r="199" spans="1:18">
      <c r="A199" s="69" t="s">
        <v>58</v>
      </c>
      <c r="B199" s="54"/>
      <c r="C199" s="54"/>
      <c r="D199" s="59"/>
      <c r="E199" s="59"/>
      <c r="F199" s="63"/>
      <c r="G199" s="54"/>
      <c r="H199" s="56">
        <v>0</v>
      </c>
      <c r="I199" s="56">
        <v>416666.66666666669</v>
      </c>
      <c r="J199" s="56">
        <v>416666.66666666669</v>
      </c>
      <c r="K199" s="56">
        <v>416666.66666666669</v>
      </c>
      <c r="L199" s="67">
        <v>1250000</v>
      </c>
      <c r="M199" s="54"/>
      <c r="N199" s="66"/>
      <c r="O199" s="66"/>
      <c r="P199" s="66"/>
      <c r="Q199" s="54"/>
      <c r="R199" s="67"/>
    </row>
    <row r="200" spans="1:18">
      <c r="A200" s="69" t="s">
        <v>60</v>
      </c>
      <c r="B200" s="54"/>
      <c r="C200" s="54"/>
      <c r="D200" s="59"/>
      <c r="E200" s="59"/>
      <c r="F200" s="63"/>
      <c r="G200" s="54"/>
      <c r="H200" s="56"/>
      <c r="I200" s="56"/>
      <c r="J200" s="56"/>
      <c r="K200" s="56"/>
      <c r="L200" s="67">
        <v>0</v>
      </c>
      <c r="M200" s="54"/>
      <c r="N200" s="66"/>
      <c r="O200" s="66"/>
      <c r="P200" s="66"/>
      <c r="Q200" s="54"/>
      <c r="R200" s="67"/>
    </row>
    <row r="201" spans="1:18">
      <c r="A201" s="60" t="s">
        <v>108</v>
      </c>
      <c r="B201" s="57" t="s">
        <v>66</v>
      </c>
      <c r="C201" s="58" t="s">
        <v>101</v>
      </c>
      <c r="D201" s="59"/>
      <c r="E201" s="59"/>
      <c r="F201" s="63" t="s">
        <v>109</v>
      </c>
      <c r="G201" s="58" t="s">
        <v>102</v>
      </c>
      <c r="H201" s="64">
        <v>248900</v>
      </c>
      <c r="I201" s="64">
        <v>248900</v>
      </c>
      <c r="J201" s="64">
        <v>248900</v>
      </c>
      <c r="K201" s="64">
        <v>0</v>
      </c>
      <c r="L201" s="65">
        <v>746700</v>
      </c>
      <c r="M201" s="74">
        <v>0.2</v>
      </c>
      <c r="N201" s="66">
        <v>49780</v>
      </c>
      <c r="O201" s="66">
        <v>49780</v>
      </c>
      <c r="P201" s="66">
        <v>49780</v>
      </c>
      <c r="Q201" s="66">
        <v>0</v>
      </c>
      <c r="R201" s="67">
        <v>149340</v>
      </c>
    </row>
    <row r="202" spans="1:18">
      <c r="A202" s="68" t="s">
        <v>56</v>
      </c>
      <c r="B202" s="54"/>
      <c r="C202" s="54"/>
      <c r="D202" s="59"/>
      <c r="E202" s="59"/>
      <c r="F202" s="63" t="s">
        <v>103</v>
      </c>
      <c r="G202" s="54"/>
      <c r="H202" s="77">
        <v>248900</v>
      </c>
      <c r="I202" s="77">
        <v>248900</v>
      </c>
      <c r="J202" s="77">
        <v>248900</v>
      </c>
      <c r="K202" s="77"/>
      <c r="L202" s="75">
        <v>746700</v>
      </c>
      <c r="M202" s="54"/>
      <c r="N202" s="66">
        <v>49780</v>
      </c>
      <c r="O202" s="66">
        <v>49780</v>
      </c>
      <c r="P202" s="66">
        <v>49780</v>
      </c>
      <c r="Q202" s="66">
        <v>0</v>
      </c>
      <c r="R202" s="67">
        <v>149340</v>
      </c>
    </row>
    <row r="203" spans="1:18">
      <c r="A203" s="69" t="s">
        <v>57</v>
      </c>
      <c r="B203" s="54"/>
      <c r="C203" s="54"/>
      <c r="D203" s="59"/>
      <c r="E203" s="59"/>
      <c r="F203" s="63"/>
      <c r="G203" s="54"/>
      <c r="H203" s="56"/>
      <c r="I203" s="56"/>
      <c r="J203" s="56"/>
      <c r="K203" s="56"/>
      <c r="L203" s="67">
        <v>0</v>
      </c>
      <c r="M203" s="54"/>
      <c r="N203" s="66"/>
      <c r="O203" s="66"/>
      <c r="P203" s="66"/>
      <c r="Q203" s="54"/>
      <c r="R203" s="67"/>
    </row>
    <row r="204" spans="1:18">
      <c r="A204" s="69" t="s">
        <v>58</v>
      </c>
      <c r="B204" s="54"/>
      <c r="C204" s="54"/>
      <c r="D204" s="59"/>
      <c r="E204" s="59"/>
      <c r="F204" s="63"/>
      <c r="G204" s="54"/>
      <c r="H204" s="56"/>
      <c r="I204" s="56"/>
      <c r="J204" s="56"/>
      <c r="K204" s="56"/>
      <c r="L204" s="67">
        <v>0</v>
      </c>
      <c r="M204" s="54"/>
      <c r="N204" s="66"/>
      <c r="O204" s="66"/>
      <c r="P204" s="66"/>
      <c r="Q204" s="54"/>
      <c r="R204" s="67"/>
    </row>
    <row r="205" spans="1:18">
      <c r="A205" s="69" t="s">
        <v>59</v>
      </c>
      <c r="B205" s="54"/>
      <c r="C205" s="54"/>
      <c r="D205" s="59"/>
      <c r="E205" s="59"/>
      <c r="F205" s="63"/>
      <c r="G205" s="54"/>
      <c r="H205" s="56"/>
      <c r="I205" s="56"/>
      <c r="J205" s="56"/>
      <c r="K205" s="56"/>
      <c r="L205" s="67">
        <v>0</v>
      </c>
      <c r="M205" s="54"/>
      <c r="N205" s="66"/>
      <c r="O205" s="66"/>
      <c r="P205" s="66"/>
      <c r="Q205" s="54"/>
      <c r="R205" s="67"/>
    </row>
    <row r="206" spans="1:18">
      <c r="A206" s="69" t="s">
        <v>60</v>
      </c>
      <c r="B206" s="54"/>
      <c r="C206" s="54"/>
      <c r="D206" s="59"/>
      <c r="E206" s="59"/>
      <c r="F206" s="63"/>
      <c r="G206" s="54"/>
      <c r="H206" s="56"/>
      <c r="I206" s="56"/>
      <c r="J206" s="56"/>
      <c r="K206" s="56"/>
      <c r="L206" s="67">
        <v>0</v>
      </c>
      <c r="M206" s="54"/>
      <c r="N206" s="66"/>
      <c r="O206" s="66"/>
      <c r="P206" s="66"/>
      <c r="Q206" s="54"/>
      <c r="R206" s="67"/>
    </row>
    <row r="207" spans="1:18">
      <c r="A207" s="68" t="s">
        <v>61</v>
      </c>
      <c r="B207" s="54"/>
      <c r="C207" s="54"/>
      <c r="D207" s="59"/>
      <c r="E207" s="59"/>
      <c r="F207" s="63"/>
      <c r="G207" s="54"/>
      <c r="H207" s="64">
        <v>0</v>
      </c>
      <c r="I207" s="64">
        <v>0</v>
      </c>
      <c r="J207" s="64">
        <v>0</v>
      </c>
      <c r="K207" s="64">
        <v>0</v>
      </c>
      <c r="L207" s="65">
        <v>0</v>
      </c>
      <c r="M207" s="54"/>
      <c r="N207" s="66">
        <v>0</v>
      </c>
      <c r="O207" s="66">
        <v>0</v>
      </c>
      <c r="P207" s="66">
        <v>0</v>
      </c>
      <c r="Q207" s="66">
        <v>0</v>
      </c>
      <c r="R207" s="67">
        <v>0</v>
      </c>
    </row>
    <row r="208" spans="1:18">
      <c r="A208" s="69" t="s">
        <v>57</v>
      </c>
      <c r="B208" s="54"/>
      <c r="C208" s="54"/>
      <c r="D208" s="59"/>
      <c r="E208" s="59"/>
      <c r="F208" s="63"/>
      <c r="G208" s="54"/>
      <c r="H208" s="70">
        <v>0</v>
      </c>
      <c r="I208" s="70">
        <v>0</v>
      </c>
      <c r="J208" s="70">
        <v>0</v>
      </c>
      <c r="K208" s="70">
        <v>0</v>
      </c>
      <c r="L208" s="67">
        <v>0</v>
      </c>
      <c r="M208" s="54"/>
      <c r="N208" s="66"/>
      <c r="O208" s="66"/>
      <c r="P208" s="66"/>
      <c r="Q208" s="54"/>
      <c r="R208" s="67"/>
    </row>
    <row r="209" spans="1:18">
      <c r="A209" s="69" t="s">
        <v>58</v>
      </c>
      <c r="B209" s="54"/>
      <c r="C209" s="54"/>
      <c r="D209" s="59"/>
      <c r="E209" s="59"/>
      <c r="F209" s="63"/>
      <c r="G209" s="54"/>
      <c r="H209" s="56"/>
      <c r="I209" s="56"/>
      <c r="J209" s="56"/>
      <c r="K209" s="56"/>
      <c r="L209" s="67">
        <v>0</v>
      </c>
      <c r="M209" s="54"/>
      <c r="N209" s="66"/>
      <c r="O209" s="66"/>
      <c r="P209" s="66"/>
      <c r="Q209" s="54"/>
      <c r="R209" s="67"/>
    </row>
    <row r="210" spans="1:18">
      <c r="A210" s="69" t="s">
        <v>60</v>
      </c>
      <c r="B210" s="54"/>
      <c r="C210" s="54"/>
      <c r="D210" s="59"/>
      <c r="E210" s="59"/>
      <c r="F210" s="63"/>
      <c r="G210" s="54"/>
      <c r="H210" s="56"/>
      <c r="I210" s="56"/>
      <c r="J210" s="56"/>
      <c r="K210" s="56"/>
      <c r="L210" s="67">
        <v>0</v>
      </c>
      <c r="M210" s="54"/>
      <c r="N210" s="66"/>
      <c r="O210" s="66"/>
      <c r="P210" s="66"/>
      <c r="Q210" s="54"/>
      <c r="R210" s="67"/>
    </row>
    <row r="211" spans="1:18">
      <c r="A211" s="60" t="s">
        <v>110</v>
      </c>
      <c r="B211" s="57" t="s">
        <v>66</v>
      </c>
      <c r="C211" s="58" t="s">
        <v>101</v>
      </c>
      <c r="D211" s="59"/>
      <c r="E211" s="59"/>
      <c r="F211" s="63"/>
      <c r="G211" s="58" t="s">
        <v>102</v>
      </c>
      <c r="H211" s="64">
        <v>3500000</v>
      </c>
      <c r="I211" s="64">
        <v>30000</v>
      </c>
      <c r="J211" s="64">
        <v>30000</v>
      </c>
      <c r="K211" s="64">
        <v>30000</v>
      </c>
      <c r="L211" s="65">
        <v>3590000</v>
      </c>
      <c r="M211" s="74">
        <v>1</v>
      </c>
      <c r="N211" s="66">
        <v>3500000</v>
      </c>
      <c r="O211" s="66">
        <v>30000</v>
      </c>
      <c r="P211" s="66">
        <v>30000</v>
      </c>
      <c r="Q211" s="66">
        <v>30000</v>
      </c>
      <c r="R211" s="67">
        <v>3590000</v>
      </c>
    </row>
    <row r="212" spans="1:18">
      <c r="A212" s="68" t="s">
        <v>56</v>
      </c>
      <c r="B212" s="54"/>
      <c r="C212" s="54"/>
      <c r="D212" s="59"/>
      <c r="E212" s="59"/>
      <c r="F212" s="63" t="s">
        <v>103</v>
      </c>
      <c r="G212" s="54"/>
      <c r="H212" s="77">
        <v>3500000</v>
      </c>
      <c r="I212" s="77">
        <v>30000</v>
      </c>
      <c r="J212" s="77">
        <v>30000</v>
      </c>
      <c r="K212" s="77">
        <v>30000</v>
      </c>
      <c r="L212" s="75">
        <v>3590000</v>
      </c>
      <c r="M212" s="54"/>
      <c r="N212" s="66">
        <v>3500000</v>
      </c>
      <c r="O212" s="66">
        <v>30000</v>
      </c>
      <c r="P212" s="66">
        <v>30000</v>
      </c>
      <c r="Q212" s="66">
        <v>30000</v>
      </c>
      <c r="R212" s="67">
        <v>3590000</v>
      </c>
    </row>
    <row r="213" spans="1:18">
      <c r="A213" s="69" t="s">
        <v>57</v>
      </c>
      <c r="B213" s="54"/>
      <c r="C213" s="54"/>
      <c r="D213" s="59"/>
      <c r="E213" s="59"/>
      <c r="F213" s="63"/>
      <c r="G213" s="54"/>
      <c r="H213" s="56"/>
      <c r="I213" s="56"/>
      <c r="J213" s="56"/>
      <c r="K213" s="56"/>
      <c r="L213" s="67">
        <v>0</v>
      </c>
      <c r="M213" s="54"/>
      <c r="N213" s="66"/>
      <c r="O213" s="66"/>
      <c r="P213" s="66"/>
      <c r="Q213" s="54"/>
      <c r="R213" s="67"/>
    </row>
    <row r="214" spans="1:18">
      <c r="A214" s="69" t="s">
        <v>58</v>
      </c>
      <c r="B214" s="54"/>
      <c r="C214" s="54"/>
      <c r="D214" s="59"/>
      <c r="E214" s="59"/>
      <c r="F214" s="63"/>
      <c r="G214" s="54"/>
      <c r="H214" s="56"/>
      <c r="I214" s="56"/>
      <c r="J214" s="56"/>
      <c r="K214" s="56"/>
      <c r="L214" s="67">
        <v>0</v>
      </c>
      <c r="M214" s="54"/>
      <c r="N214" s="66"/>
      <c r="O214" s="66"/>
      <c r="P214" s="66"/>
      <c r="Q214" s="54"/>
      <c r="R214" s="67"/>
    </row>
    <row r="215" spans="1:18">
      <c r="A215" s="69" t="s">
        <v>59</v>
      </c>
      <c r="B215" s="54"/>
      <c r="C215" s="54"/>
      <c r="D215" s="59"/>
      <c r="E215" s="59"/>
      <c r="F215" s="63"/>
      <c r="G215" s="54"/>
      <c r="H215" s="56"/>
      <c r="I215" s="56"/>
      <c r="J215" s="56"/>
      <c r="K215" s="56"/>
      <c r="L215" s="67">
        <v>0</v>
      </c>
      <c r="M215" s="54"/>
      <c r="N215" s="66"/>
      <c r="O215" s="66"/>
      <c r="P215" s="66"/>
      <c r="Q215" s="54"/>
      <c r="R215" s="67"/>
    </row>
    <row r="216" spans="1:18">
      <c r="A216" s="69" t="s">
        <v>60</v>
      </c>
      <c r="B216" s="54"/>
      <c r="C216" s="54"/>
      <c r="D216" s="59"/>
      <c r="E216" s="59"/>
      <c r="F216" s="63"/>
      <c r="G216" s="54"/>
      <c r="H216" s="56"/>
      <c r="I216" s="56"/>
      <c r="J216" s="56"/>
      <c r="K216" s="56"/>
      <c r="L216" s="67">
        <v>0</v>
      </c>
      <c r="M216" s="54"/>
      <c r="N216" s="66"/>
      <c r="O216" s="66"/>
      <c r="P216" s="66"/>
      <c r="Q216" s="54"/>
      <c r="R216" s="67"/>
    </row>
    <row r="217" spans="1:18">
      <c r="A217" s="68" t="s">
        <v>61</v>
      </c>
      <c r="B217" s="54"/>
      <c r="C217" s="54"/>
      <c r="D217" s="59"/>
      <c r="E217" s="59"/>
      <c r="F217" s="63"/>
      <c r="G217" s="54"/>
      <c r="H217" s="64">
        <v>0</v>
      </c>
      <c r="I217" s="64">
        <v>0</v>
      </c>
      <c r="J217" s="64">
        <v>0</v>
      </c>
      <c r="K217" s="64">
        <v>0</v>
      </c>
      <c r="L217" s="65">
        <v>0</v>
      </c>
      <c r="M217" s="54"/>
      <c r="N217" s="66">
        <v>0</v>
      </c>
      <c r="O217" s="66">
        <v>0</v>
      </c>
      <c r="P217" s="66">
        <v>0</v>
      </c>
      <c r="Q217" s="66">
        <v>0</v>
      </c>
      <c r="R217" s="67">
        <v>0</v>
      </c>
    </row>
    <row r="218" spans="1:18">
      <c r="A218" s="69" t="s">
        <v>57</v>
      </c>
      <c r="B218" s="54"/>
      <c r="C218" s="54"/>
      <c r="D218" s="59"/>
      <c r="E218" s="59"/>
      <c r="F218" s="63"/>
      <c r="G218" s="54"/>
      <c r="H218" s="70">
        <v>0</v>
      </c>
      <c r="I218" s="70">
        <v>0</v>
      </c>
      <c r="J218" s="70">
        <v>0</v>
      </c>
      <c r="K218" s="70">
        <v>0</v>
      </c>
      <c r="L218" s="67">
        <v>0</v>
      </c>
      <c r="M218" s="54"/>
      <c r="N218" s="66"/>
      <c r="O218" s="66"/>
      <c r="P218" s="66"/>
      <c r="Q218" s="54"/>
      <c r="R218" s="67"/>
    </row>
    <row r="219" spans="1:18">
      <c r="A219" s="69" t="s">
        <v>58</v>
      </c>
      <c r="B219" s="54"/>
      <c r="C219" s="54"/>
      <c r="D219" s="59"/>
      <c r="E219" s="59"/>
      <c r="F219" s="63"/>
      <c r="G219" s="54"/>
      <c r="H219" s="56"/>
      <c r="I219" s="56"/>
      <c r="J219" s="56"/>
      <c r="K219" s="56"/>
      <c r="L219" s="67">
        <v>0</v>
      </c>
      <c r="M219" s="54"/>
      <c r="N219" s="66"/>
      <c r="O219" s="66"/>
      <c r="P219" s="66"/>
      <c r="Q219" s="54"/>
      <c r="R219" s="67"/>
    </row>
    <row r="220" spans="1:18">
      <c r="A220" s="69" t="s">
        <v>60</v>
      </c>
      <c r="B220" s="54"/>
      <c r="C220" s="54"/>
      <c r="D220" s="59"/>
      <c r="E220" s="59"/>
      <c r="F220" s="63"/>
      <c r="G220" s="54"/>
      <c r="H220" s="56"/>
      <c r="I220" s="56"/>
      <c r="J220" s="56"/>
      <c r="K220" s="56"/>
      <c r="L220" s="67">
        <v>0</v>
      </c>
      <c r="M220" s="54"/>
      <c r="N220" s="66"/>
      <c r="O220" s="66"/>
      <c r="P220" s="66"/>
      <c r="Q220" s="54"/>
      <c r="R220" s="67"/>
    </row>
    <row r="221" spans="1:18">
      <c r="A221" s="60" t="s">
        <v>111</v>
      </c>
      <c r="B221" s="57" t="s">
        <v>66</v>
      </c>
      <c r="C221" s="58" t="s">
        <v>77</v>
      </c>
      <c r="D221" s="59"/>
      <c r="E221" s="59"/>
      <c r="F221" s="63" t="s">
        <v>112</v>
      </c>
      <c r="G221" s="54"/>
      <c r="H221" s="64">
        <v>0</v>
      </c>
      <c r="I221" s="64">
        <v>0</v>
      </c>
      <c r="J221" s="64">
        <v>1920218</v>
      </c>
      <c r="K221" s="64">
        <v>220218</v>
      </c>
      <c r="L221" s="65">
        <v>2140436</v>
      </c>
      <c r="M221" s="74">
        <v>1</v>
      </c>
      <c r="N221" s="66">
        <v>0</v>
      </c>
      <c r="O221" s="66">
        <v>0</v>
      </c>
      <c r="P221" s="66">
        <v>1920218</v>
      </c>
      <c r="Q221" s="66">
        <v>220218</v>
      </c>
      <c r="R221" s="67">
        <v>2140436</v>
      </c>
    </row>
    <row r="222" spans="1:18">
      <c r="A222" s="68" t="s">
        <v>56</v>
      </c>
      <c r="B222" s="54"/>
      <c r="C222" s="54"/>
      <c r="D222" s="59"/>
      <c r="E222" s="59"/>
      <c r="F222" s="63"/>
      <c r="G222" s="54"/>
      <c r="H222" s="64">
        <v>0</v>
      </c>
      <c r="I222" s="64">
        <v>0</v>
      </c>
      <c r="J222" s="64">
        <v>1700000</v>
      </c>
      <c r="K222" s="64">
        <v>0</v>
      </c>
      <c r="L222" s="65">
        <v>1700000</v>
      </c>
      <c r="M222" s="54"/>
      <c r="N222" s="66">
        <v>0</v>
      </c>
      <c r="O222" s="66">
        <v>0</v>
      </c>
      <c r="P222" s="66">
        <v>1700000</v>
      </c>
      <c r="Q222" s="66">
        <v>0</v>
      </c>
      <c r="R222" s="67">
        <v>1700000</v>
      </c>
    </row>
    <row r="223" spans="1:18">
      <c r="A223" s="69" t="s">
        <v>57</v>
      </c>
      <c r="B223" s="54"/>
      <c r="C223" s="54"/>
      <c r="D223" s="59"/>
      <c r="E223" s="59"/>
      <c r="F223" s="63"/>
      <c r="G223" s="54"/>
      <c r="H223" s="56"/>
      <c r="I223" s="56"/>
      <c r="J223" s="56"/>
      <c r="K223" s="56"/>
      <c r="L223" s="67">
        <v>0</v>
      </c>
      <c r="M223" s="54"/>
      <c r="N223" s="66"/>
      <c r="O223" s="66"/>
      <c r="P223" s="66"/>
      <c r="Q223" s="54"/>
      <c r="R223" s="67"/>
    </row>
    <row r="224" spans="1:18">
      <c r="A224" s="69" t="s">
        <v>58</v>
      </c>
      <c r="B224" s="54"/>
      <c r="C224" s="54"/>
      <c r="D224" s="59"/>
      <c r="E224" s="59"/>
      <c r="F224" s="63"/>
      <c r="G224" s="54"/>
      <c r="H224" s="56"/>
      <c r="I224" s="56"/>
      <c r="J224" s="56">
        <v>1500000</v>
      </c>
      <c r="K224" s="56"/>
      <c r="L224" s="67">
        <v>1500000</v>
      </c>
      <c r="M224" s="54"/>
      <c r="N224" s="66"/>
      <c r="O224" s="66"/>
      <c r="P224" s="66"/>
      <c r="Q224" s="54"/>
      <c r="R224" s="67"/>
    </row>
    <row r="225" spans="1:18">
      <c r="A225" s="69" t="s">
        <v>59</v>
      </c>
      <c r="B225" s="54"/>
      <c r="C225" s="54"/>
      <c r="D225" s="59"/>
      <c r="E225" s="59"/>
      <c r="F225" s="63"/>
      <c r="G225" s="54"/>
      <c r="H225" s="56"/>
      <c r="I225" s="56"/>
      <c r="J225" s="56"/>
      <c r="K225" s="56"/>
      <c r="L225" s="67">
        <v>0</v>
      </c>
      <c r="M225" s="54"/>
      <c r="N225" s="66"/>
      <c r="O225" s="66"/>
      <c r="P225" s="66"/>
      <c r="Q225" s="54"/>
      <c r="R225" s="67"/>
    </row>
    <row r="226" spans="1:18">
      <c r="A226" s="69" t="s">
        <v>60</v>
      </c>
      <c r="B226" s="54"/>
      <c r="C226" s="54"/>
      <c r="D226" s="59"/>
      <c r="E226" s="59"/>
      <c r="F226" s="63"/>
      <c r="G226" s="54"/>
      <c r="H226" s="56"/>
      <c r="I226" s="56"/>
      <c r="J226" s="56">
        <v>200000</v>
      </c>
      <c r="K226" s="56"/>
      <c r="L226" s="67">
        <v>200000</v>
      </c>
      <c r="M226" s="54"/>
      <c r="N226" s="66"/>
      <c r="O226" s="66"/>
      <c r="P226" s="66"/>
      <c r="Q226" s="54"/>
      <c r="R226" s="67"/>
    </row>
    <row r="227" spans="1:18">
      <c r="A227" s="68" t="s">
        <v>61</v>
      </c>
      <c r="B227" s="54"/>
      <c r="C227" s="54"/>
      <c r="D227" s="59"/>
      <c r="E227" s="59"/>
      <c r="F227" s="63"/>
      <c r="G227" s="54"/>
      <c r="H227" s="64">
        <v>0</v>
      </c>
      <c r="I227" s="64">
        <v>0</v>
      </c>
      <c r="J227" s="64">
        <v>220218</v>
      </c>
      <c r="K227" s="64">
        <v>220218</v>
      </c>
      <c r="L227" s="65">
        <v>440436</v>
      </c>
      <c r="M227" s="54"/>
      <c r="N227" s="66">
        <v>0</v>
      </c>
      <c r="O227" s="66">
        <v>0</v>
      </c>
      <c r="P227" s="66">
        <v>220218</v>
      </c>
      <c r="Q227" s="66">
        <v>220218</v>
      </c>
      <c r="R227" s="67">
        <v>440436</v>
      </c>
    </row>
    <row r="228" spans="1:18">
      <c r="A228" s="69" t="s">
        <v>57</v>
      </c>
      <c r="B228" s="54"/>
      <c r="C228" s="54"/>
      <c r="D228" s="59"/>
      <c r="E228" s="59"/>
      <c r="F228" s="63"/>
      <c r="G228" s="54"/>
      <c r="H228" s="70">
        <v>0</v>
      </c>
      <c r="I228" s="70">
        <v>0</v>
      </c>
      <c r="J228" s="70">
        <v>220218</v>
      </c>
      <c r="K228" s="70">
        <v>220218</v>
      </c>
      <c r="L228" s="67">
        <v>440436</v>
      </c>
      <c r="M228" s="54"/>
      <c r="N228" s="66"/>
      <c r="O228" s="66"/>
      <c r="P228" s="66"/>
      <c r="Q228" s="54"/>
      <c r="R228" s="67"/>
    </row>
    <row r="229" spans="1:18">
      <c r="A229" s="69" t="s">
        <v>58</v>
      </c>
      <c r="B229" s="54"/>
      <c r="C229" s="54"/>
      <c r="D229" s="59"/>
      <c r="E229" s="59"/>
      <c r="F229" s="63"/>
      <c r="G229" s="54"/>
      <c r="H229" s="56"/>
      <c r="I229" s="56"/>
      <c r="J229" s="56"/>
      <c r="K229" s="56"/>
      <c r="L229" s="67">
        <v>0</v>
      </c>
      <c r="M229" s="54"/>
      <c r="N229" s="66"/>
      <c r="O229" s="66"/>
      <c r="P229" s="66"/>
      <c r="Q229" s="54"/>
      <c r="R229" s="67"/>
    </row>
    <row r="230" spans="1:18">
      <c r="A230" s="69" t="s">
        <v>60</v>
      </c>
      <c r="B230" s="54"/>
      <c r="C230" s="54"/>
      <c r="D230" s="59"/>
      <c r="E230" s="59"/>
      <c r="F230" s="63"/>
      <c r="G230" s="54"/>
      <c r="H230" s="56"/>
      <c r="I230" s="56"/>
      <c r="J230" s="56"/>
      <c r="K230" s="56"/>
      <c r="L230" s="67">
        <v>0</v>
      </c>
      <c r="M230" s="54"/>
      <c r="N230" s="66"/>
      <c r="O230" s="66"/>
      <c r="P230" s="66"/>
      <c r="Q230" s="54"/>
      <c r="R230" s="67"/>
    </row>
    <row r="231" spans="1:18">
      <c r="A231" s="60" t="s">
        <v>113</v>
      </c>
      <c r="B231" s="57" t="s">
        <v>94</v>
      </c>
      <c r="C231" s="58" t="s">
        <v>101</v>
      </c>
      <c r="D231" s="59"/>
      <c r="E231" s="59"/>
      <c r="F231" s="63"/>
      <c r="G231" s="58" t="s">
        <v>95</v>
      </c>
      <c r="H231" s="64">
        <v>6501177</v>
      </c>
      <c r="I231" s="64">
        <v>945922</v>
      </c>
      <c r="J231" s="64">
        <v>0</v>
      </c>
      <c r="K231" s="64">
        <v>0</v>
      </c>
      <c r="L231" s="65">
        <v>7447099</v>
      </c>
      <c r="M231" s="74">
        <v>0</v>
      </c>
      <c r="N231" s="66">
        <v>0</v>
      </c>
      <c r="O231" s="66">
        <v>0</v>
      </c>
      <c r="P231" s="66">
        <v>0</v>
      </c>
      <c r="Q231" s="66">
        <v>0</v>
      </c>
      <c r="R231" s="67">
        <v>0</v>
      </c>
    </row>
    <row r="232" spans="1:18">
      <c r="A232" s="68" t="s">
        <v>56</v>
      </c>
      <c r="B232" s="54"/>
      <c r="C232" s="54"/>
      <c r="D232" s="59"/>
      <c r="E232" s="59"/>
      <c r="F232" s="63" t="s">
        <v>103</v>
      </c>
      <c r="G232" s="54"/>
      <c r="H232" s="77">
        <v>6501177</v>
      </c>
      <c r="I232" s="77">
        <v>945922</v>
      </c>
      <c r="J232" s="77"/>
      <c r="K232" s="77"/>
      <c r="L232" s="75">
        <v>7447099</v>
      </c>
      <c r="M232" s="54"/>
      <c r="N232" s="66">
        <v>0</v>
      </c>
      <c r="O232" s="66">
        <v>0</v>
      </c>
      <c r="P232" s="66">
        <v>0</v>
      </c>
      <c r="Q232" s="66">
        <v>0</v>
      </c>
      <c r="R232" s="67">
        <v>0</v>
      </c>
    </row>
    <row r="233" spans="1:18">
      <c r="A233" s="69" t="s">
        <v>57</v>
      </c>
      <c r="B233" s="54"/>
      <c r="C233" s="54"/>
      <c r="D233" s="59"/>
      <c r="E233" s="59"/>
      <c r="F233" s="63"/>
      <c r="G233" s="54"/>
      <c r="H233" s="56"/>
      <c r="I233" s="56"/>
      <c r="J233" s="56"/>
      <c r="K233" s="56"/>
      <c r="L233" s="67">
        <v>0</v>
      </c>
      <c r="M233" s="54"/>
      <c r="N233" s="66"/>
      <c r="O233" s="66"/>
      <c r="P233" s="66"/>
      <c r="Q233" s="54"/>
      <c r="R233" s="67"/>
    </row>
    <row r="234" spans="1:18">
      <c r="A234" s="69" t="s">
        <v>58</v>
      </c>
      <c r="B234" s="54"/>
      <c r="C234" s="54"/>
      <c r="D234" s="59"/>
      <c r="E234" s="59"/>
      <c r="F234" s="63"/>
      <c r="G234" s="54"/>
      <c r="H234" s="56"/>
      <c r="I234" s="56"/>
      <c r="J234" s="56"/>
      <c r="K234" s="56"/>
      <c r="L234" s="67">
        <v>0</v>
      </c>
      <c r="M234" s="54"/>
      <c r="N234" s="66"/>
      <c r="O234" s="66"/>
      <c r="P234" s="66"/>
      <c r="Q234" s="54"/>
      <c r="R234" s="67"/>
    </row>
    <row r="235" spans="1:18">
      <c r="A235" s="69" t="s">
        <v>59</v>
      </c>
      <c r="B235" s="54"/>
      <c r="C235" s="54"/>
      <c r="D235" s="59"/>
      <c r="E235" s="59"/>
      <c r="F235" s="63"/>
      <c r="G235" s="54"/>
      <c r="H235" s="56"/>
      <c r="I235" s="56"/>
      <c r="J235" s="56"/>
      <c r="K235" s="56"/>
      <c r="L235" s="67">
        <v>0</v>
      </c>
      <c r="M235" s="54"/>
      <c r="N235" s="66"/>
      <c r="O235" s="66"/>
      <c r="P235" s="66"/>
      <c r="Q235" s="54"/>
      <c r="R235" s="67"/>
    </row>
    <row r="236" spans="1:18">
      <c r="A236" s="69" t="s">
        <v>60</v>
      </c>
      <c r="B236" s="54"/>
      <c r="C236" s="54"/>
      <c r="D236" s="59"/>
      <c r="E236" s="59"/>
      <c r="F236" s="63"/>
      <c r="G236" s="54"/>
      <c r="H236" s="56"/>
      <c r="I236" s="56"/>
      <c r="J236" s="56"/>
      <c r="K236" s="56"/>
      <c r="L236" s="67">
        <v>0</v>
      </c>
      <c r="M236" s="54"/>
      <c r="N236" s="66"/>
      <c r="O236" s="66"/>
      <c r="P236" s="66"/>
      <c r="Q236" s="54"/>
      <c r="R236" s="67"/>
    </row>
    <row r="237" spans="1:18">
      <c r="A237" s="68" t="s">
        <v>61</v>
      </c>
      <c r="B237" s="54"/>
      <c r="C237" s="54"/>
      <c r="D237" s="59"/>
      <c r="E237" s="59"/>
      <c r="F237" s="63"/>
      <c r="G237" s="54"/>
      <c r="H237" s="64">
        <v>0</v>
      </c>
      <c r="I237" s="64">
        <v>0</v>
      </c>
      <c r="J237" s="64">
        <v>0</v>
      </c>
      <c r="K237" s="64">
        <v>0</v>
      </c>
      <c r="L237" s="65">
        <v>0</v>
      </c>
      <c r="M237" s="54"/>
      <c r="N237" s="66">
        <v>0</v>
      </c>
      <c r="O237" s="66">
        <v>0</v>
      </c>
      <c r="P237" s="66">
        <v>0</v>
      </c>
      <c r="Q237" s="66">
        <v>0</v>
      </c>
      <c r="R237" s="67">
        <v>0</v>
      </c>
    </row>
    <row r="238" spans="1:18">
      <c r="A238" s="69" t="s">
        <v>57</v>
      </c>
      <c r="B238" s="54"/>
      <c r="C238" s="54"/>
      <c r="D238" s="59"/>
      <c r="E238" s="59"/>
      <c r="F238" s="63"/>
      <c r="G238" s="54"/>
      <c r="H238" s="70">
        <v>0</v>
      </c>
      <c r="I238" s="70">
        <v>0</v>
      </c>
      <c r="J238" s="70">
        <v>0</v>
      </c>
      <c r="K238" s="70">
        <v>0</v>
      </c>
      <c r="L238" s="67">
        <v>0</v>
      </c>
      <c r="M238" s="54"/>
      <c r="N238" s="66"/>
      <c r="O238" s="66"/>
      <c r="P238" s="66"/>
      <c r="Q238" s="54"/>
      <c r="R238" s="67"/>
    </row>
    <row r="239" spans="1:18">
      <c r="A239" s="69" t="s">
        <v>58</v>
      </c>
      <c r="B239" s="54"/>
      <c r="C239" s="54"/>
      <c r="D239" s="59"/>
      <c r="E239" s="59"/>
      <c r="F239" s="63"/>
      <c r="G239" s="54"/>
      <c r="H239" s="56"/>
      <c r="I239" s="56"/>
      <c r="J239" s="56"/>
      <c r="K239" s="56"/>
      <c r="L239" s="67">
        <v>0</v>
      </c>
      <c r="M239" s="54"/>
      <c r="N239" s="66"/>
      <c r="O239" s="66"/>
      <c r="P239" s="66"/>
      <c r="Q239" s="54"/>
      <c r="R239" s="67"/>
    </row>
    <row r="240" spans="1:18">
      <c r="A240" s="69" t="s">
        <v>60</v>
      </c>
      <c r="B240" s="54"/>
      <c r="C240" s="54"/>
      <c r="D240" s="59"/>
      <c r="E240" s="59"/>
      <c r="F240" s="63"/>
      <c r="G240" s="54"/>
      <c r="H240" s="56"/>
      <c r="I240" s="56"/>
      <c r="J240" s="56"/>
      <c r="K240" s="56"/>
      <c r="L240" s="67">
        <v>0</v>
      </c>
      <c r="M240" s="54"/>
      <c r="N240" s="66"/>
      <c r="O240" s="66"/>
      <c r="P240" s="66"/>
      <c r="Q240" s="54"/>
      <c r="R240" s="67"/>
    </row>
    <row r="241" spans="1:18">
      <c r="A241" s="60" t="s">
        <v>114</v>
      </c>
      <c r="B241" s="57" t="s">
        <v>94</v>
      </c>
      <c r="C241" s="58" t="s">
        <v>83</v>
      </c>
      <c r="D241" s="59"/>
      <c r="E241" s="59"/>
      <c r="F241" s="63" t="s">
        <v>115</v>
      </c>
      <c r="G241" s="58" t="s">
        <v>116</v>
      </c>
      <c r="H241" s="64">
        <v>0</v>
      </c>
      <c r="I241" s="64">
        <v>0</v>
      </c>
      <c r="J241" s="64">
        <v>0</v>
      </c>
      <c r="K241" s="64">
        <v>0</v>
      </c>
      <c r="L241" s="65">
        <v>0</v>
      </c>
      <c r="M241" s="74">
        <v>1</v>
      </c>
      <c r="N241" s="66">
        <v>0</v>
      </c>
      <c r="O241" s="66">
        <v>0</v>
      </c>
      <c r="P241" s="66">
        <v>0</v>
      </c>
      <c r="Q241" s="66">
        <v>0</v>
      </c>
      <c r="R241" s="67">
        <v>0</v>
      </c>
    </row>
    <row r="242" spans="1:18">
      <c r="A242" s="68" t="s">
        <v>56</v>
      </c>
      <c r="B242" s="54"/>
      <c r="C242" s="54"/>
      <c r="D242" s="59"/>
      <c r="E242" s="59"/>
      <c r="F242" s="63"/>
      <c r="G242" s="54"/>
      <c r="H242" s="64">
        <v>0</v>
      </c>
      <c r="I242" s="64">
        <v>0</v>
      </c>
      <c r="J242" s="64">
        <v>0</v>
      </c>
      <c r="K242" s="64">
        <v>0</v>
      </c>
      <c r="L242" s="65">
        <v>0</v>
      </c>
      <c r="M242" s="54"/>
      <c r="N242" s="66">
        <v>0</v>
      </c>
      <c r="O242" s="66">
        <v>0</v>
      </c>
      <c r="P242" s="66">
        <v>0</v>
      </c>
      <c r="Q242" s="66">
        <v>0</v>
      </c>
      <c r="R242" s="67">
        <v>0</v>
      </c>
    </row>
    <row r="243" spans="1:18">
      <c r="A243" s="69" t="s">
        <v>57</v>
      </c>
      <c r="B243" s="54"/>
      <c r="C243" s="54"/>
      <c r="D243" s="59"/>
      <c r="E243" s="59"/>
      <c r="F243" s="63"/>
      <c r="G243" s="54"/>
      <c r="H243" s="56"/>
      <c r="I243" s="56"/>
      <c r="J243" s="56"/>
      <c r="K243" s="56"/>
      <c r="L243" s="67">
        <v>0</v>
      </c>
      <c r="M243" s="54"/>
      <c r="N243" s="66"/>
      <c r="O243" s="66"/>
      <c r="P243" s="66"/>
      <c r="Q243" s="54"/>
      <c r="R243" s="67"/>
    </row>
    <row r="244" spans="1:18">
      <c r="A244" s="69" t="s">
        <v>58</v>
      </c>
      <c r="B244" s="54"/>
      <c r="C244" s="54"/>
      <c r="D244" s="59"/>
      <c r="E244" s="59"/>
      <c r="F244" s="63"/>
      <c r="G244" s="54"/>
      <c r="H244" s="56"/>
      <c r="I244" s="56"/>
      <c r="J244" s="56"/>
      <c r="K244" s="56"/>
      <c r="L244" s="67">
        <v>0</v>
      </c>
      <c r="M244" s="54"/>
      <c r="N244" s="66"/>
      <c r="O244" s="66"/>
      <c r="P244" s="66"/>
      <c r="Q244" s="54"/>
      <c r="R244" s="67"/>
    </row>
    <row r="245" spans="1:18">
      <c r="A245" s="69" t="s">
        <v>59</v>
      </c>
      <c r="B245" s="54"/>
      <c r="C245" s="54"/>
      <c r="D245" s="59"/>
      <c r="E245" s="59"/>
      <c r="F245" s="63"/>
      <c r="G245" s="54"/>
      <c r="H245" s="56"/>
      <c r="I245" s="56"/>
      <c r="J245" s="56"/>
      <c r="K245" s="56"/>
      <c r="L245" s="67">
        <v>0</v>
      </c>
      <c r="M245" s="54"/>
      <c r="N245" s="66"/>
      <c r="O245" s="66"/>
      <c r="P245" s="66"/>
      <c r="Q245" s="54"/>
      <c r="R245" s="67"/>
    </row>
    <row r="246" spans="1:18">
      <c r="A246" s="69" t="s">
        <v>60</v>
      </c>
      <c r="B246" s="54"/>
      <c r="C246" s="54"/>
      <c r="D246" s="59"/>
      <c r="E246" s="59"/>
      <c r="F246" s="63"/>
      <c r="G246" s="54"/>
      <c r="H246" s="56"/>
      <c r="I246" s="56"/>
      <c r="J246" s="56"/>
      <c r="K246" s="56"/>
      <c r="L246" s="67">
        <v>0</v>
      </c>
      <c r="M246" s="54"/>
      <c r="N246" s="66"/>
      <c r="O246" s="66"/>
      <c r="P246" s="66"/>
      <c r="Q246" s="54"/>
      <c r="R246" s="67"/>
    </row>
    <row r="247" spans="1:18">
      <c r="A247" s="68" t="s">
        <v>61</v>
      </c>
      <c r="B247" s="54"/>
      <c r="C247" s="54"/>
      <c r="D247" s="59"/>
      <c r="E247" s="59"/>
      <c r="F247" s="63"/>
      <c r="G247" s="54"/>
      <c r="H247" s="64">
        <v>0</v>
      </c>
      <c r="I247" s="64">
        <v>0</v>
      </c>
      <c r="J247" s="64">
        <v>0</v>
      </c>
      <c r="K247" s="64">
        <v>0</v>
      </c>
      <c r="L247" s="65">
        <v>0</v>
      </c>
      <c r="M247" s="54"/>
      <c r="N247" s="66">
        <v>0</v>
      </c>
      <c r="O247" s="66">
        <v>0</v>
      </c>
      <c r="P247" s="66">
        <v>0</v>
      </c>
      <c r="Q247" s="66">
        <v>0</v>
      </c>
      <c r="R247" s="67">
        <v>0</v>
      </c>
    </row>
    <row r="248" spans="1:18">
      <c r="A248" s="69" t="s">
        <v>57</v>
      </c>
      <c r="B248" s="54"/>
      <c r="C248" s="54"/>
      <c r="D248" s="59"/>
      <c r="E248" s="59"/>
      <c r="F248" s="63"/>
      <c r="G248" s="54"/>
      <c r="H248" s="70">
        <v>0</v>
      </c>
      <c r="I248" s="70">
        <v>0</v>
      </c>
      <c r="J248" s="70">
        <v>0</v>
      </c>
      <c r="K248" s="70">
        <v>0</v>
      </c>
      <c r="L248" s="67">
        <v>0</v>
      </c>
      <c r="M248" s="54"/>
      <c r="N248" s="66"/>
      <c r="O248" s="66"/>
      <c r="P248" s="66"/>
      <c r="Q248" s="54"/>
      <c r="R248" s="67"/>
    </row>
    <row r="249" spans="1:18">
      <c r="A249" s="69" t="s">
        <v>58</v>
      </c>
      <c r="B249" s="54"/>
      <c r="C249" s="54"/>
      <c r="D249" s="59"/>
      <c r="E249" s="59"/>
      <c r="F249" s="63"/>
      <c r="G249" s="54"/>
      <c r="H249" s="56"/>
      <c r="I249" s="56"/>
      <c r="J249" s="56"/>
      <c r="K249" s="56"/>
      <c r="L249" s="67">
        <v>0</v>
      </c>
      <c r="M249" s="54"/>
      <c r="N249" s="66"/>
      <c r="O249" s="66"/>
      <c r="P249" s="66"/>
      <c r="Q249" s="54"/>
      <c r="R249" s="67"/>
    </row>
    <row r="250" spans="1:18">
      <c r="A250" s="69" t="s">
        <v>60</v>
      </c>
      <c r="B250" s="54"/>
      <c r="C250" s="54"/>
      <c r="D250" s="59"/>
      <c r="E250" s="59"/>
      <c r="F250" s="63"/>
      <c r="G250" s="54"/>
      <c r="H250" s="56"/>
      <c r="I250" s="56"/>
      <c r="J250" s="56"/>
      <c r="K250" s="56"/>
      <c r="L250" s="67">
        <v>0</v>
      </c>
      <c r="M250" s="54"/>
      <c r="N250" s="66"/>
      <c r="O250" s="66"/>
      <c r="P250" s="66"/>
      <c r="Q250" s="54"/>
      <c r="R250" s="67"/>
    </row>
    <row r="251" spans="1:18">
      <c r="A251" s="60" t="s">
        <v>117</v>
      </c>
      <c r="B251" s="57" t="s">
        <v>94</v>
      </c>
      <c r="C251" s="58" t="s">
        <v>77</v>
      </c>
      <c r="D251" s="59"/>
      <c r="E251" s="59"/>
      <c r="F251" s="63" t="s">
        <v>118</v>
      </c>
      <c r="G251" s="58" t="s">
        <v>102</v>
      </c>
      <c r="H251" s="64">
        <v>0</v>
      </c>
      <c r="I251" s="64">
        <v>0</v>
      </c>
      <c r="J251" s="64">
        <v>475321</v>
      </c>
      <c r="K251" s="64">
        <v>3566843</v>
      </c>
      <c r="L251" s="65">
        <v>4042164</v>
      </c>
      <c r="M251" s="74">
        <v>1</v>
      </c>
      <c r="N251" s="66">
        <v>0</v>
      </c>
      <c r="O251" s="66">
        <v>0</v>
      </c>
      <c r="P251" s="66">
        <v>475321</v>
      </c>
      <c r="Q251" s="66">
        <v>3566843</v>
      </c>
      <c r="R251" s="67">
        <v>4042164</v>
      </c>
    </row>
    <row r="252" spans="1:18">
      <c r="A252" s="68" t="s">
        <v>56</v>
      </c>
      <c r="B252" s="54"/>
      <c r="C252" s="54"/>
      <c r="D252" s="59"/>
      <c r="E252" s="59"/>
      <c r="F252" s="63"/>
      <c r="G252" s="54"/>
      <c r="H252" s="64">
        <v>0</v>
      </c>
      <c r="I252" s="64">
        <v>0</v>
      </c>
      <c r="J252" s="64">
        <v>475321</v>
      </c>
      <c r="K252" s="64">
        <v>3566843</v>
      </c>
      <c r="L252" s="65">
        <v>4042164</v>
      </c>
      <c r="M252" s="54"/>
      <c r="N252" s="66">
        <v>0</v>
      </c>
      <c r="O252" s="66">
        <v>0</v>
      </c>
      <c r="P252" s="66">
        <v>475321</v>
      </c>
      <c r="Q252" s="66">
        <v>3566843</v>
      </c>
      <c r="R252" s="67">
        <v>4042164</v>
      </c>
    </row>
    <row r="253" spans="1:18">
      <c r="A253" s="69" t="s">
        <v>57</v>
      </c>
      <c r="B253" s="54"/>
      <c r="C253" s="54"/>
      <c r="D253" s="59"/>
      <c r="E253" s="59"/>
      <c r="F253" s="63"/>
      <c r="G253" s="54"/>
      <c r="H253" s="70">
        <v>0</v>
      </c>
      <c r="I253" s="70">
        <v>0</v>
      </c>
      <c r="J253" s="70">
        <v>175321</v>
      </c>
      <c r="K253" s="70">
        <v>366843</v>
      </c>
      <c r="L253" s="67">
        <v>542164</v>
      </c>
      <c r="M253" s="54"/>
      <c r="N253" s="66"/>
      <c r="O253" s="66"/>
      <c r="P253" s="66"/>
      <c r="Q253" s="54"/>
      <c r="R253" s="67"/>
    </row>
    <row r="254" spans="1:18">
      <c r="A254" s="69" t="s">
        <v>58</v>
      </c>
      <c r="B254" s="54"/>
      <c r="C254" s="54"/>
      <c r="D254" s="59"/>
      <c r="E254" s="59"/>
      <c r="F254" s="63"/>
      <c r="G254" s="54"/>
      <c r="H254" s="56"/>
      <c r="I254" s="56"/>
      <c r="J254" s="56">
        <v>300000</v>
      </c>
      <c r="K254" s="56">
        <v>1700000</v>
      </c>
      <c r="L254" s="67">
        <v>2000000</v>
      </c>
      <c r="M254" s="54"/>
      <c r="N254" s="66"/>
      <c r="O254" s="66"/>
      <c r="P254" s="66"/>
      <c r="Q254" s="54"/>
      <c r="R254" s="67"/>
    </row>
    <row r="255" spans="1:18">
      <c r="A255" s="69" t="s">
        <v>59</v>
      </c>
      <c r="B255" s="54"/>
      <c r="C255" s="54"/>
      <c r="D255" s="59"/>
      <c r="E255" s="59"/>
      <c r="F255" s="63"/>
      <c r="G255" s="54"/>
      <c r="H255" s="56"/>
      <c r="I255" s="56"/>
      <c r="J255" s="56"/>
      <c r="K255" s="56"/>
      <c r="L255" s="67">
        <v>0</v>
      </c>
      <c r="M255" s="54"/>
      <c r="N255" s="66"/>
      <c r="O255" s="66"/>
      <c r="P255" s="66"/>
      <c r="Q255" s="54"/>
      <c r="R255" s="67"/>
    </row>
    <row r="256" spans="1:18">
      <c r="A256" s="69" t="s">
        <v>60</v>
      </c>
      <c r="B256" s="54"/>
      <c r="C256" s="54"/>
      <c r="D256" s="59"/>
      <c r="E256" s="59"/>
      <c r="F256" s="63"/>
      <c r="G256" s="54"/>
      <c r="H256" s="56"/>
      <c r="I256" s="56"/>
      <c r="J256" s="56"/>
      <c r="K256" s="56">
        <v>1500000</v>
      </c>
      <c r="L256" s="67">
        <v>1500000</v>
      </c>
      <c r="M256" s="54"/>
      <c r="N256" s="66"/>
      <c r="O256" s="66"/>
      <c r="P256" s="66"/>
      <c r="Q256" s="54"/>
      <c r="R256" s="67"/>
    </row>
    <row r="257" spans="1:18">
      <c r="A257" s="68" t="s">
        <v>61</v>
      </c>
      <c r="B257" s="54"/>
      <c r="C257" s="54"/>
      <c r="D257" s="59"/>
      <c r="E257" s="59"/>
      <c r="F257" s="63"/>
      <c r="G257" s="54"/>
      <c r="H257" s="64">
        <v>0</v>
      </c>
      <c r="I257" s="64">
        <v>0</v>
      </c>
      <c r="J257" s="64">
        <v>0</v>
      </c>
      <c r="K257" s="64">
        <v>0</v>
      </c>
      <c r="L257" s="65">
        <v>0</v>
      </c>
      <c r="M257" s="54"/>
      <c r="N257" s="66">
        <v>0</v>
      </c>
      <c r="O257" s="66">
        <v>0</v>
      </c>
      <c r="P257" s="66">
        <v>0</v>
      </c>
      <c r="Q257" s="66">
        <v>0</v>
      </c>
      <c r="R257" s="67">
        <v>0</v>
      </c>
    </row>
    <row r="258" spans="1:18">
      <c r="A258" s="69" t="s">
        <v>57</v>
      </c>
      <c r="B258" s="54"/>
      <c r="C258" s="54"/>
      <c r="D258" s="59"/>
      <c r="E258" s="59"/>
      <c r="F258" s="63"/>
      <c r="G258" s="54"/>
      <c r="H258" s="70"/>
      <c r="I258" s="70"/>
      <c r="J258" s="70"/>
      <c r="K258" s="70"/>
      <c r="L258" s="67">
        <v>0</v>
      </c>
      <c r="M258" s="54"/>
      <c r="N258" s="66"/>
      <c r="O258" s="66"/>
      <c r="P258" s="66"/>
      <c r="Q258" s="54"/>
      <c r="R258" s="67"/>
    </row>
    <row r="259" spans="1:18">
      <c r="A259" s="69" t="s">
        <v>58</v>
      </c>
      <c r="B259" s="54"/>
      <c r="C259" s="54"/>
      <c r="D259" s="59"/>
      <c r="E259" s="59"/>
      <c r="F259" s="63"/>
      <c r="G259" s="54"/>
      <c r="H259" s="56"/>
      <c r="I259" s="56"/>
      <c r="J259" s="56"/>
      <c r="K259" s="56"/>
      <c r="L259" s="67">
        <v>0</v>
      </c>
      <c r="M259" s="54"/>
      <c r="N259" s="66"/>
      <c r="O259" s="66"/>
      <c r="P259" s="66"/>
      <c r="Q259" s="54"/>
      <c r="R259" s="67"/>
    </row>
    <row r="260" spans="1:18">
      <c r="A260" s="69" t="s">
        <v>60</v>
      </c>
      <c r="B260" s="54"/>
      <c r="C260" s="54"/>
      <c r="D260" s="59"/>
      <c r="E260" s="59"/>
      <c r="F260" s="63"/>
      <c r="G260" s="54"/>
      <c r="H260" s="56"/>
      <c r="I260" s="56"/>
      <c r="J260" s="56"/>
      <c r="K260" s="56"/>
      <c r="L260" s="67">
        <v>0</v>
      </c>
      <c r="M260" s="54"/>
      <c r="N260" s="66"/>
      <c r="O260" s="66"/>
      <c r="P260" s="66"/>
      <c r="Q260" s="54"/>
      <c r="R260" s="67"/>
    </row>
    <row r="261" spans="1:18">
      <c r="A261" s="54"/>
      <c r="B261" s="54"/>
      <c r="C261" s="54"/>
      <c r="D261" s="59"/>
      <c r="E261" s="59"/>
      <c r="F261" s="54"/>
      <c r="G261" s="54"/>
      <c r="H261" s="54"/>
      <c r="I261" s="54"/>
      <c r="J261" s="54"/>
      <c r="K261" s="54"/>
      <c r="L261" s="54"/>
      <c r="M261" s="54"/>
      <c r="N261" s="54"/>
      <c r="O261" s="54"/>
      <c r="P261" s="54"/>
      <c r="Q261" s="54"/>
      <c r="R261" s="54"/>
    </row>
    <row r="262" spans="1:18">
      <c r="A262" s="54"/>
      <c r="B262" s="54"/>
      <c r="C262" s="54"/>
      <c r="D262" s="59"/>
      <c r="E262" s="59"/>
      <c r="F262" s="54"/>
      <c r="G262" s="54"/>
      <c r="H262" s="54"/>
      <c r="I262" s="54"/>
      <c r="J262" s="54"/>
      <c r="K262" s="54"/>
      <c r="L262" s="54"/>
      <c r="M262" s="54"/>
      <c r="N262" s="54"/>
      <c r="O262" s="54"/>
      <c r="P262" s="54"/>
      <c r="Q262" s="54"/>
      <c r="R262" s="54"/>
    </row>
    <row r="263" spans="1:18">
      <c r="A263" s="54"/>
      <c r="B263" s="54"/>
      <c r="C263" s="54"/>
      <c r="D263" s="59"/>
      <c r="E263" s="59"/>
      <c r="F263" s="54"/>
      <c r="G263" s="54"/>
      <c r="H263" s="54"/>
      <c r="I263" s="54"/>
      <c r="J263" s="54"/>
      <c r="K263" s="54"/>
      <c r="L263" s="54"/>
      <c r="M263" s="54"/>
      <c r="N263" s="54"/>
      <c r="O263" s="54"/>
      <c r="P263" s="54"/>
      <c r="Q263" s="54"/>
      <c r="R263" s="54"/>
    </row>
    <row r="264" spans="1:18">
      <c r="A264" s="54"/>
      <c r="B264" s="54"/>
      <c r="C264" s="54"/>
      <c r="D264" s="59"/>
      <c r="E264" s="59"/>
      <c r="F264" s="54"/>
      <c r="G264" s="54"/>
      <c r="H264" s="54"/>
      <c r="I264" s="54"/>
      <c r="J264" s="54"/>
      <c r="K264" s="54"/>
      <c r="L264" s="54"/>
      <c r="M264" s="54"/>
      <c r="N264" s="54"/>
      <c r="O264" s="54"/>
      <c r="P264" s="54"/>
      <c r="Q264" s="54"/>
      <c r="R264" s="54"/>
    </row>
    <row r="265" spans="1:18">
      <c r="A265" s="54" t="s">
        <v>120</v>
      </c>
      <c r="B265" s="54"/>
      <c r="C265" s="54"/>
      <c r="D265" s="59"/>
      <c r="E265" s="59"/>
      <c r="F265" s="54"/>
      <c r="G265" s="54"/>
      <c r="H265" s="54"/>
      <c r="I265" s="54"/>
      <c r="J265" s="54"/>
      <c r="K265" s="54"/>
      <c r="L265" s="54"/>
      <c r="M265" s="54"/>
      <c r="N265" s="54"/>
      <c r="O265" s="54"/>
      <c r="P265" s="54"/>
      <c r="Q265" s="54"/>
      <c r="R265" s="54"/>
    </row>
    <row r="266" spans="1:18">
      <c r="A266" s="54" t="s">
        <v>56</v>
      </c>
      <c r="B266" s="54"/>
      <c r="C266" s="54"/>
      <c r="D266" s="59"/>
      <c r="E266" s="59"/>
      <c r="F266" s="54"/>
      <c r="G266" s="54"/>
      <c r="H266" s="53">
        <f>SUM(H6,H16,H26,H36,H46,H56,H66,H76,H86,H96,H106,H116,H126,H136,H146,H156,H166)</f>
        <v>5825000</v>
      </c>
      <c r="I266" s="53">
        <f t="shared" ref="I266:K266" si="0">SUM(I6,I16,I26,I36,I46,I56,I66,I76,I86,I96,I106,I116,I126,I136,I146,I156,I166)</f>
        <v>9550000</v>
      </c>
      <c r="J266" s="53">
        <f t="shared" si="0"/>
        <v>950000</v>
      </c>
      <c r="K266" s="53">
        <f t="shared" si="0"/>
        <v>200000</v>
      </c>
      <c r="L266" s="54"/>
      <c r="M266" s="54"/>
      <c r="N266" s="54"/>
      <c r="O266" s="54"/>
      <c r="P266" s="54"/>
      <c r="Q266" s="54"/>
      <c r="R266" s="54"/>
    </row>
    <row r="267" spans="1:18">
      <c r="A267" s="54" t="s">
        <v>61</v>
      </c>
      <c r="B267" s="54"/>
      <c r="C267" s="54"/>
      <c r="D267" s="59"/>
      <c r="E267" s="59"/>
      <c r="F267" s="54"/>
      <c r="G267" s="54"/>
      <c r="H267" s="53">
        <f>SUM(H11,H21,H31,H41,H51,H61,H71,H81,H91,H101,H111,H121,H131,H141,H151,H161,H171,)</f>
        <v>2106709</v>
      </c>
      <c r="I267" s="53">
        <f t="shared" ref="I267:K267" si="1">SUM(I11,I21,I31,I41,I51,I61,I71,I81,I91,I101,I111,I121,I131,I141,I151,I161,I171,)</f>
        <v>1307670</v>
      </c>
      <c r="J267" s="53">
        <f t="shared" si="1"/>
        <v>945710</v>
      </c>
      <c r="K267" s="53">
        <f t="shared" si="1"/>
        <v>890587.5</v>
      </c>
      <c r="L267" s="54"/>
      <c r="M267" s="54"/>
      <c r="N267" s="54"/>
      <c r="O267" s="54"/>
      <c r="P267" s="54"/>
      <c r="Q267" s="54"/>
      <c r="R267" s="54"/>
    </row>
    <row r="268" spans="1:18">
      <c r="A268" s="54"/>
      <c r="B268" s="54"/>
      <c r="C268" s="54"/>
      <c r="D268" s="59"/>
      <c r="E268" s="59"/>
      <c r="F268" s="54"/>
      <c r="G268" s="54"/>
      <c r="H268" s="54"/>
      <c r="I268" s="54"/>
      <c r="J268" s="54"/>
      <c r="K268" s="54"/>
      <c r="L268" s="54"/>
      <c r="M268" s="54"/>
      <c r="N268" s="54"/>
      <c r="O268" s="54"/>
      <c r="P268" s="54"/>
      <c r="Q268" s="54"/>
      <c r="R268" s="54"/>
    </row>
    <row r="269" spans="1:18">
      <c r="A269" s="54"/>
      <c r="B269" s="54"/>
      <c r="C269" s="54"/>
      <c r="D269" s="59"/>
      <c r="E269" s="59"/>
      <c r="F269" s="54"/>
      <c r="G269" s="54"/>
      <c r="H269" s="54"/>
      <c r="I269" s="54"/>
      <c r="J269" s="54"/>
      <c r="K269" s="54"/>
      <c r="L269" s="54"/>
      <c r="M269" s="54"/>
      <c r="N269" s="54"/>
      <c r="O269" s="54"/>
      <c r="P269" s="54"/>
      <c r="Q269" s="54"/>
      <c r="R269" s="54"/>
    </row>
    <row r="270" spans="1:18">
      <c r="A270" s="54"/>
      <c r="B270" s="54"/>
      <c r="C270" s="54"/>
      <c r="D270" s="59"/>
      <c r="E270" s="59"/>
      <c r="F270" s="54"/>
      <c r="G270" s="54"/>
      <c r="H270" s="54"/>
      <c r="I270" s="54"/>
      <c r="J270" s="54"/>
      <c r="K270" s="54"/>
      <c r="L270" s="54"/>
      <c r="M270" s="54"/>
      <c r="N270" s="54"/>
      <c r="O270" s="54"/>
      <c r="P270" s="54"/>
      <c r="Q270" s="54"/>
      <c r="R270" s="54"/>
    </row>
    <row r="271" spans="1:18">
      <c r="A271" s="54"/>
      <c r="B271" s="54"/>
      <c r="C271" s="54"/>
      <c r="D271" s="59"/>
      <c r="E271" s="59"/>
      <c r="F271" s="54"/>
      <c r="G271" s="54"/>
      <c r="H271" s="54"/>
      <c r="I271" s="54"/>
      <c r="J271" s="54"/>
      <c r="K271" s="54"/>
      <c r="L271" s="54"/>
      <c r="M271" s="54"/>
      <c r="N271" s="54"/>
      <c r="O271" s="54"/>
      <c r="P271" s="54"/>
      <c r="Q271" s="54"/>
      <c r="R271" s="54"/>
    </row>
    <row r="272" spans="1:18">
      <c r="A272" s="54"/>
      <c r="B272" s="54"/>
      <c r="C272" s="54"/>
      <c r="D272" s="59"/>
      <c r="E272" s="59"/>
      <c r="F272" s="54"/>
      <c r="G272" s="54"/>
      <c r="H272" s="54"/>
      <c r="I272" s="54"/>
      <c r="J272" s="54"/>
      <c r="K272" s="54"/>
      <c r="L272" s="54"/>
      <c r="M272" s="54"/>
      <c r="N272" s="54"/>
      <c r="O272" s="54"/>
      <c r="P272" s="54"/>
      <c r="Q272" s="54"/>
      <c r="R272" s="54"/>
    </row>
    <row r="273" spans="4:5">
      <c r="D273" s="59"/>
      <c r="E273" s="59"/>
    </row>
  </sheetData>
  <mergeCells count="2">
    <mergeCell ref="H1:L1"/>
    <mergeCell ref="N1:R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F15"/>
  <sheetViews>
    <sheetView workbookViewId="0">
      <selection activeCell="G44" sqref="G44"/>
    </sheetView>
  </sheetViews>
  <sheetFormatPr defaultRowHeight="15"/>
  <cols>
    <col min="1" max="1" width="19" customWidth="1"/>
    <col min="2" max="4" width="10" bestFit="1" customWidth="1"/>
    <col min="5" max="6" width="11" bestFit="1" customWidth="1"/>
  </cols>
  <sheetData>
    <row r="5" spans="1:6">
      <c r="A5" s="10" t="s">
        <v>35</v>
      </c>
    </row>
    <row r="6" spans="1:6">
      <c r="B6">
        <v>2022</v>
      </c>
      <c r="C6">
        <v>2023</v>
      </c>
      <c r="D6">
        <v>2024</v>
      </c>
      <c r="E6">
        <v>2025</v>
      </c>
      <c r="F6">
        <v>2026</v>
      </c>
    </row>
    <row r="7" spans="1:6">
      <c r="A7" t="s">
        <v>36</v>
      </c>
      <c r="B7">
        <v>5151692.5</v>
      </c>
      <c r="C7">
        <v>8511297.5</v>
      </c>
      <c r="D7">
        <v>8720832.5</v>
      </c>
      <c r="E7">
        <v>9136902.5</v>
      </c>
      <c r="F7">
        <v>9136902.5</v>
      </c>
    </row>
    <row r="8" spans="1:6">
      <c r="A8" t="s">
        <v>37</v>
      </c>
      <c r="B8">
        <v>960340</v>
      </c>
      <c r="C8">
        <v>749840</v>
      </c>
      <c r="D8">
        <v>749840</v>
      </c>
      <c r="E8">
        <v>749840</v>
      </c>
      <c r="F8">
        <v>749840</v>
      </c>
    </row>
    <row r="9" spans="1:6">
      <c r="A9" t="s">
        <v>38</v>
      </c>
      <c r="B9">
        <v>280400</v>
      </c>
      <c r="C9">
        <v>280400</v>
      </c>
      <c r="D9">
        <v>308440</v>
      </c>
      <c r="E9">
        <v>308440</v>
      </c>
      <c r="F9">
        <v>308440</v>
      </c>
    </row>
    <row r="11" spans="1:6">
      <c r="A11" t="s">
        <v>15</v>
      </c>
      <c r="B11">
        <v>6392432.5</v>
      </c>
      <c r="C11">
        <v>9541537.5</v>
      </c>
      <c r="D11">
        <v>9779112.5</v>
      </c>
      <c r="E11">
        <v>10195182.5</v>
      </c>
      <c r="F11">
        <v>10195182.5</v>
      </c>
    </row>
    <row r="15" spans="1:6">
      <c r="A15" t="s">
        <v>39</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L21"/>
  <sheetViews>
    <sheetView workbookViewId="0">
      <selection activeCell="E17" sqref="E17"/>
    </sheetView>
  </sheetViews>
  <sheetFormatPr defaultRowHeight="15"/>
  <cols>
    <col min="2" max="2" width="9.140625" style="54"/>
    <col min="3" max="3" width="32.28515625" customWidth="1"/>
    <col min="8" max="12" width="12.5703125" bestFit="1" customWidth="1"/>
  </cols>
  <sheetData>
    <row r="5" spans="1:12">
      <c r="A5" t="s">
        <v>121</v>
      </c>
      <c r="H5">
        <v>2022</v>
      </c>
      <c r="I5">
        <v>2023</v>
      </c>
      <c r="J5">
        <v>2024</v>
      </c>
      <c r="K5">
        <v>2025</v>
      </c>
      <c r="L5">
        <v>2026</v>
      </c>
    </row>
    <row r="6" spans="1:12" s="54" customFormat="1">
      <c r="D6" s="54" t="s">
        <v>126</v>
      </c>
      <c r="E6" s="54" t="s">
        <v>127</v>
      </c>
      <c r="F6" s="54" t="s">
        <v>128</v>
      </c>
    </row>
    <row r="7" spans="1:12">
      <c r="B7" s="54">
        <v>1.5</v>
      </c>
      <c r="C7" t="s">
        <v>123</v>
      </c>
      <c r="D7">
        <v>130000</v>
      </c>
      <c r="E7" s="84">
        <v>0.69</v>
      </c>
      <c r="F7" s="85">
        <v>2.5000000000000001E-2</v>
      </c>
      <c r="H7" s="55">
        <f>$B7*$D7*(1+$E7)*((1+$F7)^(H$5-$H$5))</f>
        <v>329550</v>
      </c>
      <c r="I7" s="55">
        <f t="shared" ref="I7:L7" si="0">$B7*$D7*(1+$E7)*((1+$F7)^(I$5-$H$5))</f>
        <v>337788.74999999994</v>
      </c>
      <c r="J7" s="55">
        <f t="shared" si="0"/>
        <v>346233.46875</v>
      </c>
      <c r="K7" s="55">
        <f t="shared" si="0"/>
        <v>354889.30546874995</v>
      </c>
      <c r="L7" s="55">
        <f t="shared" si="0"/>
        <v>363761.53810546867</v>
      </c>
    </row>
    <row r="8" spans="1:12">
      <c r="B8" s="54">
        <v>3</v>
      </c>
      <c r="C8" t="s">
        <v>131</v>
      </c>
      <c r="D8">
        <v>110000</v>
      </c>
      <c r="E8" s="84">
        <v>0.69</v>
      </c>
      <c r="F8" s="85">
        <v>2.5000000000000001E-2</v>
      </c>
      <c r="H8" s="55">
        <f t="shared" ref="H8:L10" si="1">$B8*$D8*(1+$E8)*((1+$F8)^(H$5-$H$5))</f>
        <v>557700</v>
      </c>
      <c r="I8" s="55">
        <f t="shared" si="1"/>
        <v>571642.5</v>
      </c>
      <c r="J8" s="55">
        <f t="shared" si="1"/>
        <v>585933.5625</v>
      </c>
      <c r="K8" s="55">
        <f t="shared" si="1"/>
        <v>600581.90156249993</v>
      </c>
      <c r="L8" s="55">
        <f t="shared" si="1"/>
        <v>615596.44910156238</v>
      </c>
    </row>
    <row r="9" spans="1:12">
      <c r="B9" s="54">
        <v>1</v>
      </c>
      <c r="C9" t="s">
        <v>124</v>
      </c>
      <c r="D9">
        <v>100000</v>
      </c>
      <c r="E9" s="84">
        <v>0.69</v>
      </c>
      <c r="F9" s="85">
        <v>2.5000000000000001E-2</v>
      </c>
      <c r="H9" s="55">
        <f t="shared" si="1"/>
        <v>169000</v>
      </c>
      <c r="I9" s="55">
        <f t="shared" si="1"/>
        <v>173224.99999999997</v>
      </c>
      <c r="J9" s="55">
        <f t="shared" si="1"/>
        <v>177555.625</v>
      </c>
      <c r="K9" s="55">
        <f t="shared" si="1"/>
        <v>181994.51562499997</v>
      </c>
      <c r="L9" s="55">
        <f t="shared" si="1"/>
        <v>186544.37851562497</v>
      </c>
    </row>
    <row r="10" spans="1:12">
      <c r="B10" s="54">
        <v>2</v>
      </c>
      <c r="C10" t="s">
        <v>130</v>
      </c>
      <c r="D10">
        <v>120000</v>
      </c>
      <c r="E10" s="84">
        <v>0.69</v>
      </c>
      <c r="F10" s="85">
        <v>2.5000000000000001E-2</v>
      </c>
      <c r="H10" s="55">
        <f t="shared" si="1"/>
        <v>405600</v>
      </c>
      <c r="I10" s="55">
        <f t="shared" si="1"/>
        <v>415739.99999999994</v>
      </c>
      <c r="J10" s="55">
        <f t="shared" si="1"/>
        <v>426133.49999999994</v>
      </c>
      <c r="K10" s="55">
        <f t="shared" si="1"/>
        <v>436786.83749999997</v>
      </c>
      <c r="L10" s="55">
        <f t="shared" si="1"/>
        <v>447706.50843749993</v>
      </c>
    </row>
    <row r="11" spans="1:12">
      <c r="H11" s="55"/>
      <c r="I11" s="55"/>
      <c r="J11" s="55"/>
      <c r="K11" s="55"/>
      <c r="L11" s="55"/>
    </row>
    <row r="12" spans="1:12">
      <c r="H12" s="55"/>
      <c r="I12" s="55"/>
      <c r="J12" s="55"/>
      <c r="K12" s="55"/>
      <c r="L12" s="55"/>
    </row>
    <row r="13" spans="1:12">
      <c r="H13" s="55"/>
      <c r="I13" s="55"/>
      <c r="J13" s="55"/>
      <c r="K13" s="55"/>
      <c r="L13" s="55"/>
    </row>
    <row r="14" spans="1:12">
      <c r="A14" t="s">
        <v>122</v>
      </c>
      <c r="H14" s="55"/>
      <c r="I14" s="55"/>
      <c r="J14" s="55"/>
      <c r="K14" s="55"/>
      <c r="L14" s="55"/>
    </row>
    <row r="15" spans="1:12">
      <c r="C15" t="s">
        <v>125</v>
      </c>
      <c r="H15" s="55">
        <v>200000</v>
      </c>
      <c r="I15" s="55">
        <v>200000</v>
      </c>
      <c r="J15" s="55">
        <v>200000</v>
      </c>
      <c r="K15" s="55">
        <v>200000</v>
      </c>
      <c r="L15" s="55">
        <v>200000</v>
      </c>
    </row>
    <row r="16" spans="1:12">
      <c r="C16" t="s">
        <v>129</v>
      </c>
      <c r="H16" s="55">
        <v>100000</v>
      </c>
      <c r="I16" s="55">
        <v>100000</v>
      </c>
      <c r="J16" s="55">
        <v>100000</v>
      </c>
      <c r="K16" s="55">
        <v>100000</v>
      </c>
      <c r="L16" s="55">
        <v>100000</v>
      </c>
    </row>
    <row r="21" spans="1:12">
      <c r="A21" t="s">
        <v>15</v>
      </c>
      <c r="H21" s="53">
        <f>SUM(H7:H20)</f>
        <v>1761850</v>
      </c>
      <c r="I21" s="53">
        <f t="shared" ref="I21:L21" si="2">SUM(I7:I20)</f>
        <v>1798396.25</v>
      </c>
      <c r="J21" s="53">
        <f t="shared" si="2"/>
        <v>1835856.15625</v>
      </c>
      <c r="K21" s="53">
        <f t="shared" si="2"/>
        <v>1874252.5601562497</v>
      </c>
      <c r="L21" s="53">
        <f t="shared" si="2"/>
        <v>1913608.8741601559</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343"/>
  <sheetViews>
    <sheetView tabSelected="1" zoomScaleNormal="100" workbookViewId="0">
      <pane ySplit="2" topLeftCell="A3" activePane="bottomLeft" state="frozen"/>
      <selection activeCell="E17" sqref="E17"/>
      <selection pane="bottomLeft" activeCell="E17" sqref="E17"/>
    </sheetView>
  </sheetViews>
  <sheetFormatPr defaultColWidth="8.7109375" defaultRowHeight="12.75" outlineLevelRow="1"/>
  <cols>
    <col min="1" max="1" width="45.28515625" style="206" bestFit="1" customWidth="1"/>
    <col min="2" max="2" width="24.5703125" style="206" hidden="1" customWidth="1"/>
    <col min="3" max="5" width="13.5703125" style="206" bestFit="1" customWidth="1"/>
    <col min="6" max="6" width="13.42578125" style="206" bestFit="1" customWidth="1"/>
    <col min="7" max="7" width="15.140625" style="206" customWidth="1"/>
    <col min="8" max="8" width="3.7109375" style="156" customWidth="1"/>
    <col min="9" max="9" width="14.5703125" style="206" hidden="1" customWidth="1"/>
    <col min="10" max="11" width="15.140625" style="206" hidden="1" customWidth="1"/>
    <col min="12" max="12" width="17.7109375" style="206" hidden="1" customWidth="1"/>
    <col min="13" max="13" width="15.140625" style="206" hidden="1" customWidth="1"/>
    <col min="14" max="14" width="3.5703125" style="156" customWidth="1"/>
    <col min="15" max="15" width="13.28515625" style="212" customWidth="1"/>
    <col min="16" max="17" width="13.5703125" style="206" bestFit="1" customWidth="1"/>
    <col min="18" max="19" width="12.5703125" style="206" bestFit="1" customWidth="1"/>
    <col min="20" max="20" width="14.140625" style="206" customWidth="1"/>
    <col min="21" max="21" width="11.140625" style="206" bestFit="1" customWidth="1"/>
    <col min="22" max="22" width="13.7109375" style="206" bestFit="1" customWidth="1"/>
    <col min="23" max="24" width="12.7109375" style="206" bestFit="1" customWidth="1"/>
    <col min="25" max="25" width="13.85546875" style="206" bestFit="1" customWidth="1"/>
    <col min="26" max="16384" width="8.7109375" style="206"/>
  </cols>
  <sheetData>
    <row r="1" spans="1:22" s="231" customFormat="1">
      <c r="B1" s="227"/>
      <c r="C1" s="812" t="s">
        <v>824</v>
      </c>
      <c r="D1" s="812"/>
      <c r="E1" s="812"/>
      <c r="F1" s="812"/>
      <c r="G1" s="812"/>
      <c r="H1" s="768"/>
      <c r="I1" s="814" t="s">
        <v>826</v>
      </c>
      <c r="J1" s="814"/>
      <c r="K1" s="814"/>
      <c r="L1" s="814"/>
      <c r="M1" s="814"/>
      <c r="N1" s="768"/>
      <c r="O1" s="218"/>
      <c r="P1" s="812" t="s">
        <v>41</v>
      </c>
      <c r="Q1" s="812"/>
      <c r="R1" s="812"/>
      <c r="S1" s="812"/>
      <c r="T1" s="813"/>
    </row>
    <row r="2" spans="1:22" ht="25.5">
      <c r="A2" s="207" t="s">
        <v>42</v>
      </c>
      <c r="B2" s="226" t="s">
        <v>43</v>
      </c>
      <c r="C2" s="218">
        <v>2022</v>
      </c>
      <c r="D2" s="218">
        <v>2023</v>
      </c>
      <c r="E2" s="218">
        <v>2024</v>
      </c>
      <c r="F2" s="218">
        <v>2025</v>
      </c>
      <c r="G2" s="214" t="s">
        <v>15</v>
      </c>
      <c r="H2" s="769"/>
      <c r="I2" s="758">
        <v>2022</v>
      </c>
      <c r="J2" s="758">
        <v>2023</v>
      </c>
      <c r="K2" s="758">
        <v>2024</v>
      </c>
      <c r="L2" s="758">
        <v>2025</v>
      </c>
      <c r="M2" s="214" t="s">
        <v>15</v>
      </c>
      <c r="N2" s="769"/>
      <c r="O2" s="219" t="s">
        <v>825</v>
      </c>
      <c r="P2" s="218">
        <v>2022</v>
      </c>
      <c r="Q2" s="218">
        <v>2023</v>
      </c>
      <c r="R2" s="218">
        <v>2024</v>
      </c>
      <c r="S2" s="218">
        <v>2025</v>
      </c>
      <c r="T2" s="230" t="s">
        <v>15</v>
      </c>
    </row>
    <row r="3" spans="1:22">
      <c r="A3" s="207"/>
      <c r="B3" s="226"/>
      <c r="C3" s="218"/>
      <c r="D3" s="218"/>
      <c r="E3" s="218"/>
      <c r="F3" s="218"/>
      <c r="G3" s="214"/>
      <c r="H3" s="769"/>
      <c r="I3" s="214"/>
      <c r="J3" s="214"/>
      <c r="K3" s="214"/>
      <c r="L3" s="214"/>
      <c r="M3" s="214"/>
      <c r="N3" s="769"/>
      <c r="O3" s="219"/>
      <c r="P3" s="218"/>
      <c r="Q3" s="218"/>
      <c r="R3" s="218"/>
      <c r="S3" s="218"/>
      <c r="T3" s="228"/>
    </row>
    <row r="4" spans="1:22">
      <c r="A4" s="209" t="s">
        <v>50</v>
      </c>
      <c r="B4" s="226"/>
      <c r="C4" s="218"/>
      <c r="D4" s="218"/>
      <c r="E4" s="218"/>
      <c r="F4" s="218"/>
      <c r="G4" s="214"/>
      <c r="H4" s="769"/>
      <c r="I4" s="214"/>
      <c r="J4" s="214"/>
      <c r="K4" s="214"/>
      <c r="L4" s="214"/>
      <c r="M4" s="214"/>
      <c r="N4" s="769"/>
      <c r="O4" s="219"/>
      <c r="P4" s="218"/>
      <c r="Q4" s="218"/>
      <c r="R4" s="218"/>
      <c r="S4" s="218"/>
      <c r="T4" s="228"/>
    </row>
    <row r="5" spans="1:22">
      <c r="A5" s="208" t="s">
        <v>51</v>
      </c>
      <c r="B5" s="227" t="s">
        <v>732</v>
      </c>
      <c r="C5" s="723">
        <v>782500</v>
      </c>
      <c r="D5" s="723">
        <v>382500</v>
      </c>
      <c r="E5" s="723">
        <v>382500</v>
      </c>
      <c r="F5" s="723">
        <v>382500</v>
      </c>
      <c r="G5" s="724">
        <v>1930000</v>
      </c>
      <c r="H5" s="766"/>
      <c r="I5" s="723">
        <f>C5*(1-$O5)</f>
        <v>0</v>
      </c>
      <c r="J5" s="723">
        <f t="shared" ref="J5:L5" si="0">D5*(1-$O5)</f>
        <v>0</v>
      </c>
      <c r="K5" s="723">
        <f t="shared" si="0"/>
        <v>0</v>
      </c>
      <c r="L5" s="723">
        <f t="shared" si="0"/>
        <v>0</v>
      </c>
      <c r="M5" s="723">
        <f>SUM(I5:L5)</f>
        <v>0</v>
      </c>
      <c r="N5" s="766"/>
      <c r="O5" s="220">
        <v>1</v>
      </c>
      <c r="P5" s="221">
        <v>782500</v>
      </c>
      <c r="Q5" s="221">
        <v>382500</v>
      </c>
      <c r="R5" s="221">
        <v>382500</v>
      </c>
      <c r="S5" s="221">
        <v>382500</v>
      </c>
      <c r="T5" s="229">
        <v>1930000</v>
      </c>
      <c r="V5" s="210"/>
    </row>
    <row r="6" spans="1:22" hidden="1" outlineLevel="1">
      <c r="A6" s="211" t="s">
        <v>56</v>
      </c>
      <c r="B6" s="227" t="s">
        <v>52</v>
      </c>
      <c r="C6" s="723">
        <v>0</v>
      </c>
      <c r="D6" s="723">
        <v>0</v>
      </c>
      <c r="E6" s="723">
        <v>0</v>
      </c>
      <c r="F6" s="723">
        <v>0</v>
      </c>
      <c r="G6" s="724">
        <v>0</v>
      </c>
      <c r="H6" s="766"/>
      <c r="I6" s="724"/>
      <c r="J6" s="724"/>
      <c r="K6" s="724"/>
      <c r="L6" s="724"/>
      <c r="M6" s="724"/>
      <c r="N6" s="766"/>
      <c r="O6" s="216"/>
      <c r="P6" s="221">
        <v>0</v>
      </c>
      <c r="Q6" s="221">
        <v>0</v>
      </c>
      <c r="R6" s="221">
        <v>0</v>
      </c>
      <c r="S6" s="221">
        <v>0</v>
      </c>
      <c r="T6" s="229"/>
    </row>
    <row r="7" spans="1:22" hidden="1" outlineLevel="1">
      <c r="A7" s="213" t="s">
        <v>57</v>
      </c>
      <c r="B7" s="227" t="s">
        <v>52</v>
      </c>
      <c r="C7" s="725"/>
      <c r="D7" s="726"/>
      <c r="E7" s="726"/>
      <c r="F7" s="727"/>
      <c r="G7" s="728">
        <v>0</v>
      </c>
      <c r="H7" s="766"/>
      <c r="I7" s="728"/>
      <c r="J7" s="728"/>
      <c r="K7" s="728"/>
      <c r="L7" s="728"/>
      <c r="M7" s="728"/>
      <c r="N7" s="766"/>
      <c r="O7" s="216"/>
      <c r="P7" s="221"/>
      <c r="Q7" s="221"/>
      <c r="R7" s="221"/>
      <c r="S7" s="215"/>
      <c r="T7" s="229"/>
    </row>
    <row r="8" spans="1:22" hidden="1" outlineLevel="1">
      <c r="A8" s="213" t="s">
        <v>58</v>
      </c>
      <c r="B8" s="227" t="s">
        <v>52</v>
      </c>
      <c r="C8" s="725"/>
      <c r="D8" s="725"/>
      <c r="E8" s="725"/>
      <c r="F8" s="725"/>
      <c r="G8" s="728">
        <v>0</v>
      </c>
      <c r="H8" s="766"/>
      <c r="I8" s="728"/>
      <c r="J8" s="728"/>
      <c r="K8" s="728"/>
      <c r="L8" s="728"/>
      <c r="M8" s="728"/>
      <c r="N8" s="766"/>
      <c r="O8" s="216"/>
      <c r="P8" s="221"/>
      <c r="Q8" s="221"/>
      <c r="R8" s="221"/>
      <c r="S8" s="215"/>
      <c r="T8" s="229"/>
    </row>
    <row r="9" spans="1:22" hidden="1" outlineLevel="1">
      <c r="A9" s="213" t="s">
        <v>59</v>
      </c>
      <c r="B9" s="227" t="s">
        <v>52</v>
      </c>
      <c r="C9" s="725"/>
      <c r="D9" s="725"/>
      <c r="E9" s="725"/>
      <c r="F9" s="725"/>
      <c r="G9" s="728">
        <v>0</v>
      </c>
      <c r="H9" s="766"/>
      <c r="I9" s="728"/>
      <c r="J9" s="728"/>
      <c r="K9" s="728"/>
      <c r="L9" s="728"/>
      <c r="M9" s="728"/>
      <c r="N9" s="766"/>
      <c r="O9" s="216"/>
      <c r="P9" s="221"/>
      <c r="Q9" s="221"/>
      <c r="R9" s="221"/>
      <c r="S9" s="215"/>
      <c r="T9" s="229"/>
    </row>
    <row r="10" spans="1:22" hidden="1" outlineLevel="1">
      <c r="A10" s="213" t="s">
        <v>60</v>
      </c>
      <c r="B10" s="227" t="s">
        <v>52</v>
      </c>
      <c r="C10" s="725"/>
      <c r="D10" s="725"/>
      <c r="E10" s="725"/>
      <c r="F10" s="725"/>
      <c r="G10" s="728">
        <v>0</v>
      </c>
      <c r="H10" s="766"/>
      <c r="I10" s="728"/>
      <c r="J10" s="728"/>
      <c r="K10" s="728"/>
      <c r="L10" s="728"/>
      <c r="M10" s="728"/>
      <c r="N10" s="766"/>
      <c r="O10" s="216"/>
      <c r="P10" s="221"/>
      <c r="Q10" s="221"/>
      <c r="R10" s="221"/>
      <c r="S10" s="215"/>
      <c r="T10" s="229"/>
    </row>
    <row r="11" spans="1:22" hidden="1" outlineLevel="1">
      <c r="A11" s="211" t="s">
        <v>61</v>
      </c>
      <c r="B11" s="227" t="s">
        <v>52</v>
      </c>
      <c r="C11" s="723">
        <v>782500</v>
      </c>
      <c r="D11" s="723">
        <v>382500</v>
      </c>
      <c r="E11" s="723">
        <v>382500</v>
      </c>
      <c r="F11" s="723">
        <v>382500</v>
      </c>
      <c r="G11" s="724">
        <v>1930000</v>
      </c>
      <c r="H11" s="766"/>
      <c r="I11" s="724"/>
      <c r="J11" s="724"/>
      <c r="K11" s="724"/>
      <c r="L11" s="724"/>
      <c r="M11" s="724"/>
      <c r="N11" s="766"/>
      <c r="O11" s="216"/>
      <c r="P11" s="221">
        <v>782500</v>
      </c>
      <c r="Q11" s="221">
        <v>382500</v>
      </c>
      <c r="R11" s="221">
        <v>382500</v>
      </c>
      <c r="S11" s="221">
        <v>382500</v>
      </c>
      <c r="T11" s="229">
        <v>1930000</v>
      </c>
    </row>
    <row r="12" spans="1:22" hidden="1" outlineLevel="1">
      <c r="A12" s="213" t="s">
        <v>57</v>
      </c>
      <c r="B12" s="227" t="s">
        <v>52</v>
      </c>
      <c r="C12" s="729">
        <v>382500</v>
      </c>
      <c r="D12" s="729">
        <v>382500</v>
      </c>
      <c r="E12" s="729">
        <v>382500</v>
      </c>
      <c r="F12" s="729">
        <v>382500</v>
      </c>
      <c r="G12" s="728">
        <v>1530000</v>
      </c>
      <c r="H12" s="719"/>
      <c r="I12" s="728"/>
      <c r="J12" s="728"/>
      <c r="K12" s="728"/>
      <c r="L12" s="728"/>
      <c r="M12" s="728"/>
      <c r="N12" s="719"/>
      <c r="O12" s="216"/>
      <c r="P12" s="221"/>
      <c r="Q12" s="221"/>
      <c r="R12" s="221"/>
      <c r="S12" s="215"/>
      <c r="T12" s="229"/>
    </row>
    <row r="13" spans="1:22" hidden="1" outlineLevel="1">
      <c r="A13" s="213" t="s">
        <v>58</v>
      </c>
      <c r="B13" s="227" t="s">
        <v>52</v>
      </c>
      <c r="C13" s="725">
        <v>400000</v>
      </c>
      <c r="D13" s="725"/>
      <c r="E13" s="725"/>
      <c r="F13" s="725"/>
      <c r="G13" s="728">
        <v>400000</v>
      </c>
      <c r="H13" s="719"/>
      <c r="I13" s="728"/>
      <c r="J13" s="728"/>
      <c r="K13" s="728"/>
      <c r="L13" s="728"/>
      <c r="M13" s="728"/>
      <c r="N13" s="719"/>
      <c r="O13" s="216"/>
      <c r="P13" s="221"/>
      <c r="Q13" s="221"/>
      <c r="R13" s="221"/>
      <c r="S13" s="215"/>
      <c r="T13" s="229"/>
    </row>
    <row r="14" spans="1:22" hidden="1" outlineLevel="1">
      <c r="A14" s="213" t="s">
        <v>60</v>
      </c>
      <c r="B14" s="227" t="s">
        <v>52</v>
      </c>
      <c r="C14" s="725"/>
      <c r="D14" s="725"/>
      <c r="E14" s="725"/>
      <c r="F14" s="725"/>
      <c r="G14" s="728">
        <v>0</v>
      </c>
      <c r="H14" s="719"/>
      <c r="I14" s="728"/>
      <c r="J14" s="728"/>
      <c r="K14" s="728"/>
      <c r="L14" s="728"/>
      <c r="M14" s="728"/>
      <c r="N14" s="719"/>
      <c r="O14" s="216"/>
      <c r="P14" s="221"/>
      <c r="Q14" s="221"/>
      <c r="R14" s="221"/>
      <c r="S14" s="215"/>
      <c r="T14" s="229"/>
    </row>
    <row r="15" spans="1:22" collapsed="1">
      <c r="A15" s="208" t="s">
        <v>62</v>
      </c>
      <c r="B15" s="227" t="s">
        <v>52</v>
      </c>
      <c r="C15" s="723">
        <v>0</v>
      </c>
      <c r="D15" s="723">
        <v>0</v>
      </c>
      <c r="E15" s="723">
        <v>0</v>
      </c>
      <c r="F15" s="723">
        <v>200000</v>
      </c>
      <c r="G15" s="724">
        <v>200000</v>
      </c>
      <c r="H15" s="766"/>
      <c r="I15" s="723">
        <f>C15*(1-$O15)</f>
        <v>0</v>
      </c>
      <c r="J15" s="723">
        <f>D15*(1-$O15)</f>
        <v>0</v>
      </c>
      <c r="K15" s="723">
        <f t="shared" ref="K15" si="1">E15*(1-$O15)</f>
        <v>0</v>
      </c>
      <c r="L15" s="723">
        <f t="shared" ref="L15" si="2">F15*(1-$O15)</f>
        <v>0</v>
      </c>
      <c r="M15" s="723">
        <f>SUM(I15:L15)</f>
        <v>0</v>
      </c>
      <c r="N15" s="766"/>
      <c r="O15" s="220">
        <v>1</v>
      </c>
      <c r="P15" s="221">
        <v>0</v>
      </c>
      <c r="Q15" s="221">
        <v>0</v>
      </c>
      <c r="R15" s="221">
        <v>0</v>
      </c>
      <c r="S15" s="221">
        <v>200000</v>
      </c>
      <c r="T15" s="229">
        <v>200000</v>
      </c>
    </row>
    <row r="16" spans="1:22" hidden="1" outlineLevel="1">
      <c r="A16" s="211" t="s">
        <v>56</v>
      </c>
      <c r="B16" s="227" t="s">
        <v>52</v>
      </c>
      <c r="C16" s="723">
        <v>0</v>
      </c>
      <c r="D16" s="723">
        <v>0</v>
      </c>
      <c r="E16" s="723">
        <v>0</v>
      </c>
      <c r="F16" s="723">
        <v>0</v>
      </c>
      <c r="G16" s="724">
        <v>0</v>
      </c>
      <c r="H16" s="766"/>
      <c r="I16" s="724"/>
      <c r="J16" s="724"/>
      <c r="K16" s="724"/>
      <c r="L16" s="724"/>
      <c r="M16" s="724"/>
      <c r="N16" s="766"/>
      <c r="O16" s="216"/>
      <c r="P16" s="221">
        <v>0</v>
      </c>
      <c r="Q16" s="221">
        <v>0</v>
      </c>
      <c r="R16" s="221">
        <v>0</v>
      </c>
      <c r="S16" s="221">
        <v>0</v>
      </c>
      <c r="T16" s="229">
        <v>0</v>
      </c>
    </row>
    <row r="17" spans="1:20" hidden="1" outlineLevel="1">
      <c r="A17" s="213" t="s">
        <v>57</v>
      </c>
      <c r="B17" s="227" t="s">
        <v>52</v>
      </c>
      <c r="C17" s="726"/>
      <c r="D17" s="726"/>
      <c r="E17" s="726"/>
      <c r="F17" s="727"/>
      <c r="G17" s="728">
        <v>0</v>
      </c>
      <c r="H17" s="719"/>
      <c r="I17" s="728"/>
      <c r="J17" s="728"/>
      <c r="K17" s="728"/>
      <c r="L17" s="728"/>
      <c r="M17" s="728"/>
      <c r="N17" s="719"/>
      <c r="O17" s="216"/>
      <c r="P17" s="221"/>
      <c r="Q17" s="221"/>
      <c r="R17" s="221"/>
      <c r="S17" s="215"/>
      <c r="T17" s="229"/>
    </row>
    <row r="18" spans="1:20" hidden="1" outlineLevel="1">
      <c r="A18" s="213" t="s">
        <v>58</v>
      </c>
      <c r="B18" s="227" t="s">
        <v>52</v>
      </c>
      <c r="C18" s="725"/>
      <c r="D18" s="725"/>
      <c r="E18" s="725"/>
      <c r="F18" s="725"/>
      <c r="G18" s="728">
        <v>0</v>
      </c>
      <c r="H18" s="719"/>
      <c r="I18" s="728"/>
      <c r="J18" s="728"/>
      <c r="K18" s="728"/>
      <c r="L18" s="728"/>
      <c r="M18" s="728"/>
      <c r="N18" s="719"/>
      <c r="O18" s="216"/>
      <c r="P18" s="221"/>
      <c r="Q18" s="221"/>
      <c r="R18" s="221"/>
      <c r="S18" s="215"/>
      <c r="T18" s="229"/>
    </row>
    <row r="19" spans="1:20" hidden="1" outlineLevel="1">
      <c r="A19" s="213" t="s">
        <v>59</v>
      </c>
      <c r="B19" s="227" t="s">
        <v>52</v>
      </c>
      <c r="C19" s="725"/>
      <c r="D19" s="725"/>
      <c r="E19" s="725"/>
      <c r="F19" s="725"/>
      <c r="G19" s="728">
        <v>0</v>
      </c>
      <c r="H19" s="719"/>
      <c r="I19" s="728"/>
      <c r="J19" s="728"/>
      <c r="K19" s="728"/>
      <c r="L19" s="728"/>
      <c r="M19" s="728"/>
      <c r="N19" s="719"/>
      <c r="O19" s="216"/>
      <c r="P19" s="221"/>
      <c r="Q19" s="221"/>
      <c r="R19" s="221"/>
      <c r="S19" s="215"/>
      <c r="T19" s="229"/>
    </row>
    <row r="20" spans="1:20" hidden="1" outlineLevel="1">
      <c r="A20" s="213" t="s">
        <v>60</v>
      </c>
      <c r="B20" s="227" t="s">
        <v>52</v>
      </c>
      <c r="C20" s="725"/>
      <c r="D20" s="725"/>
      <c r="E20" s="725"/>
      <c r="F20" s="725"/>
      <c r="G20" s="728">
        <v>0</v>
      </c>
      <c r="H20" s="719"/>
      <c r="I20" s="728"/>
      <c r="J20" s="728"/>
      <c r="K20" s="728"/>
      <c r="L20" s="728"/>
      <c r="M20" s="728"/>
      <c r="N20" s="719"/>
      <c r="O20" s="216"/>
      <c r="P20" s="221"/>
      <c r="Q20" s="221"/>
      <c r="R20" s="221"/>
      <c r="S20" s="215"/>
      <c r="T20" s="229"/>
    </row>
    <row r="21" spans="1:20" hidden="1" outlineLevel="1">
      <c r="A21" s="211" t="s">
        <v>61</v>
      </c>
      <c r="B21" s="227" t="s">
        <v>52</v>
      </c>
      <c r="C21" s="723">
        <v>0</v>
      </c>
      <c r="D21" s="723">
        <v>0</v>
      </c>
      <c r="E21" s="723">
        <v>0</v>
      </c>
      <c r="F21" s="723">
        <v>200000</v>
      </c>
      <c r="G21" s="724">
        <v>200000</v>
      </c>
      <c r="H21" s="766"/>
      <c r="I21" s="724"/>
      <c r="J21" s="724"/>
      <c r="K21" s="724"/>
      <c r="L21" s="724"/>
      <c r="M21" s="724"/>
      <c r="N21" s="766"/>
      <c r="O21" s="216"/>
      <c r="P21" s="221">
        <v>0</v>
      </c>
      <c r="Q21" s="221">
        <v>0</v>
      </c>
      <c r="R21" s="221">
        <v>0</v>
      </c>
      <c r="S21" s="221">
        <v>200000</v>
      </c>
      <c r="T21" s="229">
        <v>200000</v>
      </c>
    </row>
    <row r="22" spans="1:20" hidden="1" outlineLevel="1">
      <c r="A22" s="213" t="s">
        <v>57</v>
      </c>
      <c r="B22" s="227" t="s">
        <v>52</v>
      </c>
      <c r="C22" s="729">
        <v>0</v>
      </c>
      <c r="D22" s="729">
        <v>0</v>
      </c>
      <c r="E22" s="729">
        <v>0</v>
      </c>
      <c r="F22" s="729">
        <v>0</v>
      </c>
      <c r="G22" s="728">
        <v>0</v>
      </c>
      <c r="H22" s="719"/>
      <c r="I22" s="728"/>
      <c r="J22" s="728"/>
      <c r="K22" s="728"/>
      <c r="L22" s="728"/>
      <c r="M22" s="728"/>
      <c r="N22" s="719"/>
      <c r="O22" s="216"/>
      <c r="P22" s="221"/>
      <c r="Q22" s="221"/>
      <c r="R22" s="221"/>
      <c r="S22" s="215"/>
      <c r="T22" s="229"/>
    </row>
    <row r="23" spans="1:20" hidden="1" outlineLevel="1">
      <c r="A23" s="213" t="s">
        <v>58</v>
      </c>
      <c r="B23" s="227" t="s">
        <v>52</v>
      </c>
      <c r="C23" s="725"/>
      <c r="D23" s="725"/>
      <c r="E23" s="725"/>
      <c r="F23" s="725"/>
      <c r="G23" s="728">
        <v>0</v>
      </c>
      <c r="H23" s="719"/>
      <c r="I23" s="728"/>
      <c r="J23" s="728"/>
      <c r="K23" s="728"/>
      <c r="L23" s="728"/>
      <c r="M23" s="728"/>
      <c r="N23" s="719"/>
      <c r="O23" s="216"/>
      <c r="P23" s="221"/>
      <c r="Q23" s="221"/>
      <c r="R23" s="221"/>
      <c r="S23" s="215"/>
      <c r="T23" s="229"/>
    </row>
    <row r="24" spans="1:20" hidden="1" outlineLevel="1">
      <c r="A24" s="213" t="s">
        <v>60</v>
      </c>
      <c r="B24" s="227" t="s">
        <v>52</v>
      </c>
      <c r="C24" s="725"/>
      <c r="D24" s="725"/>
      <c r="E24" s="725"/>
      <c r="F24" s="725">
        <v>200000</v>
      </c>
      <c r="G24" s="728">
        <v>200000</v>
      </c>
      <c r="H24" s="719"/>
      <c r="I24" s="728"/>
      <c r="J24" s="728"/>
      <c r="K24" s="728"/>
      <c r="L24" s="728"/>
      <c r="M24" s="728"/>
      <c r="N24" s="719"/>
      <c r="O24" s="216"/>
      <c r="P24" s="221"/>
      <c r="Q24" s="221"/>
      <c r="R24" s="221"/>
      <c r="S24" s="215"/>
      <c r="T24" s="229"/>
    </row>
    <row r="25" spans="1:20" collapsed="1">
      <c r="A25" s="208" t="s">
        <v>65</v>
      </c>
      <c r="B25" s="227" t="s">
        <v>748</v>
      </c>
      <c r="C25" s="730">
        <v>0</v>
      </c>
      <c r="D25" s="730">
        <v>0</v>
      </c>
      <c r="E25" s="730">
        <v>0</v>
      </c>
      <c r="F25" s="730">
        <v>0</v>
      </c>
      <c r="G25" s="731">
        <v>0</v>
      </c>
      <c r="H25" s="766"/>
      <c r="I25" s="723">
        <f>C25*(1-$O25)</f>
        <v>0</v>
      </c>
      <c r="J25" s="723">
        <f>D25*(1-$O25)</f>
        <v>0</v>
      </c>
      <c r="K25" s="723">
        <f t="shared" ref="K25" si="3">E25*(1-$O25)</f>
        <v>0</v>
      </c>
      <c r="L25" s="723">
        <f t="shared" ref="L25" si="4">F25*(1-$O25)</f>
        <v>0</v>
      </c>
      <c r="M25" s="723">
        <f>SUM(I25:L25)</f>
        <v>0</v>
      </c>
      <c r="N25" s="766"/>
      <c r="O25" s="220">
        <v>0</v>
      </c>
      <c r="P25" s="221">
        <v>0</v>
      </c>
      <c r="Q25" s="221">
        <v>0</v>
      </c>
      <c r="R25" s="221">
        <v>0</v>
      </c>
      <c r="S25" s="221">
        <v>0</v>
      </c>
      <c r="T25" s="229">
        <v>0</v>
      </c>
    </row>
    <row r="26" spans="1:20" hidden="1" outlineLevel="1">
      <c r="A26" s="211" t="s">
        <v>56</v>
      </c>
      <c r="B26" s="227" t="s">
        <v>66</v>
      </c>
      <c r="C26" s="730">
        <v>0</v>
      </c>
      <c r="D26" s="730">
        <v>0</v>
      </c>
      <c r="E26" s="730">
        <v>0</v>
      </c>
      <c r="F26" s="730">
        <v>0</v>
      </c>
      <c r="G26" s="731">
        <v>0</v>
      </c>
      <c r="H26" s="766"/>
      <c r="I26" s="731"/>
      <c r="J26" s="731"/>
      <c r="K26" s="731"/>
      <c r="L26" s="731"/>
      <c r="M26" s="731"/>
      <c r="N26" s="766"/>
      <c r="O26" s="216"/>
      <c r="P26" s="221">
        <v>0</v>
      </c>
      <c r="Q26" s="221">
        <v>0</v>
      </c>
      <c r="R26" s="221">
        <v>0</v>
      </c>
      <c r="S26" s="221">
        <v>0</v>
      </c>
      <c r="T26" s="229">
        <v>0</v>
      </c>
    </row>
    <row r="27" spans="1:20" hidden="1" outlineLevel="1">
      <c r="A27" s="213" t="s">
        <v>57</v>
      </c>
      <c r="B27" s="227" t="s">
        <v>66</v>
      </c>
      <c r="C27" s="732"/>
      <c r="D27" s="732"/>
      <c r="E27" s="732"/>
      <c r="F27" s="732"/>
      <c r="G27" s="733">
        <v>0</v>
      </c>
      <c r="H27" s="719"/>
      <c r="I27" s="733"/>
      <c r="J27" s="733"/>
      <c r="K27" s="733"/>
      <c r="L27" s="733"/>
      <c r="M27" s="733"/>
      <c r="N27" s="719"/>
      <c r="O27" s="216"/>
      <c r="P27" s="221"/>
      <c r="Q27" s="221"/>
      <c r="R27" s="221"/>
      <c r="S27" s="215"/>
      <c r="T27" s="229"/>
    </row>
    <row r="28" spans="1:20" hidden="1" outlineLevel="1">
      <c r="A28" s="213" t="s">
        <v>58</v>
      </c>
      <c r="B28" s="227" t="s">
        <v>66</v>
      </c>
      <c r="C28" s="732"/>
      <c r="D28" s="732"/>
      <c r="E28" s="732"/>
      <c r="F28" s="732"/>
      <c r="G28" s="733">
        <v>0</v>
      </c>
      <c r="H28" s="719"/>
      <c r="I28" s="733"/>
      <c r="J28" s="733"/>
      <c r="K28" s="733"/>
      <c r="L28" s="733"/>
      <c r="M28" s="733"/>
      <c r="N28" s="719"/>
      <c r="O28" s="216"/>
      <c r="P28" s="221"/>
      <c r="Q28" s="221"/>
      <c r="R28" s="221"/>
      <c r="S28" s="215"/>
      <c r="T28" s="229"/>
    </row>
    <row r="29" spans="1:20" hidden="1" outlineLevel="1">
      <c r="A29" s="213" t="s">
        <v>59</v>
      </c>
      <c r="B29" s="227" t="s">
        <v>66</v>
      </c>
      <c r="C29" s="732"/>
      <c r="D29" s="732"/>
      <c r="E29" s="732"/>
      <c r="F29" s="732"/>
      <c r="G29" s="733">
        <v>0</v>
      </c>
      <c r="H29" s="719"/>
      <c r="I29" s="733"/>
      <c r="J29" s="733"/>
      <c r="K29" s="733"/>
      <c r="L29" s="733"/>
      <c r="M29" s="733"/>
      <c r="N29" s="719"/>
      <c r="O29" s="216"/>
      <c r="P29" s="221"/>
      <c r="Q29" s="221"/>
      <c r="R29" s="221"/>
      <c r="S29" s="215"/>
      <c r="T29" s="229"/>
    </row>
    <row r="30" spans="1:20" hidden="1" outlineLevel="1">
      <c r="A30" s="213" t="s">
        <v>60</v>
      </c>
      <c r="B30" s="227" t="s">
        <v>66</v>
      </c>
      <c r="C30" s="732"/>
      <c r="D30" s="732"/>
      <c r="E30" s="732"/>
      <c r="F30" s="732"/>
      <c r="G30" s="733">
        <v>0</v>
      </c>
      <c r="H30" s="719"/>
      <c r="I30" s="733"/>
      <c r="J30" s="733"/>
      <c r="K30" s="733"/>
      <c r="L30" s="733"/>
      <c r="M30" s="733"/>
      <c r="N30" s="719"/>
      <c r="O30" s="216"/>
      <c r="P30" s="221"/>
      <c r="Q30" s="221"/>
      <c r="R30" s="221"/>
      <c r="S30" s="215"/>
      <c r="T30" s="229"/>
    </row>
    <row r="31" spans="1:20" hidden="1" outlineLevel="1">
      <c r="A31" s="211" t="s">
        <v>61</v>
      </c>
      <c r="B31" s="227" t="s">
        <v>66</v>
      </c>
      <c r="C31" s="730">
        <v>0</v>
      </c>
      <c r="D31" s="730">
        <v>0</v>
      </c>
      <c r="E31" s="730">
        <v>0</v>
      </c>
      <c r="F31" s="730">
        <v>0</v>
      </c>
      <c r="G31" s="731">
        <v>0</v>
      </c>
      <c r="H31" s="766"/>
      <c r="I31" s="731"/>
      <c r="J31" s="731"/>
      <c r="K31" s="731"/>
      <c r="L31" s="731"/>
      <c r="M31" s="731"/>
      <c r="N31" s="766"/>
      <c r="O31" s="216"/>
      <c r="P31" s="221">
        <v>0</v>
      </c>
      <c r="Q31" s="221">
        <v>0</v>
      </c>
      <c r="R31" s="221">
        <v>0</v>
      </c>
      <c r="S31" s="221">
        <v>0</v>
      </c>
      <c r="T31" s="229">
        <v>0</v>
      </c>
    </row>
    <row r="32" spans="1:20" hidden="1" outlineLevel="1">
      <c r="A32" s="213" t="s">
        <v>57</v>
      </c>
      <c r="B32" s="227" t="s">
        <v>66</v>
      </c>
      <c r="C32" s="734">
        <v>0</v>
      </c>
      <c r="D32" s="734">
        <v>0</v>
      </c>
      <c r="E32" s="734">
        <v>0</v>
      </c>
      <c r="F32" s="734">
        <v>0</v>
      </c>
      <c r="G32" s="733">
        <v>0</v>
      </c>
      <c r="H32" s="719"/>
      <c r="I32" s="733"/>
      <c r="J32" s="733"/>
      <c r="K32" s="733"/>
      <c r="L32" s="733"/>
      <c r="M32" s="733"/>
      <c r="N32" s="719"/>
      <c r="O32" s="216"/>
      <c r="P32" s="221"/>
      <c r="Q32" s="221"/>
      <c r="R32" s="221"/>
      <c r="S32" s="215"/>
      <c r="T32" s="229"/>
    </row>
    <row r="33" spans="1:20" hidden="1" outlineLevel="1">
      <c r="A33" s="213" t="s">
        <v>58</v>
      </c>
      <c r="B33" s="227" t="s">
        <v>66</v>
      </c>
      <c r="C33" s="732"/>
      <c r="D33" s="732"/>
      <c r="E33" s="732"/>
      <c r="F33" s="732"/>
      <c r="G33" s="733">
        <v>0</v>
      </c>
      <c r="H33" s="719"/>
      <c r="I33" s="733"/>
      <c r="J33" s="733"/>
      <c r="K33" s="733"/>
      <c r="L33" s="733"/>
      <c r="M33" s="733"/>
      <c r="N33" s="719"/>
      <c r="O33" s="216"/>
      <c r="P33" s="221"/>
      <c r="Q33" s="221"/>
      <c r="R33" s="221"/>
      <c r="S33" s="215"/>
      <c r="T33" s="229"/>
    </row>
    <row r="34" spans="1:20" hidden="1" outlineLevel="1">
      <c r="A34" s="213" t="s">
        <v>60</v>
      </c>
      <c r="B34" s="227" t="s">
        <v>66</v>
      </c>
      <c r="C34" s="732"/>
      <c r="D34" s="732"/>
      <c r="E34" s="732"/>
      <c r="F34" s="732"/>
      <c r="G34" s="733">
        <v>0</v>
      </c>
      <c r="H34" s="719"/>
      <c r="I34" s="733"/>
      <c r="J34" s="733"/>
      <c r="K34" s="733"/>
      <c r="L34" s="733"/>
      <c r="M34" s="733"/>
      <c r="N34" s="719"/>
      <c r="O34" s="216"/>
      <c r="P34" s="221"/>
      <c r="Q34" s="221"/>
      <c r="R34" s="221"/>
      <c r="S34" s="215"/>
      <c r="T34" s="229"/>
    </row>
    <row r="35" spans="1:20" collapsed="1">
      <c r="A35" s="208" t="s">
        <v>68</v>
      </c>
      <c r="B35" s="227" t="s">
        <v>69</v>
      </c>
      <c r="C35" s="730">
        <v>162010</v>
      </c>
      <c r="D35" s="730">
        <v>162010</v>
      </c>
      <c r="E35" s="730">
        <v>162010</v>
      </c>
      <c r="F35" s="730">
        <v>162010</v>
      </c>
      <c r="G35" s="731">
        <v>648040</v>
      </c>
      <c r="H35" s="766"/>
      <c r="I35" s="723">
        <f>C35*(1-$O35)</f>
        <v>0</v>
      </c>
      <c r="J35" s="723">
        <f>D35*(1-$O35)</f>
        <v>0</v>
      </c>
      <c r="K35" s="723">
        <f t="shared" ref="K35" si="5">E35*(1-$O35)</f>
        <v>0</v>
      </c>
      <c r="L35" s="723">
        <f t="shared" ref="L35" si="6">F35*(1-$O35)</f>
        <v>0</v>
      </c>
      <c r="M35" s="723">
        <f>SUM(I35:L35)</f>
        <v>0</v>
      </c>
      <c r="N35" s="766"/>
      <c r="O35" s="220">
        <v>1</v>
      </c>
      <c r="P35" s="221">
        <v>162010</v>
      </c>
      <c r="Q35" s="221">
        <v>162010</v>
      </c>
      <c r="R35" s="221">
        <v>162010</v>
      </c>
      <c r="S35" s="221">
        <v>162010</v>
      </c>
      <c r="T35" s="229">
        <v>648040</v>
      </c>
    </row>
    <row r="36" spans="1:20" hidden="1" outlineLevel="1">
      <c r="A36" s="211" t="s">
        <v>56</v>
      </c>
      <c r="B36" s="227" t="s">
        <v>69</v>
      </c>
      <c r="C36" s="730">
        <v>0</v>
      </c>
      <c r="D36" s="730">
        <v>0</v>
      </c>
      <c r="E36" s="730">
        <v>0</v>
      </c>
      <c r="F36" s="730">
        <v>0</v>
      </c>
      <c r="G36" s="731">
        <v>0</v>
      </c>
      <c r="H36" s="766"/>
      <c r="I36" s="731"/>
      <c r="J36" s="731"/>
      <c r="K36" s="731"/>
      <c r="L36" s="731"/>
      <c r="M36" s="731"/>
      <c r="N36" s="766"/>
      <c r="O36" s="216"/>
      <c r="P36" s="221">
        <v>0</v>
      </c>
      <c r="Q36" s="221">
        <v>0</v>
      </c>
      <c r="R36" s="221">
        <v>0</v>
      </c>
      <c r="S36" s="221">
        <v>0</v>
      </c>
      <c r="T36" s="229">
        <v>0</v>
      </c>
    </row>
    <row r="37" spans="1:20" hidden="1" outlineLevel="1">
      <c r="A37" s="213" t="s">
        <v>57</v>
      </c>
      <c r="B37" s="227" t="s">
        <v>69</v>
      </c>
      <c r="C37" s="732"/>
      <c r="D37" s="732"/>
      <c r="E37" s="732"/>
      <c r="F37" s="732"/>
      <c r="G37" s="733">
        <v>0</v>
      </c>
      <c r="H37" s="719"/>
      <c r="I37" s="733"/>
      <c r="J37" s="733"/>
      <c r="K37" s="733"/>
      <c r="L37" s="733"/>
      <c r="M37" s="733"/>
      <c r="N37" s="719"/>
      <c r="O37" s="216"/>
      <c r="P37" s="221"/>
      <c r="Q37" s="221"/>
      <c r="R37" s="221"/>
      <c r="S37" s="215"/>
      <c r="T37" s="229"/>
    </row>
    <row r="38" spans="1:20" hidden="1" outlineLevel="1">
      <c r="A38" s="213" t="s">
        <v>58</v>
      </c>
      <c r="B38" s="227" t="s">
        <v>69</v>
      </c>
      <c r="C38" s="732"/>
      <c r="D38" s="732"/>
      <c r="E38" s="732"/>
      <c r="F38" s="732"/>
      <c r="G38" s="733">
        <v>0</v>
      </c>
      <c r="H38" s="719"/>
      <c r="I38" s="733"/>
      <c r="J38" s="733"/>
      <c r="K38" s="733"/>
      <c r="L38" s="733"/>
      <c r="M38" s="733"/>
      <c r="N38" s="719"/>
      <c r="O38" s="216"/>
      <c r="P38" s="221"/>
      <c r="Q38" s="221"/>
      <c r="R38" s="221"/>
      <c r="S38" s="215"/>
      <c r="T38" s="229"/>
    </row>
    <row r="39" spans="1:20" hidden="1" outlineLevel="1">
      <c r="A39" s="213" t="s">
        <v>59</v>
      </c>
      <c r="B39" s="227" t="s">
        <v>69</v>
      </c>
      <c r="C39" s="732"/>
      <c r="D39" s="732"/>
      <c r="E39" s="732"/>
      <c r="F39" s="732"/>
      <c r="G39" s="733">
        <v>0</v>
      </c>
      <c r="H39" s="719"/>
      <c r="I39" s="733"/>
      <c r="J39" s="733"/>
      <c r="K39" s="733"/>
      <c r="L39" s="733"/>
      <c r="M39" s="733"/>
      <c r="N39" s="719"/>
      <c r="O39" s="216"/>
      <c r="P39" s="221"/>
      <c r="Q39" s="221"/>
      <c r="R39" s="221"/>
      <c r="S39" s="215"/>
      <c r="T39" s="229"/>
    </row>
    <row r="40" spans="1:20" hidden="1" outlineLevel="1">
      <c r="A40" s="213" t="s">
        <v>60</v>
      </c>
      <c r="B40" s="227" t="s">
        <v>69</v>
      </c>
      <c r="C40" s="732"/>
      <c r="D40" s="732"/>
      <c r="E40" s="732"/>
      <c r="F40" s="732"/>
      <c r="G40" s="733">
        <v>0</v>
      </c>
      <c r="H40" s="719"/>
      <c r="I40" s="733"/>
      <c r="J40" s="733"/>
      <c r="K40" s="733"/>
      <c r="L40" s="733"/>
      <c r="M40" s="733"/>
      <c r="N40" s="719"/>
      <c r="O40" s="216"/>
      <c r="P40" s="221"/>
      <c r="Q40" s="221"/>
      <c r="R40" s="221"/>
      <c r="S40" s="215"/>
      <c r="T40" s="229"/>
    </row>
    <row r="41" spans="1:20" hidden="1" outlineLevel="1">
      <c r="A41" s="211" t="s">
        <v>61</v>
      </c>
      <c r="B41" s="227" t="s">
        <v>69</v>
      </c>
      <c r="C41" s="730">
        <v>162010</v>
      </c>
      <c r="D41" s="730">
        <v>162010</v>
      </c>
      <c r="E41" s="730">
        <v>162010</v>
      </c>
      <c r="F41" s="730">
        <v>162010</v>
      </c>
      <c r="G41" s="731">
        <v>648040</v>
      </c>
      <c r="H41" s="766"/>
      <c r="I41" s="731"/>
      <c r="J41" s="731"/>
      <c r="K41" s="731"/>
      <c r="L41" s="731"/>
      <c r="M41" s="731"/>
      <c r="N41" s="766"/>
      <c r="O41" s="216"/>
      <c r="P41" s="221">
        <v>162010</v>
      </c>
      <c r="Q41" s="221">
        <v>162010</v>
      </c>
      <c r="R41" s="221">
        <v>162010</v>
      </c>
      <c r="S41" s="221">
        <v>162010</v>
      </c>
      <c r="T41" s="229">
        <v>648040</v>
      </c>
    </row>
    <row r="42" spans="1:20" hidden="1" outlineLevel="1">
      <c r="A42" s="213" t="s">
        <v>57</v>
      </c>
      <c r="B42" s="227" t="s">
        <v>69</v>
      </c>
      <c r="C42" s="734">
        <v>162010</v>
      </c>
      <c r="D42" s="734">
        <v>162010</v>
      </c>
      <c r="E42" s="734">
        <v>162010</v>
      </c>
      <c r="F42" s="734">
        <v>162010</v>
      </c>
      <c r="G42" s="733">
        <v>648040</v>
      </c>
      <c r="H42" s="719"/>
      <c r="I42" s="733"/>
      <c r="J42" s="733"/>
      <c r="K42" s="733"/>
      <c r="L42" s="733"/>
      <c r="M42" s="733"/>
      <c r="N42" s="719"/>
      <c r="O42" s="216"/>
      <c r="P42" s="221"/>
      <c r="Q42" s="221"/>
      <c r="R42" s="221"/>
      <c r="S42" s="215"/>
      <c r="T42" s="229"/>
    </row>
    <row r="43" spans="1:20" hidden="1" outlineLevel="1">
      <c r="A43" s="213" t="s">
        <v>58</v>
      </c>
      <c r="B43" s="227" t="s">
        <v>69</v>
      </c>
      <c r="C43" s="732"/>
      <c r="D43" s="732"/>
      <c r="E43" s="732"/>
      <c r="F43" s="732"/>
      <c r="G43" s="733">
        <v>0</v>
      </c>
      <c r="H43" s="719"/>
      <c r="I43" s="733"/>
      <c r="J43" s="733"/>
      <c r="K43" s="733"/>
      <c r="L43" s="733"/>
      <c r="M43" s="733"/>
      <c r="N43" s="719"/>
      <c r="O43" s="216"/>
      <c r="P43" s="221"/>
      <c r="Q43" s="221"/>
      <c r="R43" s="221"/>
      <c r="S43" s="215"/>
      <c r="T43" s="229"/>
    </row>
    <row r="44" spans="1:20" hidden="1" outlineLevel="1">
      <c r="A44" s="213" t="s">
        <v>60</v>
      </c>
      <c r="B44" s="227" t="s">
        <v>69</v>
      </c>
      <c r="C44" s="732"/>
      <c r="D44" s="732"/>
      <c r="E44" s="732"/>
      <c r="F44" s="732"/>
      <c r="G44" s="733">
        <v>0</v>
      </c>
      <c r="H44" s="719"/>
      <c r="I44" s="733"/>
      <c r="J44" s="733"/>
      <c r="K44" s="733"/>
      <c r="L44" s="733"/>
      <c r="M44" s="733"/>
      <c r="N44" s="719"/>
      <c r="O44" s="216"/>
      <c r="P44" s="221"/>
      <c r="Q44" s="221"/>
      <c r="R44" s="221"/>
      <c r="S44" s="215"/>
      <c r="T44" s="229"/>
    </row>
    <row r="45" spans="1:20" collapsed="1">
      <c r="A45" s="208" t="s">
        <v>72</v>
      </c>
      <c r="B45" s="227" t="s">
        <v>69</v>
      </c>
      <c r="C45" s="730">
        <v>376495</v>
      </c>
      <c r="D45" s="730">
        <v>185245</v>
      </c>
      <c r="E45" s="730">
        <v>36711.5</v>
      </c>
      <c r="F45" s="730">
        <v>36711.5</v>
      </c>
      <c r="G45" s="731">
        <v>635163</v>
      </c>
      <c r="H45" s="766"/>
      <c r="I45" s="723">
        <f>C45*(1-$O45)</f>
        <v>0</v>
      </c>
      <c r="J45" s="723">
        <f>D45*(1-$O45)</f>
        <v>0</v>
      </c>
      <c r="K45" s="723">
        <f t="shared" ref="K45" si="7">E45*(1-$O45)</f>
        <v>0</v>
      </c>
      <c r="L45" s="723">
        <f t="shared" ref="L45" si="8">F45*(1-$O45)</f>
        <v>0</v>
      </c>
      <c r="M45" s="723">
        <f>SUM(I45:L45)</f>
        <v>0</v>
      </c>
      <c r="N45" s="766"/>
      <c r="O45" s="220">
        <v>1</v>
      </c>
      <c r="P45" s="221">
        <v>376495</v>
      </c>
      <c r="Q45" s="221">
        <v>185245</v>
      </c>
      <c r="R45" s="221">
        <v>36711.5</v>
      </c>
      <c r="S45" s="221">
        <v>36711.5</v>
      </c>
      <c r="T45" s="229">
        <v>635163</v>
      </c>
    </row>
    <row r="46" spans="1:20" hidden="1" outlineLevel="1">
      <c r="A46" s="211" t="s">
        <v>56</v>
      </c>
      <c r="B46" s="227" t="s">
        <v>69</v>
      </c>
      <c r="C46" s="730">
        <v>0</v>
      </c>
      <c r="D46" s="730">
        <v>0</v>
      </c>
      <c r="E46" s="730">
        <v>0</v>
      </c>
      <c r="F46" s="730">
        <v>0</v>
      </c>
      <c r="G46" s="731">
        <v>0</v>
      </c>
      <c r="H46" s="766"/>
      <c r="I46" s="731"/>
      <c r="J46" s="731"/>
      <c r="K46" s="731"/>
      <c r="L46" s="731"/>
      <c r="M46" s="731"/>
      <c r="N46" s="766"/>
      <c r="O46" s="216"/>
      <c r="P46" s="221">
        <v>0</v>
      </c>
      <c r="Q46" s="221">
        <v>0</v>
      </c>
      <c r="R46" s="221">
        <v>0</v>
      </c>
      <c r="S46" s="221">
        <v>0</v>
      </c>
      <c r="T46" s="229">
        <v>0</v>
      </c>
    </row>
    <row r="47" spans="1:20" hidden="1" outlineLevel="1">
      <c r="A47" s="213" t="s">
        <v>57</v>
      </c>
      <c r="B47" s="227" t="s">
        <v>69</v>
      </c>
      <c r="C47" s="732"/>
      <c r="D47" s="732"/>
      <c r="E47" s="732"/>
      <c r="F47" s="732"/>
      <c r="G47" s="733">
        <v>0</v>
      </c>
      <c r="H47" s="719"/>
      <c r="I47" s="733"/>
      <c r="J47" s="733"/>
      <c r="K47" s="733"/>
      <c r="L47" s="733"/>
      <c r="M47" s="733"/>
      <c r="N47" s="719"/>
      <c r="O47" s="216"/>
      <c r="P47" s="221"/>
      <c r="Q47" s="221"/>
      <c r="R47" s="221"/>
      <c r="S47" s="215"/>
      <c r="T47" s="229"/>
    </row>
    <row r="48" spans="1:20" hidden="1" outlineLevel="1">
      <c r="A48" s="213" t="s">
        <v>58</v>
      </c>
      <c r="B48" s="227" t="s">
        <v>69</v>
      </c>
      <c r="C48" s="732"/>
      <c r="D48" s="732"/>
      <c r="E48" s="732"/>
      <c r="F48" s="732"/>
      <c r="G48" s="733">
        <v>0</v>
      </c>
      <c r="H48" s="719"/>
      <c r="I48" s="733"/>
      <c r="J48" s="733"/>
      <c r="K48" s="733"/>
      <c r="L48" s="733"/>
      <c r="M48" s="733"/>
      <c r="N48" s="719"/>
      <c r="O48" s="216"/>
      <c r="P48" s="221"/>
      <c r="Q48" s="221"/>
      <c r="R48" s="221"/>
      <c r="S48" s="215"/>
      <c r="T48" s="229"/>
    </row>
    <row r="49" spans="1:20" hidden="1" outlineLevel="1">
      <c r="A49" s="213" t="s">
        <v>59</v>
      </c>
      <c r="B49" s="227" t="s">
        <v>69</v>
      </c>
      <c r="C49" s="732"/>
      <c r="D49" s="732"/>
      <c r="E49" s="732"/>
      <c r="F49" s="732"/>
      <c r="G49" s="733">
        <v>0</v>
      </c>
      <c r="H49" s="719"/>
      <c r="I49" s="733"/>
      <c r="J49" s="733"/>
      <c r="K49" s="733"/>
      <c r="L49" s="733"/>
      <c r="M49" s="733"/>
      <c r="N49" s="719"/>
      <c r="O49" s="216"/>
      <c r="P49" s="221"/>
      <c r="Q49" s="221"/>
      <c r="R49" s="221"/>
      <c r="S49" s="215"/>
      <c r="T49" s="229"/>
    </row>
    <row r="50" spans="1:20" hidden="1" outlineLevel="1">
      <c r="A50" s="213" t="s">
        <v>60</v>
      </c>
      <c r="B50" s="227" t="s">
        <v>69</v>
      </c>
      <c r="C50" s="732"/>
      <c r="D50" s="732"/>
      <c r="E50" s="732"/>
      <c r="F50" s="732"/>
      <c r="G50" s="733">
        <v>0</v>
      </c>
      <c r="H50" s="719"/>
      <c r="I50" s="733"/>
      <c r="J50" s="733"/>
      <c r="K50" s="733"/>
      <c r="L50" s="733"/>
      <c r="M50" s="733"/>
      <c r="N50" s="719"/>
      <c r="O50" s="216"/>
      <c r="P50" s="221"/>
      <c r="Q50" s="221"/>
      <c r="R50" s="221"/>
      <c r="S50" s="215"/>
      <c r="T50" s="229"/>
    </row>
    <row r="51" spans="1:20" hidden="1" outlineLevel="1">
      <c r="A51" s="211" t="s">
        <v>61</v>
      </c>
      <c r="B51" s="227" t="s">
        <v>69</v>
      </c>
      <c r="C51" s="730">
        <v>376495</v>
      </c>
      <c r="D51" s="730">
        <v>185245</v>
      </c>
      <c r="E51" s="730">
        <v>36711.5</v>
      </c>
      <c r="F51" s="730">
        <v>36711.5</v>
      </c>
      <c r="G51" s="731">
        <v>635163</v>
      </c>
      <c r="H51" s="766"/>
      <c r="I51" s="731"/>
      <c r="J51" s="731"/>
      <c r="K51" s="731"/>
      <c r="L51" s="731"/>
      <c r="M51" s="731"/>
      <c r="N51" s="766"/>
      <c r="O51" s="216"/>
      <c r="P51" s="221">
        <v>376495</v>
      </c>
      <c r="Q51" s="221">
        <v>185245</v>
      </c>
      <c r="R51" s="221">
        <v>36711.5</v>
      </c>
      <c r="S51" s="221">
        <v>36711.5</v>
      </c>
      <c r="T51" s="229">
        <v>635163</v>
      </c>
    </row>
    <row r="52" spans="1:20" hidden="1" outlineLevel="1">
      <c r="A52" s="213" t="s">
        <v>57</v>
      </c>
      <c r="B52" s="227" t="s">
        <v>69</v>
      </c>
      <c r="C52" s="734">
        <v>301495</v>
      </c>
      <c r="D52" s="734">
        <v>110245</v>
      </c>
      <c r="E52" s="734">
        <v>36711.5</v>
      </c>
      <c r="F52" s="734">
        <v>36711.5</v>
      </c>
      <c r="G52" s="733">
        <v>485163</v>
      </c>
      <c r="H52" s="719"/>
      <c r="I52" s="733"/>
      <c r="J52" s="733"/>
      <c r="K52" s="733"/>
      <c r="L52" s="733"/>
      <c r="M52" s="733"/>
      <c r="N52" s="719"/>
      <c r="O52" s="216"/>
      <c r="P52" s="221"/>
      <c r="Q52" s="221"/>
      <c r="R52" s="221"/>
      <c r="S52" s="215"/>
      <c r="T52" s="229"/>
    </row>
    <row r="53" spans="1:20" hidden="1" outlineLevel="1">
      <c r="A53" s="213" t="s">
        <v>58</v>
      </c>
      <c r="B53" s="227" t="s">
        <v>69</v>
      </c>
      <c r="C53" s="732">
        <v>75000</v>
      </c>
      <c r="D53" s="732">
        <v>75000</v>
      </c>
      <c r="E53" s="732"/>
      <c r="F53" s="732"/>
      <c r="G53" s="733">
        <v>150000</v>
      </c>
      <c r="H53" s="719"/>
      <c r="I53" s="733"/>
      <c r="J53" s="733"/>
      <c r="K53" s="733"/>
      <c r="L53" s="733"/>
      <c r="M53" s="733"/>
      <c r="N53" s="719"/>
      <c r="O53" s="216"/>
      <c r="P53" s="221"/>
      <c r="Q53" s="221"/>
      <c r="R53" s="221"/>
      <c r="S53" s="215"/>
      <c r="T53" s="229"/>
    </row>
    <row r="54" spans="1:20" hidden="1" outlineLevel="1">
      <c r="A54" s="213" t="s">
        <v>60</v>
      </c>
      <c r="B54" s="227" t="s">
        <v>69</v>
      </c>
      <c r="C54" s="735"/>
      <c r="D54" s="735"/>
      <c r="E54" s="735"/>
      <c r="F54" s="736"/>
      <c r="G54" s="733">
        <v>0</v>
      </c>
      <c r="H54" s="719"/>
      <c r="I54" s="733"/>
      <c r="J54" s="733"/>
      <c r="K54" s="733"/>
      <c r="L54" s="733"/>
      <c r="M54" s="733"/>
      <c r="N54" s="719"/>
      <c r="O54" s="216"/>
      <c r="P54" s="221"/>
      <c r="Q54" s="221"/>
      <c r="R54" s="221"/>
      <c r="S54" s="215"/>
      <c r="T54" s="229"/>
    </row>
    <row r="55" spans="1:20" collapsed="1">
      <c r="A55" s="208" t="s">
        <v>75</v>
      </c>
      <c r="B55" s="227" t="s">
        <v>69</v>
      </c>
      <c r="C55" s="730">
        <v>125000</v>
      </c>
      <c r="D55" s="730">
        <v>125000</v>
      </c>
      <c r="E55" s="730">
        <v>0</v>
      </c>
      <c r="F55" s="730">
        <v>0</v>
      </c>
      <c r="G55" s="731">
        <v>250000</v>
      </c>
      <c r="H55" s="766"/>
      <c r="I55" s="723">
        <f>C55*(1-$O55)</f>
        <v>0</v>
      </c>
      <c r="J55" s="723">
        <f>D55*(1-$O55)</f>
        <v>0</v>
      </c>
      <c r="K55" s="723">
        <f t="shared" ref="K55" si="9">E55*(1-$O55)</f>
        <v>0</v>
      </c>
      <c r="L55" s="723">
        <f>F55*(1-$O55)</f>
        <v>0</v>
      </c>
      <c r="M55" s="723">
        <f>SUM(I55:L55)</f>
        <v>0</v>
      </c>
      <c r="N55" s="766"/>
      <c r="O55" s="220">
        <v>1</v>
      </c>
      <c r="P55" s="221">
        <v>125000</v>
      </c>
      <c r="Q55" s="221">
        <v>125000</v>
      </c>
      <c r="R55" s="221">
        <v>0</v>
      </c>
      <c r="S55" s="221">
        <v>0</v>
      </c>
      <c r="T55" s="229">
        <v>250000</v>
      </c>
    </row>
    <row r="56" spans="1:20" hidden="1" outlineLevel="1">
      <c r="A56" s="211" t="s">
        <v>56</v>
      </c>
      <c r="B56" s="227" t="s">
        <v>69</v>
      </c>
      <c r="C56" s="730">
        <v>0</v>
      </c>
      <c r="D56" s="730">
        <v>0</v>
      </c>
      <c r="E56" s="730">
        <v>0</v>
      </c>
      <c r="F56" s="730">
        <v>0</v>
      </c>
      <c r="G56" s="731">
        <v>0</v>
      </c>
      <c r="H56" s="766"/>
      <c r="I56" s="731"/>
      <c r="J56" s="731"/>
      <c r="K56" s="731"/>
      <c r="L56" s="731"/>
      <c r="M56" s="731"/>
      <c r="N56" s="766"/>
      <c r="O56" s="216"/>
      <c r="P56" s="221">
        <v>0</v>
      </c>
      <c r="Q56" s="221">
        <v>0</v>
      </c>
      <c r="R56" s="221">
        <v>0</v>
      </c>
      <c r="S56" s="221">
        <v>0</v>
      </c>
      <c r="T56" s="229">
        <v>0</v>
      </c>
    </row>
    <row r="57" spans="1:20" hidden="1" outlineLevel="1">
      <c r="A57" s="213" t="s">
        <v>57</v>
      </c>
      <c r="B57" s="227" t="s">
        <v>69</v>
      </c>
      <c r="C57" s="732"/>
      <c r="D57" s="732"/>
      <c r="E57" s="732"/>
      <c r="F57" s="732"/>
      <c r="G57" s="733">
        <v>0</v>
      </c>
      <c r="H57" s="719"/>
      <c r="I57" s="733"/>
      <c r="J57" s="733"/>
      <c r="K57" s="733"/>
      <c r="L57" s="733"/>
      <c r="M57" s="733"/>
      <c r="N57" s="719"/>
      <c r="O57" s="216"/>
      <c r="P57" s="221"/>
      <c r="Q57" s="221"/>
      <c r="R57" s="221"/>
      <c r="S57" s="215"/>
      <c r="T57" s="229"/>
    </row>
    <row r="58" spans="1:20" hidden="1" outlineLevel="1">
      <c r="A58" s="213" t="s">
        <v>58</v>
      </c>
      <c r="B58" s="227" t="s">
        <v>69</v>
      </c>
      <c r="C58" s="732"/>
      <c r="D58" s="732"/>
      <c r="E58" s="732"/>
      <c r="F58" s="732"/>
      <c r="G58" s="733">
        <v>0</v>
      </c>
      <c r="H58" s="719"/>
      <c r="I58" s="733"/>
      <c r="J58" s="733"/>
      <c r="K58" s="733"/>
      <c r="L58" s="733"/>
      <c r="M58" s="733"/>
      <c r="N58" s="719"/>
      <c r="O58" s="216"/>
      <c r="P58" s="221"/>
      <c r="Q58" s="221"/>
      <c r="R58" s="221"/>
      <c r="S58" s="215"/>
      <c r="T58" s="229"/>
    </row>
    <row r="59" spans="1:20" hidden="1" outlineLevel="1">
      <c r="A59" s="213" t="s">
        <v>59</v>
      </c>
      <c r="B59" s="227" t="s">
        <v>69</v>
      </c>
      <c r="C59" s="732"/>
      <c r="D59" s="732"/>
      <c r="E59" s="732"/>
      <c r="F59" s="732"/>
      <c r="G59" s="733">
        <v>0</v>
      </c>
      <c r="H59" s="719"/>
      <c r="I59" s="733"/>
      <c r="J59" s="733"/>
      <c r="K59" s="733"/>
      <c r="L59" s="733"/>
      <c r="M59" s="733"/>
      <c r="N59" s="719"/>
      <c r="O59" s="216"/>
      <c r="P59" s="221"/>
      <c r="Q59" s="221"/>
      <c r="R59" s="221"/>
      <c r="S59" s="215"/>
      <c r="T59" s="229"/>
    </row>
    <row r="60" spans="1:20" hidden="1" outlineLevel="1">
      <c r="A60" s="213" t="s">
        <v>60</v>
      </c>
      <c r="B60" s="227" t="s">
        <v>69</v>
      </c>
      <c r="C60" s="732"/>
      <c r="D60" s="732"/>
      <c r="E60" s="732"/>
      <c r="F60" s="732"/>
      <c r="G60" s="733">
        <v>0</v>
      </c>
      <c r="H60" s="719"/>
      <c r="I60" s="733"/>
      <c r="J60" s="733"/>
      <c r="K60" s="733"/>
      <c r="L60" s="733"/>
      <c r="M60" s="733"/>
      <c r="N60" s="719"/>
      <c r="O60" s="216"/>
      <c r="P60" s="221"/>
      <c r="Q60" s="221"/>
      <c r="R60" s="221"/>
      <c r="S60" s="215"/>
      <c r="T60" s="229"/>
    </row>
    <row r="61" spans="1:20" hidden="1" outlineLevel="1">
      <c r="A61" s="211" t="s">
        <v>61</v>
      </c>
      <c r="B61" s="227" t="s">
        <v>69</v>
      </c>
      <c r="C61" s="730">
        <v>125000</v>
      </c>
      <c r="D61" s="730">
        <v>125000</v>
      </c>
      <c r="E61" s="730">
        <v>0</v>
      </c>
      <c r="F61" s="730">
        <v>0</v>
      </c>
      <c r="G61" s="731">
        <v>250000</v>
      </c>
      <c r="H61" s="766"/>
      <c r="I61" s="731"/>
      <c r="J61" s="731"/>
      <c r="K61" s="731"/>
      <c r="L61" s="731"/>
      <c r="M61" s="731"/>
      <c r="N61" s="766"/>
      <c r="O61" s="216"/>
      <c r="P61" s="221">
        <v>125000</v>
      </c>
      <c r="Q61" s="221">
        <v>125000</v>
      </c>
      <c r="R61" s="221">
        <v>0</v>
      </c>
      <c r="S61" s="221">
        <v>0</v>
      </c>
      <c r="T61" s="229">
        <v>250000</v>
      </c>
    </row>
    <row r="62" spans="1:20" hidden="1" outlineLevel="1">
      <c r="A62" s="213" t="s">
        <v>57</v>
      </c>
      <c r="B62" s="227" t="s">
        <v>69</v>
      </c>
      <c r="C62" s="734">
        <v>0</v>
      </c>
      <c r="D62" s="734">
        <v>0</v>
      </c>
      <c r="E62" s="734">
        <v>0</v>
      </c>
      <c r="F62" s="734">
        <v>0</v>
      </c>
      <c r="G62" s="733">
        <v>0</v>
      </c>
      <c r="H62" s="719"/>
      <c r="I62" s="733"/>
      <c r="J62" s="733"/>
      <c r="K62" s="733"/>
      <c r="L62" s="733"/>
      <c r="M62" s="733"/>
      <c r="N62" s="719"/>
      <c r="O62" s="216"/>
      <c r="P62" s="221"/>
      <c r="Q62" s="221"/>
      <c r="R62" s="221"/>
      <c r="S62" s="215"/>
      <c r="T62" s="229"/>
    </row>
    <row r="63" spans="1:20" hidden="1" outlineLevel="1">
      <c r="A63" s="213" t="s">
        <v>58</v>
      </c>
      <c r="B63" s="227" t="s">
        <v>69</v>
      </c>
      <c r="C63" s="732">
        <v>125000</v>
      </c>
      <c r="D63" s="732">
        <v>125000</v>
      </c>
      <c r="E63" s="732"/>
      <c r="F63" s="732"/>
      <c r="G63" s="733">
        <v>250000</v>
      </c>
      <c r="H63" s="719"/>
      <c r="I63" s="733"/>
      <c r="J63" s="733"/>
      <c r="K63" s="733"/>
      <c r="L63" s="733"/>
      <c r="M63" s="733"/>
      <c r="N63" s="719"/>
      <c r="O63" s="216"/>
      <c r="P63" s="221"/>
      <c r="Q63" s="221"/>
      <c r="R63" s="221"/>
      <c r="S63" s="215"/>
      <c r="T63" s="229"/>
    </row>
    <row r="64" spans="1:20" hidden="1" outlineLevel="1">
      <c r="A64" s="213" t="s">
        <v>60</v>
      </c>
      <c r="B64" s="227" t="s">
        <v>69</v>
      </c>
      <c r="C64" s="732"/>
      <c r="D64" s="732"/>
      <c r="E64" s="732"/>
      <c r="F64" s="732"/>
      <c r="G64" s="733">
        <v>0</v>
      </c>
      <c r="H64" s="719"/>
      <c r="I64" s="733"/>
      <c r="J64" s="733"/>
      <c r="K64" s="733"/>
      <c r="L64" s="733"/>
      <c r="M64" s="733"/>
      <c r="N64" s="719"/>
      <c r="O64" s="216"/>
      <c r="P64" s="221"/>
      <c r="Q64" s="221"/>
      <c r="R64" s="221"/>
      <c r="S64" s="215"/>
      <c r="T64" s="229"/>
    </row>
    <row r="65" spans="1:20" collapsed="1">
      <c r="A65" s="208" t="s">
        <v>76</v>
      </c>
      <c r="B65" s="227" t="s">
        <v>69</v>
      </c>
      <c r="C65" s="730">
        <v>0</v>
      </c>
      <c r="D65" s="730">
        <v>672000</v>
      </c>
      <c r="E65" s="730">
        <v>2478000</v>
      </c>
      <c r="F65" s="730">
        <v>450000</v>
      </c>
      <c r="G65" s="731">
        <v>3600000</v>
      </c>
      <c r="H65" s="206"/>
      <c r="I65" s="723">
        <f>C65*(1-$O65)</f>
        <v>0</v>
      </c>
      <c r="J65" s="723">
        <f>D65*(1-$O65)</f>
        <v>336000</v>
      </c>
      <c r="K65" s="723">
        <f t="shared" ref="K65" si="10">E65*(1-$O65)</f>
        <v>1239000</v>
      </c>
      <c r="L65" s="723">
        <f>F65*(1-$O65)</f>
        <v>225000</v>
      </c>
      <c r="M65" s="723">
        <f>SUM(I65:L65)</f>
        <v>1800000</v>
      </c>
      <c r="N65" s="766"/>
      <c r="O65" s="220">
        <v>0.5</v>
      </c>
      <c r="P65" s="221">
        <v>0</v>
      </c>
      <c r="Q65" s="221">
        <v>336000</v>
      </c>
      <c r="R65" s="221">
        <v>1239000</v>
      </c>
      <c r="S65" s="221">
        <v>225000</v>
      </c>
      <c r="T65" s="229">
        <v>1800000</v>
      </c>
    </row>
    <row r="66" spans="1:20" hidden="1" outlineLevel="1">
      <c r="A66" s="211" t="s">
        <v>56</v>
      </c>
      <c r="B66" s="227" t="s">
        <v>69</v>
      </c>
      <c r="C66" s="730">
        <v>0</v>
      </c>
      <c r="D66" s="730">
        <v>672000</v>
      </c>
      <c r="E66" s="730">
        <v>2028000</v>
      </c>
      <c r="F66" s="730">
        <v>0</v>
      </c>
      <c r="G66" s="731">
        <v>2700000</v>
      </c>
      <c r="H66" s="206"/>
      <c r="I66" s="723">
        <f>C66*(1-$O65)</f>
        <v>0</v>
      </c>
      <c r="J66" s="723">
        <f>D66*(1-$O65)</f>
        <v>336000</v>
      </c>
      <c r="K66" s="723">
        <f t="shared" ref="K66:L66" si="11">E66*(1-$O65)</f>
        <v>1014000</v>
      </c>
      <c r="L66" s="723">
        <f t="shared" si="11"/>
        <v>0</v>
      </c>
      <c r="M66" s="723">
        <f>SUM(I66:L66)</f>
        <v>1350000</v>
      </c>
      <c r="N66" s="766"/>
      <c r="O66" s="220"/>
      <c r="P66" s="221">
        <v>0</v>
      </c>
      <c r="Q66" s="221">
        <v>336000</v>
      </c>
      <c r="R66" s="221">
        <v>1014000</v>
      </c>
      <c r="S66" s="221">
        <v>0</v>
      </c>
      <c r="T66" s="229">
        <v>1350000</v>
      </c>
    </row>
    <row r="67" spans="1:20" hidden="1" outlineLevel="1">
      <c r="A67" s="213" t="s">
        <v>57</v>
      </c>
      <c r="B67" s="227" t="s">
        <v>69</v>
      </c>
      <c r="C67" s="732"/>
      <c r="D67" s="732"/>
      <c r="E67" s="732"/>
      <c r="F67" s="732"/>
      <c r="G67" s="733">
        <v>0</v>
      </c>
      <c r="H67" s="206"/>
      <c r="I67" s="733"/>
      <c r="J67" s="733"/>
      <c r="K67" s="733"/>
      <c r="L67" s="733"/>
      <c r="M67" s="733"/>
      <c r="N67" s="766"/>
      <c r="O67" s="220"/>
      <c r="P67" s="221"/>
      <c r="Q67" s="221"/>
      <c r="R67" s="221"/>
      <c r="S67" s="215"/>
      <c r="T67" s="229"/>
    </row>
    <row r="68" spans="1:20" hidden="1" outlineLevel="1">
      <c r="A68" s="213" t="s">
        <v>58</v>
      </c>
      <c r="B68" s="227" t="s">
        <v>69</v>
      </c>
      <c r="C68" s="732">
        <v>0</v>
      </c>
      <c r="D68" s="732">
        <v>0</v>
      </c>
      <c r="E68" s="732"/>
      <c r="F68" s="732"/>
      <c r="G68" s="733">
        <v>0</v>
      </c>
      <c r="H68" s="206"/>
      <c r="I68" s="733"/>
      <c r="J68" s="733"/>
      <c r="K68" s="733"/>
      <c r="L68" s="733"/>
      <c r="M68" s="733"/>
      <c r="N68" s="766"/>
      <c r="O68" s="220"/>
      <c r="P68" s="221"/>
      <c r="Q68" s="221"/>
      <c r="R68" s="221"/>
      <c r="S68" s="215"/>
      <c r="T68" s="229"/>
    </row>
    <row r="69" spans="1:20" hidden="1" outlineLevel="1">
      <c r="A69" s="213" t="s">
        <v>59</v>
      </c>
      <c r="B69" s="227" t="s">
        <v>69</v>
      </c>
      <c r="C69" s="732"/>
      <c r="D69" s="732"/>
      <c r="E69" s="732"/>
      <c r="F69" s="732"/>
      <c r="G69" s="733">
        <v>0</v>
      </c>
      <c r="H69" s="206"/>
      <c r="I69" s="733"/>
      <c r="J69" s="733"/>
      <c r="K69" s="733"/>
      <c r="L69" s="733"/>
      <c r="M69" s="733"/>
      <c r="N69" s="766"/>
      <c r="O69" s="220"/>
      <c r="P69" s="221"/>
      <c r="Q69" s="221"/>
      <c r="R69" s="221"/>
      <c r="S69" s="215"/>
      <c r="T69" s="229"/>
    </row>
    <row r="70" spans="1:20" hidden="1" outlineLevel="1">
      <c r="A70" s="213" t="s">
        <v>60</v>
      </c>
      <c r="B70" s="227" t="s">
        <v>69</v>
      </c>
      <c r="C70" s="732">
        <v>0</v>
      </c>
      <c r="D70" s="732">
        <v>672000</v>
      </c>
      <c r="E70" s="732">
        <v>2028000</v>
      </c>
      <c r="F70" s="732"/>
      <c r="G70" s="733">
        <v>2700000</v>
      </c>
      <c r="H70" s="206"/>
      <c r="I70" s="723">
        <f>C70*(1-$O65)</f>
        <v>0</v>
      </c>
      <c r="J70" s="723">
        <f t="shared" ref="J70:K70" si="12">D70*(1-$O65)</f>
        <v>336000</v>
      </c>
      <c r="K70" s="723">
        <f t="shared" si="12"/>
        <v>1014000</v>
      </c>
      <c r="L70" s="723">
        <f>F70*(1-$O65)</f>
        <v>0</v>
      </c>
      <c r="M70" s="723">
        <f>SUM(I70:L70)</f>
        <v>1350000</v>
      </c>
      <c r="N70" s="766"/>
      <c r="O70" s="220"/>
      <c r="P70" s="221"/>
      <c r="Q70" s="221"/>
      <c r="R70" s="221"/>
      <c r="S70" s="215"/>
      <c r="T70" s="229"/>
    </row>
    <row r="71" spans="1:20" hidden="1" outlineLevel="1">
      <c r="A71" s="211" t="s">
        <v>61</v>
      </c>
      <c r="B71" s="227" t="s">
        <v>69</v>
      </c>
      <c r="C71" s="730">
        <v>0</v>
      </c>
      <c r="D71" s="730">
        <v>0</v>
      </c>
      <c r="E71" s="730">
        <v>450000</v>
      </c>
      <c r="F71" s="730">
        <v>450000</v>
      </c>
      <c r="G71" s="731">
        <v>900000</v>
      </c>
      <c r="H71" s="206"/>
      <c r="I71" s="723">
        <f>C71*(1-$O65)</f>
        <v>0</v>
      </c>
      <c r="J71" s="723">
        <f t="shared" ref="J71:L71" si="13">D71*(1-$O65)</f>
        <v>0</v>
      </c>
      <c r="K71" s="723">
        <f t="shared" si="13"/>
        <v>225000</v>
      </c>
      <c r="L71" s="723">
        <f t="shared" si="13"/>
        <v>225000</v>
      </c>
      <c r="M71" s="723">
        <f>SUM(I71:L71)</f>
        <v>450000</v>
      </c>
      <c r="N71" s="766"/>
      <c r="O71" s="220"/>
      <c r="P71" s="221">
        <v>0</v>
      </c>
      <c r="Q71" s="221">
        <v>0</v>
      </c>
      <c r="R71" s="221">
        <v>225000</v>
      </c>
      <c r="S71" s="221">
        <v>225000</v>
      </c>
      <c r="T71" s="229">
        <v>450000</v>
      </c>
    </row>
    <row r="72" spans="1:20" hidden="1" outlineLevel="1">
      <c r="A72" s="213" t="s">
        <v>57</v>
      </c>
      <c r="B72" s="227" t="s">
        <v>69</v>
      </c>
      <c r="C72" s="732"/>
      <c r="D72" s="732"/>
      <c r="E72" s="732">
        <v>50000</v>
      </c>
      <c r="F72" s="732">
        <v>50000</v>
      </c>
      <c r="G72" s="733">
        <v>100000</v>
      </c>
      <c r="H72" s="206"/>
      <c r="I72" s="723">
        <f>C72*(1-$O65)</f>
        <v>0</v>
      </c>
      <c r="J72" s="723">
        <f t="shared" ref="J72:L72" si="14">D72*(1-$O65)</f>
        <v>0</v>
      </c>
      <c r="K72" s="723">
        <f t="shared" si="14"/>
        <v>25000</v>
      </c>
      <c r="L72" s="723">
        <f t="shared" si="14"/>
        <v>25000</v>
      </c>
      <c r="M72" s="723">
        <f>SUM(I72:L72)</f>
        <v>50000</v>
      </c>
      <c r="N72" s="766"/>
      <c r="O72" s="220"/>
      <c r="P72" s="221"/>
      <c r="Q72" s="221"/>
      <c r="R72" s="221"/>
      <c r="S72" s="215"/>
      <c r="T72" s="229"/>
    </row>
    <row r="73" spans="1:20" hidden="1" outlineLevel="1">
      <c r="A73" s="213" t="s">
        <v>58</v>
      </c>
      <c r="B73" s="227" t="s">
        <v>69</v>
      </c>
      <c r="C73" s="732"/>
      <c r="D73" s="732"/>
      <c r="E73" s="732"/>
      <c r="F73" s="732"/>
      <c r="G73" s="733">
        <v>0</v>
      </c>
      <c r="H73" s="206"/>
      <c r="I73" s="733"/>
      <c r="J73" s="733"/>
      <c r="K73" s="733"/>
      <c r="L73" s="733"/>
      <c r="M73" s="733"/>
      <c r="N73" s="766"/>
      <c r="O73" s="220"/>
      <c r="P73" s="221"/>
      <c r="Q73" s="221"/>
      <c r="R73" s="221"/>
      <c r="S73" s="215"/>
      <c r="T73" s="229"/>
    </row>
    <row r="74" spans="1:20" hidden="1" outlineLevel="1">
      <c r="A74" s="213" t="s">
        <v>60</v>
      </c>
      <c r="B74" s="227" t="s">
        <v>69</v>
      </c>
      <c r="C74" s="732"/>
      <c r="D74" s="732"/>
      <c r="E74" s="732">
        <v>400000</v>
      </c>
      <c r="F74" s="732">
        <v>400000</v>
      </c>
      <c r="G74" s="733">
        <v>800000</v>
      </c>
      <c r="H74" s="206"/>
      <c r="I74" s="723">
        <f>C74*(1-$O65)</f>
        <v>0</v>
      </c>
      <c r="J74" s="723">
        <f t="shared" ref="J74:L74" si="15">D74*(1-$O65)</f>
        <v>0</v>
      </c>
      <c r="K74" s="723">
        <f t="shared" si="15"/>
        <v>200000</v>
      </c>
      <c r="L74" s="723">
        <f t="shared" si="15"/>
        <v>200000</v>
      </c>
      <c r="M74" s="723">
        <f>SUM(I74:L74)</f>
        <v>400000</v>
      </c>
      <c r="N74" s="766"/>
      <c r="O74" s="220"/>
      <c r="P74" s="221"/>
      <c r="Q74" s="221"/>
      <c r="R74" s="221"/>
      <c r="S74" s="215"/>
      <c r="T74" s="229"/>
    </row>
    <row r="75" spans="1:20" collapsed="1">
      <c r="A75" s="208" t="s">
        <v>80</v>
      </c>
      <c r="B75" s="227" t="s">
        <v>69</v>
      </c>
      <c r="C75" s="730">
        <v>0</v>
      </c>
      <c r="D75" s="730">
        <v>1495000</v>
      </c>
      <c r="E75" s="730">
        <v>0</v>
      </c>
      <c r="F75" s="730">
        <v>0</v>
      </c>
      <c r="G75" s="731">
        <v>1495000</v>
      </c>
      <c r="H75" s="206"/>
      <c r="I75" s="723">
        <f>C75*(1-$O75)</f>
        <v>0</v>
      </c>
      <c r="J75" s="723">
        <f>D75*(1-$O75)</f>
        <v>0</v>
      </c>
      <c r="K75" s="723">
        <f t="shared" ref="K75" si="16">E75*(1-$O75)</f>
        <v>0</v>
      </c>
      <c r="L75" s="723">
        <f>F75*(1-$O75)</f>
        <v>0</v>
      </c>
      <c r="M75" s="723">
        <f>SUM(I75:L75)</f>
        <v>0</v>
      </c>
      <c r="N75" s="766"/>
      <c r="O75" s="220">
        <v>1</v>
      </c>
      <c r="P75" s="221">
        <v>0</v>
      </c>
      <c r="Q75" s="221">
        <v>1495000</v>
      </c>
      <c r="R75" s="221">
        <v>0</v>
      </c>
      <c r="S75" s="221">
        <v>0</v>
      </c>
      <c r="T75" s="229">
        <v>1495000</v>
      </c>
    </row>
    <row r="76" spans="1:20" hidden="1" outlineLevel="1">
      <c r="A76" s="211" t="s">
        <v>56</v>
      </c>
      <c r="B76" s="227" t="s">
        <v>69</v>
      </c>
      <c r="C76" s="737">
        <v>0</v>
      </c>
      <c r="D76" s="730">
        <v>1495000</v>
      </c>
      <c r="E76" s="730">
        <v>0</v>
      </c>
      <c r="F76" s="730">
        <v>0</v>
      </c>
      <c r="G76" s="731">
        <v>1495000</v>
      </c>
      <c r="H76" s="206"/>
      <c r="I76" s="731"/>
      <c r="J76" s="731"/>
      <c r="K76" s="731"/>
      <c r="L76" s="731"/>
      <c r="M76" s="731"/>
      <c r="N76" s="766"/>
      <c r="O76" s="220"/>
      <c r="P76" s="221">
        <v>0</v>
      </c>
      <c r="Q76" s="221">
        <v>1495000</v>
      </c>
      <c r="R76" s="221">
        <v>0</v>
      </c>
      <c r="S76" s="221">
        <v>0</v>
      </c>
      <c r="T76" s="229">
        <v>1495000</v>
      </c>
    </row>
    <row r="77" spans="1:20" hidden="1" outlineLevel="1">
      <c r="A77" s="213" t="s">
        <v>57</v>
      </c>
      <c r="B77" s="227" t="s">
        <v>69</v>
      </c>
      <c r="C77" s="732"/>
      <c r="D77" s="732"/>
      <c r="E77" s="732"/>
      <c r="F77" s="732"/>
      <c r="G77" s="733">
        <v>0</v>
      </c>
      <c r="H77" s="206"/>
      <c r="I77" s="733"/>
      <c r="J77" s="733"/>
      <c r="K77" s="733"/>
      <c r="L77" s="733"/>
      <c r="M77" s="733"/>
      <c r="N77" s="766"/>
      <c r="O77" s="220"/>
      <c r="P77" s="221"/>
      <c r="Q77" s="221"/>
      <c r="R77" s="221"/>
      <c r="S77" s="215"/>
      <c r="T77" s="229"/>
    </row>
    <row r="78" spans="1:20" hidden="1" outlineLevel="1">
      <c r="A78" s="213" t="s">
        <v>58</v>
      </c>
      <c r="B78" s="227" t="s">
        <v>69</v>
      </c>
      <c r="C78" s="732"/>
      <c r="D78" s="732"/>
      <c r="E78" s="732"/>
      <c r="F78" s="732"/>
      <c r="G78" s="733">
        <v>0</v>
      </c>
      <c r="H78" s="206"/>
      <c r="I78" s="733"/>
      <c r="J78" s="733"/>
      <c r="K78" s="733"/>
      <c r="L78" s="733"/>
      <c r="M78" s="733"/>
      <c r="N78" s="766"/>
      <c r="O78" s="220"/>
      <c r="P78" s="221"/>
      <c r="Q78" s="221"/>
      <c r="R78" s="221"/>
      <c r="S78" s="215"/>
      <c r="T78" s="229"/>
    </row>
    <row r="79" spans="1:20" hidden="1" outlineLevel="1">
      <c r="A79" s="213" t="s">
        <v>59</v>
      </c>
      <c r="B79" s="227" t="s">
        <v>69</v>
      </c>
      <c r="C79" s="732"/>
      <c r="D79" s="732"/>
      <c r="E79" s="732"/>
      <c r="F79" s="732"/>
      <c r="G79" s="733">
        <v>0</v>
      </c>
      <c r="H79" s="206"/>
      <c r="I79" s="733"/>
      <c r="J79" s="733"/>
      <c r="K79" s="733"/>
      <c r="L79" s="733"/>
      <c r="M79" s="733"/>
      <c r="N79" s="766"/>
      <c r="O79" s="220"/>
      <c r="P79" s="221"/>
      <c r="Q79" s="221"/>
      <c r="R79" s="221"/>
      <c r="S79" s="215"/>
      <c r="T79" s="229"/>
    </row>
    <row r="80" spans="1:20" hidden="1" outlineLevel="1">
      <c r="A80" s="213" t="s">
        <v>60</v>
      </c>
      <c r="B80" s="227" t="s">
        <v>69</v>
      </c>
      <c r="C80" s="732"/>
      <c r="D80" s="732"/>
      <c r="E80" s="732"/>
      <c r="F80" s="732"/>
      <c r="G80" s="733">
        <v>0</v>
      </c>
      <c r="H80" s="206"/>
      <c r="I80" s="733"/>
      <c r="J80" s="733"/>
      <c r="K80" s="733"/>
      <c r="L80" s="733"/>
      <c r="M80" s="733"/>
      <c r="N80" s="766"/>
      <c r="O80" s="220"/>
      <c r="P80" s="221"/>
      <c r="Q80" s="221"/>
      <c r="R80" s="221"/>
      <c r="S80" s="215"/>
      <c r="T80" s="229"/>
    </row>
    <row r="81" spans="1:20" hidden="1" outlineLevel="1">
      <c r="A81" s="211" t="s">
        <v>61</v>
      </c>
      <c r="B81" s="227" t="s">
        <v>69</v>
      </c>
      <c r="C81" s="730">
        <v>0</v>
      </c>
      <c r="D81" s="730">
        <v>0</v>
      </c>
      <c r="E81" s="730">
        <v>0</v>
      </c>
      <c r="F81" s="730">
        <v>0</v>
      </c>
      <c r="G81" s="731">
        <v>0</v>
      </c>
      <c r="H81" s="206"/>
      <c r="I81" s="731"/>
      <c r="J81" s="731"/>
      <c r="K81" s="731"/>
      <c r="L81" s="731"/>
      <c r="M81" s="731"/>
      <c r="N81" s="766"/>
      <c r="O81" s="220"/>
      <c r="P81" s="221">
        <v>0</v>
      </c>
      <c r="Q81" s="221">
        <v>0</v>
      </c>
      <c r="R81" s="221">
        <v>0</v>
      </c>
      <c r="S81" s="221">
        <v>0</v>
      </c>
      <c r="T81" s="229">
        <v>0</v>
      </c>
    </row>
    <row r="82" spans="1:20" hidden="1" outlineLevel="1">
      <c r="A82" s="213" t="s">
        <v>57</v>
      </c>
      <c r="B82" s="227" t="s">
        <v>69</v>
      </c>
      <c r="C82" s="734">
        <v>0</v>
      </c>
      <c r="D82" s="734">
        <v>0</v>
      </c>
      <c r="E82" s="734">
        <v>0</v>
      </c>
      <c r="F82" s="734">
        <v>0</v>
      </c>
      <c r="G82" s="733">
        <v>0</v>
      </c>
      <c r="H82" s="206"/>
      <c r="I82" s="733"/>
      <c r="J82" s="733"/>
      <c r="K82" s="733"/>
      <c r="L82" s="733"/>
      <c r="M82" s="733"/>
      <c r="N82" s="766"/>
      <c r="O82" s="220"/>
      <c r="P82" s="221"/>
      <c r="Q82" s="221"/>
      <c r="R82" s="221"/>
      <c r="S82" s="215"/>
      <c r="T82" s="229"/>
    </row>
    <row r="83" spans="1:20" hidden="1" outlineLevel="1">
      <c r="A83" s="213" t="s">
        <v>58</v>
      </c>
      <c r="B83" s="227" t="s">
        <v>69</v>
      </c>
      <c r="C83" s="732"/>
      <c r="D83" s="732"/>
      <c r="E83" s="732"/>
      <c r="F83" s="732"/>
      <c r="G83" s="733">
        <v>0</v>
      </c>
      <c r="H83" s="206"/>
      <c r="I83" s="733"/>
      <c r="J83" s="733"/>
      <c r="K83" s="733"/>
      <c r="L83" s="733"/>
      <c r="M83" s="733"/>
      <c r="N83" s="766"/>
      <c r="O83" s="220"/>
      <c r="P83" s="221"/>
      <c r="Q83" s="221"/>
      <c r="R83" s="221"/>
      <c r="S83" s="215"/>
      <c r="T83" s="229"/>
    </row>
    <row r="84" spans="1:20" hidden="1" outlineLevel="1">
      <c r="A84" s="213" t="s">
        <v>60</v>
      </c>
      <c r="B84" s="227" t="s">
        <v>69</v>
      </c>
      <c r="C84" s="732"/>
      <c r="D84" s="732"/>
      <c r="E84" s="732"/>
      <c r="F84" s="732"/>
      <c r="G84" s="733">
        <v>0</v>
      </c>
      <c r="H84" s="206"/>
      <c r="I84" s="733"/>
      <c r="J84" s="733"/>
      <c r="K84" s="733"/>
      <c r="L84" s="733"/>
      <c r="M84" s="733"/>
      <c r="N84" s="766"/>
      <c r="O84" s="220"/>
      <c r="P84" s="221"/>
      <c r="Q84" s="221"/>
      <c r="R84" s="221"/>
      <c r="S84" s="215"/>
      <c r="T84" s="229"/>
    </row>
    <row r="85" spans="1:20" collapsed="1">
      <c r="A85" s="208" t="s">
        <v>82</v>
      </c>
      <c r="B85" s="227" t="s">
        <v>69</v>
      </c>
      <c r="C85" s="730">
        <v>0</v>
      </c>
      <c r="D85" s="730">
        <v>872740</v>
      </c>
      <c r="E85" s="730">
        <v>522740</v>
      </c>
      <c r="F85" s="730">
        <v>122740</v>
      </c>
      <c r="G85" s="731">
        <v>1518220</v>
      </c>
      <c r="H85" s="206"/>
      <c r="I85" s="723">
        <f>C85*(1-$O85)</f>
        <v>0</v>
      </c>
      <c r="J85" s="723">
        <f>D85*(1-$O85)</f>
        <v>0</v>
      </c>
      <c r="K85" s="723">
        <f t="shared" ref="K85" si="17">E85*(1-$O85)</f>
        <v>0</v>
      </c>
      <c r="L85" s="723">
        <f>F85*(1-$O85)</f>
        <v>0</v>
      </c>
      <c r="M85" s="723">
        <f>SUM(I85:L85)</f>
        <v>0</v>
      </c>
      <c r="N85" s="766"/>
      <c r="O85" s="220">
        <v>1</v>
      </c>
      <c r="P85" s="221">
        <v>0</v>
      </c>
      <c r="Q85" s="221">
        <v>872740</v>
      </c>
      <c r="R85" s="221">
        <v>522740</v>
      </c>
      <c r="S85" s="221">
        <v>122740</v>
      </c>
      <c r="T85" s="229">
        <v>1518220</v>
      </c>
    </row>
    <row r="86" spans="1:20" hidden="1" outlineLevel="1">
      <c r="A86" s="211" t="s">
        <v>56</v>
      </c>
      <c r="B86" s="227" t="s">
        <v>69</v>
      </c>
      <c r="C86" s="730">
        <v>0</v>
      </c>
      <c r="D86" s="730">
        <v>750000</v>
      </c>
      <c r="E86" s="730">
        <v>400000</v>
      </c>
      <c r="F86" s="730">
        <v>0</v>
      </c>
      <c r="G86" s="731">
        <v>1150000</v>
      </c>
      <c r="H86" s="206"/>
      <c r="I86" s="731"/>
      <c r="J86" s="731"/>
      <c r="K86" s="731"/>
      <c r="L86" s="731"/>
      <c r="M86" s="731"/>
      <c r="N86" s="766"/>
      <c r="O86" s="220"/>
      <c r="P86" s="221">
        <v>0</v>
      </c>
      <c r="Q86" s="221">
        <v>750000</v>
      </c>
      <c r="R86" s="221">
        <v>400000</v>
      </c>
      <c r="S86" s="221">
        <v>0</v>
      </c>
      <c r="T86" s="229">
        <v>1150000</v>
      </c>
    </row>
    <row r="87" spans="1:20" hidden="1" outlineLevel="1">
      <c r="A87" s="213" t="s">
        <v>57</v>
      </c>
      <c r="B87" s="227" t="s">
        <v>69</v>
      </c>
      <c r="C87" s="732"/>
      <c r="D87" s="732"/>
      <c r="E87" s="732"/>
      <c r="F87" s="732"/>
      <c r="G87" s="733">
        <v>0</v>
      </c>
      <c r="H87" s="206"/>
      <c r="I87" s="733"/>
      <c r="J87" s="733"/>
      <c r="K87" s="733"/>
      <c r="L87" s="733"/>
      <c r="M87" s="733"/>
      <c r="N87" s="766"/>
      <c r="O87" s="220"/>
      <c r="P87" s="221"/>
      <c r="Q87" s="221"/>
      <c r="R87" s="221"/>
      <c r="S87" s="215"/>
      <c r="T87" s="229"/>
    </row>
    <row r="88" spans="1:20" hidden="1" outlineLevel="1">
      <c r="A88" s="213" t="s">
        <v>58</v>
      </c>
      <c r="B88" s="227" t="s">
        <v>69</v>
      </c>
      <c r="C88" s="732">
        <v>0</v>
      </c>
      <c r="D88" s="732">
        <v>150000</v>
      </c>
      <c r="E88" s="732"/>
      <c r="F88" s="732"/>
      <c r="G88" s="733">
        <v>150000</v>
      </c>
      <c r="H88" s="206"/>
      <c r="I88" s="733"/>
      <c r="J88" s="733"/>
      <c r="K88" s="733"/>
      <c r="L88" s="733"/>
      <c r="M88" s="733"/>
      <c r="N88" s="766"/>
      <c r="O88" s="220"/>
      <c r="P88" s="221"/>
      <c r="Q88" s="221"/>
      <c r="R88" s="221"/>
      <c r="S88" s="215"/>
      <c r="T88" s="229"/>
    </row>
    <row r="89" spans="1:20" hidden="1" outlineLevel="1">
      <c r="A89" s="213" t="s">
        <v>59</v>
      </c>
      <c r="B89" s="227" t="s">
        <v>69</v>
      </c>
      <c r="C89" s="732"/>
      <c r="D89" s="732"/>
      <c r="E89" s="732"/>
      <c r="F89" s="732"/>
      <c r="G89" s="733">
        <v>0</v>
      </c>
      <c r="H89" s="206"/>
      <c r="I89" s="733"/>
      <c r="J89" s="733"/>
      <c r="K89" s="733"/>
      <c r="L89" s="733"/>
      <c r="M89" s="733"/>
      <c r="N89" s="766"/>
      <c r="O89" s="220"/>
      <c r="P89" s="221"/>
      <c r="Q89" s="221"/>
      <c r="R89" s="221"/>
      <c r="S89" s="215"/>
      <c r="T89" s="229"/>
    </row>
    <row r="90" spans="1:20" hidden="1" outlineLevel="1">
      <c r="A90" s="213" t="s">
        <v>60</v>
      </c>
      <c r="B90" s="227" t="s">
        <v>69</v>
      </c>
      <c r="C90" s="732">
        <v>0</v>
      </c>
      <c r="D90" s="732">
        <v>600000</v>
      </c>
      <c r="E90" s="732">
        <v>400000</v>
      </c>
      <c r="F90" s="732"/>
      <c r="G90" s="733">
        <v>1000000</v>
      </c>
      <c r="H90" s="206"/>
      <c r="I90" s="733"/>
      <c r="J90" s="733"/>
      <c r="K90" s="733"/>
      <c r="L90" s="733"/>
      <c r="M90" s="733"/>
      <c r="N90" s="766"/>
      <c r="O90" s="220"/>
      <c r="P90" s="221"/>
      <c r="Q90" s="221"/>
      <c r="R90" s="221"/>
      <c r="S90" s="215"/>
      <c r="T90" s="229"/>
    </row>
    <row r="91" spans="1:20" hidden="1" outlineLevel="1">
      <c r="A91" s="211" t="s">
        <v>61</v>
      </c>
      <c r="B91" s="227" t="s">
        <v>69</v>
      </c>
      <c r="C91" s="730">
        <v>0</v>
      </c>
      <c r="D91" s="730">
        <v>122740</v>
      </c>
      <c r="E91" s="730">
        <v>122740</v>
      </c>
      <c r="F91" s="730">
        <v>122740</v>
      </c>
      <c r="G91" s="731">
        <v>368220</v>
      </c>
      <c r="H91" s="206"/>
      <c r="I91" s="731"/>
      <c r="J91" s="731"/>
      <c r="K91" s="731"/>
      <c r="L91" s="731"/>
      <c r="M91" s="731"/>
      <c r="N91" s="766"/>
      <c r="O91" s="220"/>
      <c r="P91" s="221">
        <v>0</v>
      </c>
      <c r="Q91" s="221">
        <v>122740</v>
      </c>
      <c r="R91" s="221">
        <v>122740</v>
      </c>
      <c r="S91" s="221">
        <v>122740</v>
      </c>
      <c r="T91" s="229">
        <v>368220</v>
      </c>
    </row>
    <row r="92" spans="1:20" hidden="1" outlineLevel="1">
      <c r="A92" s="213" t="s">
        <v>57</v>
      </c>
      <c r="B92" s="227" t="s">
        <v>69</v>
      </c>
      <c r="C92" s="734">
        <v>0</v>
      </c>
      <c r="D92" s="734">
        <v>122740</v>
      </c>
      <c r="E92" s="734">
        <v>122740</v>
      </c>
      <c r="F92" s="734">
        <v>122740</v>
      </c>
      <c r="G92" s="733">
        <v>368220</v>
      </c>
      <c r="H92" s="206"/>
      <c r="I92" s="733"/>
      <c r="J92" s="733"/>
      <c r="K92" s="733"/>
      <c r="L92" s="733"/>
      <c r="M92" s="733"/>
      <c r="N92" s="766"/>
      <c r="O92" s="220"/>
      <c r="P92" s="221"/>
      <c r="Q92" s="221"/>
      <c r="R92" s="221"/>
      <c r="S92" s="215"/>
      <c r="T92" s="229"/>
    </row>
    <row r="93" spans="1:20" hidden="1" outlineLevel="1">
      <c r="A93" s="213" t="s">
        <v>58</v>
      </c>
      <c r="B93" s="227" t="s">
        <v>69</v>
      </c>
      <c r="C93" s="732"/>
      <c r="D93" s="732"/>
      <c r="E93" s="732"/>
      <c r="F93" s="732"/>
      <c r="G93" s="733">
        <v>0</v>
      </c>
      <c r="H93" s="206"/>
      <c r="I93" s="733"/>
      <c r="J93" s="733"/>
      <c r="K93" s="733"/>
      <c r="L93" s="733"/>
      <c r="M93" s="733"/>
      <c r="N93" s="766"/>
      <c r="O93" s="220"/>
      <c r="P93" s="221"/>
      <c r="Q93" s="221"/>
      <c r="R93" s="221"/>
      <c r="S93" s="215"/>
      <c r="T93" s="229"/>
    </row>
    <row r="94" spans="1:20" hidden="1" outlineLevel="1">
      <c r="A94" s="213" t="s">
        <v>60</v>
      </c>
      <c r="B94" s="227" t="s">
        <v>69</v>
      </c>
      <c r="C94" s="732"/>
      <c r="D94" s="732"/>
      <c r="E94" s="732"/>
      <c r="F94" s="732"/>
      <c r="G94" s="733">
        <v>0</v>
      </c>
      <c r="H94" s="206"/>
      <c r="I94" s="733"/>
      <c r="J94" s="733"/>
      <c r="K94" s="733"/>
      <c r="L94" s="733"/>
      <c r="M94" s="733"/>
      <c r="N94" s="766"/>
      <c r="O94" s="220"/>
      <c r="P94" s="221"/>
      <c r="Q94" s="221"/>
      <c r="R94" s="221"/>
      <c r="S94" s="215"/>
      <c r="T94" s="229"/>
    </row>
    <row r="95" spans="1:20" collapsed="1">
      <c r="A95" s="208" t="s">
        <v>85</v>
      </c>
      <c r="B95" s="227" t="s">
        <v>69</v>
      </c>
      <c r="C95" s="730">
        <v>0</v>
      </c>
      <c r="D95" s="730">
        <v>2500000</v>
      </c>
      <c r="E95" s="730">
        <v>5050000</v>
      </c>
      <c r="F95" s="730">
        <v>50000</v>
      </c>
      <c r="G95" s="731">
        <v>7600000</v>
      </c>
      <c r="H95" s="206"/>
      <c r="I95" s="723">
        <f>C95*(1-$O95)</f>
        <v>0</v>
      </c>
      <c r="J95" s="723">
        <f>D95*(1-$O95)</f>
        <v>0</v>
      </c>
      <c r="K95" s="723">
        <f t="shared" ref="K95" si="18">E95*(1-$O95)</f>
        <v>0</v>
      </c>
      <c r="L95" s="723">
        <f>F95*(1-$O95)</f>
        <v>0</v>
      </c>
      <c r="M95" s="723">
        <f>SUM(I95:L95)</f>
        <v>0</v>
      </c>
      <c r="N95" s="766"/>
      <c r="O95" s="220">
        <v>1</v>
      </c>
      <c r="P95" s="221">
        <v>0</v>
      </c>
      <c r="Q95" s="221">
        <v>2500000</v>
      </c>
      <c r="R95" s="221">
        <v>5050000</v>
      </c>
      <c r="S95" s="221">
        <v>50000</v>
      </c>
      <c r="T95" s="229">
        <v>7600000</v>
      </c>
    </row>
    <row r="96" spans="1:20" hidden="1" outlineLevel="1">
      <c r="A96" s="211" t="s">
        <v>56</v>
      </c>
      <c r="B96" s="227" t="s">
        <v>69</v>
      </c>
      <c r="C96" s="730">
        <v>0</v>
      </c>
      <c r="D96" s="730">
        <v>2500000</v>
      </c>
      <c r="E96" s="730">
        <v>5000000</v>
      </c>
      <c r="F96" s="730">
        <v>0</v>
      </c>
      <c r="G96" s="731">
        <v>7500000</v>
      </c>
      <c r="H96" s="206"/>
      <c r="I96" s="731"/>
      <c r="J96" s="731"/>
      <c r="K96" s="731"/>
      <c r="L96" s="731"/>
      <c r="M96" s="731"/>
      <c r="N96" s="766"/>
      <c r="O96" s="216"/>
      <c r="P96" s="221">
        <v>0</v>
      </c>
      <c r="Q96" s="221">
        <v>2500000</v>
      </c>
      <c r="R96" s="221">
        <v>5000000</v>
      </c>
      <c r="S96" s="221">
        <v>0</v>
      </c>
      <c r="T96" s="229">
        <v>7500000</v>
      </c>
    </row>
    <row r="97" spans="1:20" hidden="1" outlineLevel="1">
      <c r="A97" s="213" t="s">
        <v>57</v>
      </c>
      <c r="B97" s="227" t="s">
        <v>69</v>
      </c>
      <c r="C97" s="732"/>
      <c r="D97" s="732"/>
      <c r="E97" s="732"/>
      <c r="F97" s="732"/>
      <c r="G97" s="733">
        <v>0</v>
      </c>
      <c r="H97" s="206"/>
      <c r="I97" s="733"/>
      <c r="J97" s="733"/>
      <c r="K97" s="733"/>
      <c r="L97" s="733"/>
      <c r="M97" s="733"/>
      <c r="N97" s="719"/>
      <c r="O97" s="216"/>
      <c r="P97" s="221"/>
      <c r="Q97" s="221"/>
      <c r="R97" s="221"/>
      <c r="S97" s="215"/>
      <c r="T97" s="229"/>
    </row>
    <row r="98" spans="1:20" hidden="1" outlineLevel="1">
      <c r="A98" s="213" t="s">
        <v>58</v>
      </c>
      <c r="B98" s="227" t="s">
        <v>69</v>
      </c>
      <c r="C98" s="732"/>
      <c r="D98" s="732"/>
      <c r="E98" s="732"/>
      <c r="F98" s="732"/>
      <c r="G98" s="733">
        <v>0</v>
      </c>
      <c r="H98" s="206"/>
      <c r="I98" s="733"/>
      <c r="J98" s="733"/>
      <c r="K98" s="733"/>
      <c r="L98" s="733"/>
      <c r="M98" s="733"/>
      <c r="N98" s="719"/>
      <c r="O98" s="216"/>
      <c r="P98" s="221"/>
      <c r="Q98" s="221"/>
      <c r="R98" s="221"/>
      <c r="S98" s="215"/>
      <c r="T98" s="229"/>
    </row>
    <row r="99" spans="1:20" hidden="1" outlineLevel="1">
      <c r="A99" s="213" t="s">
        <v>59</v>
      </c>
      <c r="B99" s="227" t="s">
        <v>69</v>
      </c>
      <c r="C99" s="732"/>
      <c r="D99" s="732"/>
      <c r="E99" s="732"/>
      <c r="F99" s="732"/>
      <c r="G99" s="733">
        <v>0</v>
      </c>
      <c r="H99" s="206"/>
      <c r="I99" s="733"/>
      <c r="J99" s="733"/>
      <c r="K99" s="733"/>
      <c r="L99" s="733"/>
      <c r="M99" s="733"/>
      <c r="N99" s="719"/>
      <c r="O99" s="216"/>
      <c r="P99" s="221"/>
      <c r="Q99" s="221"/>
      <c r="R99" s="221"/>
      <c r="S99" s="215"/>
      <c r="T99" s="229"/>
    </row>
    <row r="100" spans="1:20" hidden="1" outlineLevel="1">
      <c r="A100" s="213" t="s">
        <v>60</v>
      </c>
      <c r="B100" s="227" t="s">
        <v>69</v>
      </c>
      <c r="C100" s="732">
        <v>0</v>
      </c>
      <c r="D100" s="732">
        <v>2500000</v>
      </c>
      <c r="E100" s="732">
        <v>5000000</v>
      </c>
      <c r="F100" s="732"/>
      <c r="G100" s="733">
        <v>7500000</v>
      </c>
      <c r="H100" s="206"/>
      <c r="I100" s="733"/>
      <c r="J100" s="733"/>
      <c r="K100" s="733"/>
      <c r="L100" s="733"/>
      <c r="M100" s="733"/>
      <c r="N100" s="719"/>
      <c r="O100" s="216"/>
      <c r="P100" s="221"/>
      <c r="Q100" s="221"/>
      <c r="R100" s="221"/>
      <c r="S100" s="215"/>
      <c r="T100" s="229"/>
    </row>
    <row r="101" spans="1:20" hidden="1" outlineLevel="1">
      <c r="A101" s="211" t="s">
        <v>61</v>
      </c>
      <c r="B101" s="227" t="s">
        <v>69</v>
      </c>
      <c r="C101" s="730">
        <v>0</v>
      </c>
      <c r="D101" s="730">
        <v>0</v>
      </c>
      <c r="E101" s="730">
        <v>50000</v>
      </c>
      <c r="F101" s="730">
        <v>50000</v>
      </c>
      <c r="G101" s="731">
        <v>100000</v>
      </c>
      <c r="H101" s="206"/>
      <c r="I101" s="731"/>
      <c r="J101" s="731"/>
      <c r="K101" s="731"/>
      <c r="L101" s="731"/>
      <c r="M101" s="731"/>
      <c r="N101" s="766"/>
      <c r="O101" s="216"/>
      <c r="P101" s="221">
        <v>0</v>
      </c>
      <c r="Q101" s="221">
        <v>0</v>
      </c>
      <c r="R101" s="221">
        <v>50000</v>
      </c>
      <c r="S101" s="221">
        <v>50000</v>
      </c>
      <c r="T101" s="229">
        <v>100000</v>
      </c>
    </row>
    <row r="102" spans="1:20" hidden="1" outlineLevel="1">
      <c r="A102" s="199" t="s">
        <v>57</v>
      </c>
      <c r="B102" s="227" t="s">
        <v>69</v>
      </c>
      <c r="C102" s="732">
        <v>0</v>
      </c>
      <c r="D102" s="732">
        <v>0</v>
      </c>
      <c r="E102" s="732">
        <v>50000</v>
      </c>
      <c r="F102" s="732">
        <v>50000</v>
      </c>
      <c r="G102" s="733">
        <v>100000</v>
      </c>
      <c r="H102" s="206"/>
      <c r="I102" s="733"/>
      <c r="J102" s="733"/>
      <c r="K102" s="733"/>
      <c r="L102" s="733"/>
      <c r="M102" s="733"/>
      <c r="N102" s="719"/>
      <c r="O102" s="216"/>
      <c r="P102" s="221"/>
      <c r="Q102" s="221"/>
      <c r="R102" s="221"/>
      <c r="S102" s="215"/>
      <c r="T102" s="229"/>
    </row>
    <row r="103" spans="1:20" hidden="1" outlineLevel="1">
      <c r="A103" s="213" t="s">
        <v>58</v>
      </c>
      <c r="B103" s="227" t="s">
        <v>69</v>
      </c>
      <c r="C103" s="732"/>
      <c r="D103" s="732"/>
      <c r="E103" s="732"/>
      <c r="F103" s="732"/>
      <c r="G103" s="733">
        <v>0</v>
      </c>
      <c r="H103" s="206"/>
      <c r="I103" s="733"/>
      <c r="J103" s="733"/>
      <c r="K103" s="733"/>
      <c r="L103" s="733"/>
      <c r="M103" s="733"/>
      <c r="N103" s="719"/>
      <c r="O103" s="216"/>
      <c r="P103" s="221"/>
      <c r="Q103" s="221"/>
      <c r="R103" s="221"/>
      <c r="S103" s="215"/>
      <c r="T103" s="229"/>
    </row>
    <row r="104" spans="1:20" hidden="1" outlineLevel="1">
      <c r="A104" s="213" t="s">
        <v>60</v>
      </c>
      <c r="B104" s="227" t="s">
        <v>69</v>
      </c>
      <c r="C104" s="732"/>
      <c r="D104" s="732"/>
      <c r="E104" s="732"/>
      <c r="F104" s="732"/>
      <c r="G104" s="733">
        <v>0</v>
      </c>
      <c r="H104" s="206"/>
      <c r="I104" s="733"/>
      <c r="J104" s="733"/>
      <c r="K104" s="733"/>
      <c r="L104" s="733"/>
      <c r="M104" s="733"/>
      <c r="N104" s="719"/>
      <c r="O104" s="216"/>
      <c r="P104" s="221"/>
      <c r="Q104" s="221"/>
      <c r="R104" s="221"/>
      <c r="S104" s="215"/>
      <c r="T104" s="229"/>
    </row>
    <row r="105" spans="1:20" collapsed="1">
      <c r="A105" s="208" t="s">
        <v>87</v>
      </c>
      <c r="B105" s="227" t="s">
        <v>69</v>
      </c>
      <c r="C105" s="730">
        <v>0</v>
      </c>
      <c r="D105" s="730">
        <v>0</v>
      </c>
      <c r="E105" s="730">
        <v>400000</v>
      </c>
      <c r="F105" s="730">
        <v>550000</v>
      </c>
      <c r="G105" s="731">
        <v>950000</v>
      </c>
      <c r="H105" s="206"/>
      <c r="I105" s="723">
        <f>C105*(1-$O105)</f>
        <v>0</v>
      </c>
      <c r="J105" s="723">
        <f>D105*(1-$O105)</f>
        <v>0</v>
      </c>
      <c r="K105" s="723">
        <f t="shared" ref="K105" si="19">E105*(1-$O105)</f>
        <v>0</v>
      </c>
      <c r="L105" s="723">
        <f>F105*(1-$O105)</f>
        <v>0</v>
      </c>
      <c r="M105" s="723">
        <f>SUM(I105:L105)</f>
        <v>0</v>
      </c>
      <c r="N105" s="766"/>
      <c r="O105" s="220">
        <v>1</v>
      </c>
      <c r="P105" s="221">
        <v>0</v>
      </c>
      <c r="Q105" s="221">
        <v>0</v>
      </c>
      <c r="R105" s="221">
        <v>400000</v>
      </c>
      <c r="S105" s="221">
        <v>550000</v>
      </c>
      <c r="T105" s="229">
        <v>950000</v>
      </c>
    </row>
    <row r="106" spans="1:20" hidden="1" outlineLevel="1">
      <c r="A106" s="211" t="s">
        <v>56</v>
      </c>
      <c r="B106" s="227" t="s">
        <v>69</v>
      </c>
      <c r="C106" s="730">
        <v>0</v>
      </c>
      <c r="D106" s="730">
        <v>0</v>
      </c>
      <c r="E106" s="730">
        <v>400000</v>
      </c>
      <c r="F106" s="730">
        <v>550000</v>
      </c>
      <c r="G106" s="731">
        <v>950000</v>
      </c>
      <c r="H106" s="206"/>
      <c r="I106" s="731"/>
      <c r="J106" s="731"/>
      <c r="K106" s="731"/>
      <c r="L106" s="731"/>
      <c r="M106" s="731"/>
      <c r="N106" s="766"/>
      <c r="O106" s="216"/>
      <c r="P106" s="221">
        <v>0</v>
      </c>
      <c r="Q106" s="221">
        <v>0</v>
      </c>
      <c r="R106" s="221">
        <v>400000</v>
      </c>
      <c r="S106" s="221">
        <v>550000</v>
      </c>
      <c r="T106" s="229">
        <v>950000</v>
      </c>
    </row>
    <row r="107" spans="1:20" hidden="1" outlineLevel="1">
      <c r="A107" s="213" t="s">
        <v>57</v>
      </c>
      <c r="B107" s="227" t="s">
        <v>69</v>
      </c>
      <c r="C107" s="732"/>
      <c r="D107" s="732"/>
      <c r="E107" s="732"/>
      <c r="F107" s="732"/>
      <c r="G107" s="733">
        <v>0</v>
      </c>
      <c r="H107" s="206"/>
      <c r="I107" s="733"/>
      <c r="J107" s="733"/>
      <c r="K107" s="733"/>
      <c r="L107" s="733"/>
      <c r="M107" s="733"/>
      <c r="N107" s="719"/>
      <c r="O107" s="216"/>
      <c r="P107" s="221"/>
      <c r="Q107" s="221"/>
      <c r="R107" s="221"/>
      <c r="S107" s="215"/>
      <c r="T107" s="229"/>
    </row>
    <row r="108" spans="1:20" hidden="1" outlineLevel="1">
      <c r="A108" s="213" t="s">
        <v>58</v>
      </c>
      <c r="B108" s="227" t="s">
        <v>69</v>
      </c>
      <c r="C108" s="732"/>
      <c r="D108" s="732"/>
      <c r="E108" s="732">
        <v>150000</v>
      </c>
      <c r="F108" s="732"/>
      <c r="G108" s="733">
        <v>150000</v>
      </c>
      <c r="H108" s="206"/>
      <c r="I108" s="733"/>
      <c r="J108" s="733"/>
      <c r="K108" s="733"/>
      <c r="L108" s="733"/>
      <c r="M108" s="733"/>
      <c r="N108" s="719"/>
      <c r="O108" s="216"/>
      <c r="P108" s="221"/>
      <c r="Q108" s="221"/>
      <c r="R108" s="221"/>
      <c r="S108" s="215"/>
      <c r="T108" s="229"/>
    </row>
    <row r="109" spans="1:20" hidden="1" outlineLevel="1">
      <c r="A109" s="213" t="s">
        <v>59</v>
      </c>
      <c r="B109" s="227" t="s">
        <v>69</v>
      </c>
      <c r="C109" s="732"/>
      <c r="D109" s="732"/>
      <c r="E109" s="732"/>
      <c r="F109" s="732"/>
      <c r="G109" s="733">
        <v>0</v>
      </c>
      <c r="H109" s="206"/>
      <c r="I109" s="733"/>
      <c r="J109" s="733"/>
      <c r="K109" s="733"/>
      <c r="L109" s="733"/>
      <c r="M109" s="733"/>
      <c r="N109" s="719"/>
      <c r="O109" s="216"/>
      <c r="P109" s="221"/>
      <c r="Q109" s="221"/>
      <c r="R109" s="221"/>
      <c r="S109" s="215"/>
      <c r="T109" s="229"/>
    </row>
    <row r="110" spans="1:20" hidden="1" outlineLevel="1">
      <c r="A110" s="213" t="s">
        <v>60</v>
      </c>
      <c r="B110" s="227" t="s">
        <v>69</v>
      </c>
      <c r="C110" s="732"/>
      <c r="D110" s="732"/>
      <c r="E110" s="732">
        <v>250000</v>
      </c>
      <c r="F110" s="732">
        <v>550000</v>
      </c>
      <c r="G110" s="733">
        <v>800000</v>
      </c>
      <c r="H110" s="206"/>
      <c r="I110" s="733"/>
      <c r="J110" s="733"/>
      <c r="K110" s="733"/>
      <c r="L110" s="733"/>
      <c r="M110" s="733"/>
      <c r="N110" s="719"/>
      <c r="O110" s="216"/>
      <c r="P110" s="221"/>
      <c r="Q110" s="221"/>
      <c r="R110" s="221"/>
      <c r="S110" s="215"/>
      <c r="T110" s="229"/>
    </row>
    <row r="111" spans="1:20" hidden="1" outlineLevel="1">
      <c r="A111" s="211" t="s">
        <v>61</v>
      </c>
      <c r="B111" s="227" t="s">
        <v>69</v>
      </c>
      <c r="C111" s="730">
        <v>0</v>
      </c>
      <c r="D111" s="730">
        <v>0</v>
      </c>
      <c r="E111" s="730">
        <v>0</v>
      </c>
      <c r="F111" s="730">
        <v>0</v>
      </c>
      <c r="G111" s="731">
        <v>0</v>
      </c>
      <c r="H111" s="206"/>
      <c r="I111" s="731"/>
      <c r="J111" s="731"/>
      <c r="K111" s="731"/>
      <c r="L111" s="731"/>
      <c r="M111" s="731"/>
      <c r="N111" s="766"/>
      <c r="O111" s="216"/>
      <c r="P111" s="221">
        <v>0</v>
      </c>
      <c r="Q111" s="221">
        <v>0</v>
      </c>
      <c r="R111" s="221">
        <v>0</v>
      </c>
      <c r="S111" s="221">
        <v>0</v>
      </c>
      <c r="T111" s="229">
        <v>0</v>
      </c>
    </row>
    <row r="112" spans="1:20" hidden="1" outlineLevel="1">
      <c r="A112" s="213" t="s">
        <v>57</v>
      </c>
      <c r="B112" s="227" t="s">
        <v>69</v>
      </c>
      <c r="C112" s="734">
        <v>0</v>
      </c>
      <c r="D112" s="734">
        <v>0</v>
      </c>
      <c r="E112" s="734">
        <v>0</v>
      </c>
      <c r="F112" s="734">
        <v>0</v>
      </c>
      <c r="G112" s="733">
        <v>0</v>
      </c>
      <c r="H112" s="206"/>
      <c r="I112" s="733"/>
      <c r="J112" s="733"/>
      <c r="K112" s="733"/>
      <c r="L112" s="733"/>
      <c r="M112" s="733"/>
      <c r="N112" s="719"/>
      <c r="O112" s="216"/>
      <c r="P112" s="221"/>
      <c r="Q112" s="221"/>
      <c r="R112" s="221"/>
      <c r="S112" s="215"/>
      <c r="T112" s="229"/>
    </row>
    <row r="113" spans="1:20" hidden="1" outlineLevel="1">
      <c r="A113" s="213" t="s">
        <v>58</v>
      </c>
      <c r="B113" s="227" t="s">
        <v>69</v>
      </c>
      <c r="C113" s="732"/>
      <c r="D113" s="732"/>
      <c r="E113" s="732"/>
      <c r="F113" s="732"/>
      <c r="G113" s="733">
        <v>0</v>
      </c>
      <c r="H113" s="206"/>
      <c r="I113" s="733"/>
      <c r="J113" s="733"/>
      <c r="K113" s="733"/>
      <c r="L113" s="733"/>
      <c r="M113" s="733"/>
      <c r="N113" s="719"/>
      <c r="O113" s="216"/>
      <c r="P113" s="221"/>
      <c r="Q113" s="221"/>
      <c r="R113" s="221"/>
      <c r="S113" s="215"/>
      <c r="T113" s="229"/>
    </row>
    <row r="114" spans="1:20" hidden="1" outlineLevel="1">
      <c r="A114" s="213" t="s">
        <v>60</v>
      </c>
      <c r="B114" s="227" t="s">
        <v>69</v>
      </c>
      <c r="C114" s="732"/>
      <c r="D114" s="732"/>
      <c r="E114" s="732"/>
      <c r="F114" s="732"/>
      <c r="G114" s="733">
        <v>0</v>
      </c>
      <c r="H114" s="206"/>
      <c r="I114" s="733"/>
      <c r="J114" s="733"/>
      <c r="K114" s="733"/>
      <c r="L114" s="733"/>
      <c r="M114" s="733"/>
      <c r="N114" s="719"/>
      <c r="O114" s="216"/>
      <c r="P114" s="221"/>
      <c r="Q114" s="221"/>
      <c r="R114" s="221"/>
      <c r="S114" s="215"/>
      <c r="T114" s="229"/>
    </row>
    <row r="115" spans="1:20" collapsed="1">
      <c r="A115" s="208" t="s">
        <v>89</v>
      </c>
      <c r="B115" s="227" t="s">
        <v>69</v>
      </c>
      <c r="C115" s="730">
        <v>0</v>
      </c>
      <c r="D115" s="730">
        <v>150000</v>
      </c>
      <c r="E115" s="730">
        <v>0</v>
      </c>
      <c r="F115" s="730">
        <v>0</v>
      </c>
      <c r="G115" s="731">
        <v>150000</v>
      </c>
      <c r="H115" s="206"/>
      <c r="I115" s="723">
        <f>C115*(1-$O115)</f>
        <v>0</v>
      </c>
      <c r="J115" s="723">
        <f>D115*(1-$O115)</f>
        <v>0</v>
      </c>
      <c r="K115" s="723">
        <f t="shared" ref="K115" si="20">E115*(1-$O115)</f>
        <v>0</v>
      </c>
      <c r="L115" s="723">
        <f>F115*(1-$O115)</f>
        <v>0</v>
      </c>
      <c r="M115" s="723">
        <f>SUM(I115:L115)</f>
        <v>0</v>
      </c>
      <c r="N115" s="766"/>
      <c r="O115" s="220">
        <v>1</v>
      </c>
      <c r="P115" s="221">
        <v>0</v>
      </c>
      <c r="Q115" s="221">
        <v>150000</v>
      </c>
      <c r="R115" s="221">
        <v>0</v>
      </c>
      <c r="S115" s="221">
        <v>0</v>
      </c>
      <c r="T115" s="229">
        <v>150000</v>
      </c>
    </row>
    <row r="116" spans="1:20" hidden="1" outlineLevel="1">
      <c r="A116" s="211" t="s">
        <v>56</v>
      </c>
      <c r="B116" s="227" t="s">
        <v>69</v>
      </c>
      <c r="C116" s="730">
        <v>0</v>
      </c>
      <c r="D116" s="730">
        <v>150000</v>
      </c>
      <c r="E116" s="730">
        <v>0</v>
      </c>
      <c r="F116" s="730">
        <v>0</v>
      </c>
      <c r="G116" s="731">
        <v>150000</v>
      </c>
      <c r="H116" s="206"/>
      <c r="I116" s="731"/>
      <c r="J116" s="731"/>
      <c r="K116" s="731"/>
      <c r="L116" s="731"/>
      <c r="M116" s="731"/>
      <c r="N116" s="766"/>
      <c r="O116" s="216"/>
      <c r="P116" s="221">
        <v>0</v>
      </c>
      <c r="Q116" s="221">
        <v>150000</v>
      </c>
      <c r="R116" s="221">
        <v>0</v>
      </c>
      <c r="S116" s="221">
        <v>0</v>
      </c>
      <c r="T116" s="229">
        <v>150000</v>
      </c>
    </row>
    <row r="117" spans="1:20" hidden="1" outlineLevel="1">
      <c r="A117" s="213" t="s">
        <v>57</v>
      </c>
      <c r="B117" s="227" t="s">
        <v>69</v>
      </c>
      <c r="C117" s="732"/>
      <c r="D117" s="732"/>
      <c r="E117" s="732"/>
      <c r="F117" s="732"/>
      <c r="G117" s="733">
        <v>0</v>
      </c>
      <c r="H117" s="206"/>
      <c r="I117" s="733"/>
      <c r="J117" s="733"/>
      <c r="K117" s="733"/>
      <c r="L117" s="733"/>
      <c r="M117" s="733"/>
      <c r="N117" s="719"/>
      <c r="O117" s="216"/>
      <c r="P117" s="221"/>
      <c r="Q117" s="221"/>
      <c r="R117" s="221"/>
      <c r="S117" s="215"/>
      <c r="T117" s="229"/>
    </row>
    <row r="118" spans="1:20" hidden="1" outlineLevel="1">
      <c r="A118" s="213" t="s">
        <v>58</v>
      </c>
      <c r="B118" s="227" t="s">
        <v>69</v>
      </c>
      <c r="C118" s="732"/>
      <c r="D118" s="732">
        <v>150000</v>
      </c>
      <c r="E118" s="732"/>
      <c r="F118" s="732"/>
      <c r="G118" s="733">
        <v>150000</v>
      </c>
      <c r="H118" s="206"/>
      <c r="I118" s="733"/>
      <c r="J118" s="733"/>
      <c r="K118" s="733"/>
      <c r="L118" s="733"/>
      <c r="M118" s="733"/>
      <c r="N118" s="719"/>
      <c r="O118" s="216"/>
      <c r="P118" s="221"/>
      <c r="Q118" s="221"/>
      <c r="R118" s="221"/>
      <c r="S118" s="215"/>
      <c r="T118" s="229"/>
    </row>
    <row r="119" spans="1:20" hidden="1" outlineLevel="1">
      <c r="A119" s="213" t="s">
        <v>59</v>
      </c>
      <c r="B119" s="227" t="s">
        <v>69</v>
      </c>
      <c r="C119" s="732"/>
      <c r="D119" s="732"/>
      <c r="E119" s="732"/>
      <c r="F119" s="732"/>
      <c r="G119" s="733">
        <v>0</v>
      </c>
      <c r="H119" s="206"/>
      <c r="I119" s="733"/>
      <c r="J119" s="733"/>
      <c r="K119" s="733"/>
      <c r="L119" s="733"/>
      <c r="M119" s="733"/>
      <c r="N119" s="719"/>
      <c r="O119" s="216"/>
      <c r="P119" s="221"/>
      <c r="Q119" s="221"/>
      <c r="R119" s="221"/>
      <c r="S119" s="215"/>
      <c r="T119" s="229"/>
    </row>
    <row r="120" spans="1:20" hidden="1" outlineLevel="1">
      <c r="A120" s="213" t="s">
        <v>60</v>
      </c>
      <c r="B120" s="227" t="s">
        <v>69</v>
      </c>
      <c r="C120" s="732"/>
      <c r="D120" s="732"/>
      <c r="E120" s="732"/>
      <c r="F120" s="732"/>
      <c r="G120" s="733">
        <v>0</v>
      </c>
      <c r="H120" s="206"/>
      <c r="I120" s="733"/>
      <c r="J120" s="733"/>
      <c r="K120" s="733"/>
      <c r="L120" s="733"/>
      <c r="M120" s="733"/>
      <c r="N120" s="719"/>
      <c r="O120" s="216"/>
      <c r="P120" s="221"/>
      <c r="Q120" s="221"/>
      <c r="R120" s="221"/>
      <c r="S120" s="215"/>
      <c r="T120" s="229"/>
    </row>
    <row r="121" spans="1:20" hidden="1" outlineLevel="1">
      <c r="A121" s="211" t="s">
        <v>61</v>
      </c>
      <c r="B121" s="227" t="s">
        <v>69</v>
      </c>
      <c r="C121" s="730">
        <v>0</v>
      </c>
      <c r="D121" s="730">
        <v>0</v>
      </c>
      <c r="E121" s="730">
        <v>0</v>
      </c>
      <c r="F121" s="730">
        <v>0</v>
      </c>
      <c r="G121" s="731">
        <v>0</v>
      </c>
      <c r="H121" s="206"/>
      <c r="I121" s="731"/>
      <c r="J121" s="731"/>
      <c r="K121" s="731"/>
      <c r="L121" s="731"/>
      <c r="M121" s="731"/>
      <c r="N121" s="766"/>
      <c r="O121" s="216"/>
      <c r="P121" s="221">
        <v>0</v>
      </c>
      <c r="Q121" s="221">
        <v>0</v>
      </c>
      <c r="R121" s="221">
        <v>0</v>
      </c>
      <c r="S121" s="221">
        <v>0</v>
      </c>
      <c r="T121" s="229">
        <v>0</v>
      </c>
    </row>
    <row r="122" spans="1:20" hidden="1" outlineLevel="1">
      <c r="A122" s="213" t="s">
        <v>57</v>
      </c>
      <c r="B122" s="227" t="s">
        <v>69</v>
      </c>
      <c r="C122" s="734">
        <v>0</v>
      </c>
      <c r="D122" s="734">
        <v>0</v>
      </c>
      <c r="E122" s="734">
        <v>0</v>
      </c>
      <c r="F122" s="734">
        <v>0</v>
      </c>
      <c r="G122" s="733">
        <v>0</v>
      </c>
      <c r="H122" s="206"/>
      <c r="I122" s="733"/>
      <c r="J122" s="733"/>
      <c r="K122" s="733"/>
      <c r="L122" s="733"/>
      <c r="M122" s="733"/>
      <c r="N122" s="719"/>
      <c r="O122" s="216"/>
      <c r="P122" s="221"/>
      <c r="Q122" s="221"/>
      <c r="R122" s="221"/>
      <c r="S122" s="215"/>
      <c r="T122" s="229"/>
    </row>
    <row r="123" spans="1:20" hidden="1" outlineLevel="1">
      <c r="A123" s="213" t="s">
        <v>58</v>
      </c>
      <c r="B123" s="227" t="s">
        <v>69</v>
      </c>
      <c r="C123" s="732"/>
      <c r="D123" s="732"/>
      <c r="E123" s="732"/>
      <c r="F123" s="732"/>
      <c r="G123" s="733">
        <v>0</v>
      </c>
      <c r="H123" s="206"/>
      <c r="I123" s="733"/>
      <c r="J123" s="733"/>
      <c r="K123" s="733"/>
      <c r="L123" s="733"/>
      <c r="M123" s="733"/>
      <c r="N123" s="719"/>
      <c r="O123" s="216"/>
      <c r="P123" s="221"/>
      <c r="Q123" s="221"/>
      <c r="R123" s="221"/>
      <c r="S123" s="215"/>
      <c r="T123" s="229"/>
    </row>
    <row r="124" spans="1:20" hidden="1" outlineLevel="1">
      <c r="A124" s="213" t="s">
        <v>60</v>
      </c>
      <c r="B124" s="227" t="s">
        <v>69</v>
      </c>
      <c r="C124" s="732"/>
      <c r="D124" s="732"/>
      <c r="E124" s="732"/>
      <c r="F124" s="732"/>
      <c r="G124" s="733">
        <v>0</v>
      </c>
      <c r="H124" s="206"/>
      <c r="I124" s="733"/>
      <c r="J124" s="733"/>
      <c r="K124" s="733"/>
      <c r="L124" s="733"/>
      <c r="M124" s="733"/>
      <c r="N124" s="719"/>
      <c r="O124" s="216"/>
      <c r="P124" s="221"/>
      <c r="Q124" s="221"/>
      <c r="R124" s="221"/>
      <c r="S124" s="215"/>
      <c r="T124" s="229"/>
    </row>
    <row r="125" spans="1:20" collapsed="1">
      <c r="A125" s="208" t="s">
        <v>90</v>
      </c>
      <c r="B125" s="227" t="s">
        <v>66</v>
      </c>
      <c r="C125" s="730">
        <v>237010</v>
      </c>
      <c r="D125" s="730">
        <v>162010</v>
      </c>
      <c r="E125" s="730">
        <v>162010</v>
      </c>
      <c r="F125" s="730">
        <v>162010</v>
      </c>
      <c r="G125" s="731">
        <v>723040</v>
      </c>
      <c r="H125" s="206"/>
      <c r="I125" s="723">
        <f>C125*(1-$O125)</f>
        <v>0</v>
      </c>
      <c r="J125" s="723">
        <f>D125*(1-$O125)</f>
        <v>0</v>
      </c>
      <c r="K125" s="723">
        <f t="shared" ref="K125" si="21">E125*(1-$O125)</f>
        <v>0</v>
      </c>
      <c r="L125" s="723">
        <f>F125*(1-$O125)</f>
        <v>0</v>
      </c>
      <c r="M125" s="723">
        <f>SUM(I125:L125)</f>
        <v>0</v>
      </c>
      <c r="N125" s="766"/>
      <c r="O125" s="220">
        <v>1</v>
      </c>
      <c r="P125" s="221">
        <v>237010</v>
      </c>
      <c r="Q125" s="221">
        <v>162010</v>
      </c>
      <c r="R125" s="221">
        <v>162010</v>
      </c>
      <c r="S125" s="221">
        <v>162010</v>
      </c>
      <c r="T125" s="229">
        <v>723040</v>
      </c>
    </row>
    <row r="126" spans="1:20" hidden="1" outlineLevel="1">
      <c r="A126" s="211" t="s">
        <v>56</v>
      </c>
      <c r="B126" s="227" t="s">
        <v>66</v>
      </c>
      <c r="C126" s="730">
        <v>0</v>
      </c>
      <c r="D126" s="730">
        <v>0</v>
      </c>
      <c r="E126" s="730">
        <v>0</v>
      </c>
      <c r="F126" s="730">
        <v>0</v>
      </c>
      <c r="G126" s="731">
        <v>0</v>
      </c>
      <c r="H126" s="206"/>
      <c r="I126" s="731"/>
      <c r="J126" s="731"/>
      <c r="K126" s="731"/>
      <c r="L126" s="731"/>
      <c r="M126" s="731"/>
      <c r="N126" s="766"/>
      <c r="O126" s="216"/>
      <c r="P126" s="221">
        <v>0</v>
      </c>
      <c r="Q126" s="221">
        <v>0</v>
      </c>
      <c r="R126" s="221">
        <v>0</v>
      </c>
      <c r="S126" s="221">
        <v>0</v>
      </c>
      <c r="T126" s="229">
        <v>0</v>
      </c>
    </row>
    <row r="127" spans="1:20" hidden="1" outlineLevel="1">
      <c r="A127" s="213" t="s">
        <v>57</v>
      </c>
      <c r="B127" s="227" t="s">
        <v>66</v>
      </c>
      <c r="C127" s="732"/>
      <c r="D127" s="732"/>
      <c r="E127" s="732"/>
      <c r="F127" s="732"/>
      <c r="G127" s="733">
        <v>0</v>
      </c>
      <c r="H127" s="206"/>
      <c r="I127" s="733"/>
      <c r="J127" s="733"/>
      <c r="K127" s="733"/>
      <c r="L127" s="733"/>
      <c r="M127" s="733"/>
      <c r="N127" s="719"/>
      <c r="O127" s="216"/>
      <c r="P127" s="221"/>
      <c r="Q127" s="221"/>
      <c r="R127" s="221"/>
      <c r="S127" s="215"/>
      <c r="T127" s="229"/>
    </row>
    <row r="128" spans="1:20" hidden="1" outlineLevel="1">
      <c r="A128" s="213" t="s">
        <v>58</v>
      </c>
      <c r="B128" s="227" t="s">
        <v>66</v>
      </c>
      <c r="C128" s="732"/>
      <c r="D128" s="732"/>
      <c r="E128" s="732"/>
      <c r="F128" s="732"/>
      <c r="G128" s="733">
        <v>0</v>
      </c>
      <c r="H128" s="206"/>
      <c r="I128" s="733"/>
      <c r="J128" s="733"/>
      <c r="K128" s="733"/>
      <c r="L128" s="733"/>
      <c r="M128" s="733"/>
      <c r="N128" s="719"/>
      <c r="O128" s="216"/>
      <c r="P128" s="221"/>
      <c r="Q128" s="221"/>
      <c r="R128" s="221"/>
      <c r="S128" s="215"/>
      <c r="T128" s="229"/>
    </row>
    <row r="129" spans="1:20" hidden="1" outlineLevel="1">
      <c r="A129" s="213" t="s">
        <v>59</v>
      </c>
      <c r="B129" s="227" t="s">
        <v>66</v>
      </c>
      <c r="C129" s="732"/>
      <c r="D129" s="732"/>
      <c r="E129" s="732"/>
      <c r="F129" s="732"/>
      <c r="G129" s="733">
        <v>0</v>
      </c>
      <c r="H129" s="206"/>
      <c r="I129" s="733"/>
      <c r="J129" s="733"/>
      <c r="K129" s="733"/>
      <c r="L129" s="733"/>
      <c r="M129" s="733"/>
      <c r="N129" s="719"/>
      <c r="O129" s="216"/>
      <c r="P129" s="221"/>
      <c r="Q129" s="221"/>
      <c r="R129" s="221"/>
      <c r="S129" s="215"/>
      <c r="T129" s="229"/>
    </row>
    <row r="130" spans="1:20" hidden="1" outlineLevel="1">
      <c r="A130" s="213" t="s">
        <v>60</v>
      </c>
      <c r="B130" s="227" t="s">
        <v>66</v>
      </c>
      <c r="C130" s="732"/>
      <c r="D130" s="732"/>
      <c r="E130" s="732"/>
      <c r="F130" s="732"/>
      <c r="G130" s="733">
        <v>0</v>
      </c>
      <c r="H130" s="206"/>
      <c r="I130" s="733"/>
      <c r="J130" s="733"/>
      <c r="K130" s="733"/>
      <c r="L130" s="733"/>
      <c r="M130" s="733"/>
      <c r="N130" s="719"/>
      <c r="O130" s="216"/>
      <c r="P130" s="221"/>
      <c r="Q130" s="221"/>
      <c r="R130" s="221"/>
      <c r="S130" s="215"/>
      <c r="T130" s="229"/>
    </row>
    <row r="131" spans="1:20" hidden="1" outlineLevel="1">
      <c r="A131" s="211" t="s">
        <v>61</v>
      </c>
      <c r="B131" s="227" t="s">
        <v>66</v>
      </c>
      <c r="C131" s="730">
        <v>237010</v>
      </c>
      <c r="D131" s="730">
        <v>162010</v>
      </c>
      <c r="E131" s="730">
        <v>162010</v>
      </c>
      <c r="F131" s="730">
        <v>162010</v>
      </c>
      <c r="G131" s="731">
        <v>723040</v>
      </c>
      <c r="H131" s="206"/>
      <c r="I131" s="731"/>
      <c r="J131" s="731"/>
      <c r="K131" s="731"/>
      <c r="L131" s="731"/>
      <c r="M131" s="731"/>
      <c r="N131" s="766"/>
      <c r="O131" s="216"/>
      <c r="P131" s="221">
        <v>237010</v>
      </c>
      <c r="Q131" s="221">
        <v>162010</v>
      </c>
      <c r="R131" s="221">
        <v>162010</v>
      </c>
      <c r="S131" s="221">
        <v>162010</v>
      </c>
      <c r="T131" s="229">
        <v>723040</v>
      </c>
    </row>
    <row r="132" spans="1:20" hidden="1" outlineLevel="1">
      <c r="A132" s="213" t="s">
        <v>57</v>
      </c>
      <c r="B132" s="227" t="s">
        <v>66</v>
      </c>
      <c r="C132" s="734">
        <v>162010</v>
      </c>
      <c r="D132" s="734">
        <v>162010</v>
      </c>
      <c r="E132" s="734">
        <v>162010</v>
      </c>
      <c r="F132" s="734">
        <v>162010</v>
      </c>
      <c r="G132" s="733">
        <v>648040</v>
      </c>
      <c r="H132" s="206"/>
      <c r="I132" s="733"/>
      <c r="J132" s="733"/>
      <c r="K132" s="733"/>
      <c r="L132" s="733"/>
      <c r="M132" s="733"/>
      <c r="N132" s="719"/>
      <c r="O132" s="216"/>
      <c r="P132" s="221"/>
      <c r="Q132" s="221"/>
      <c r="R132" s="221"/>
      <c r="S132" s="215"/>
      <c r="T132" s="229"/>
    </row>
    <row r="133" spans="1:20" hidden="1" outlineLevel="1">
      <c r="A133" s="213" t="s">
        <v>58</v>
      </c>
      <c r="B133" s="227" t="s">
        <v>66</v>
      </c>
      <c r="C133" s="732">
        <v>75000</v>
      </c>
      <c r="D133" s="732"/>
      <c r="E133" s="732"/>
      <c r="F133" s="732"/>
      <c r="G133" s="733">
        <v>75000</v>
      </c>
      <c r="H133" s="206"/>
      <c r="I133" s="733"/>
      <c r="J133" s="733"/>
      <c r="K133" s="733"/>
      <c r="L133" s="733"/>
      <c r="M133" s="733"/>
      <c r="N133" s="719"/>
      <c r="O133" s="216"/>
      <c r="P133" s="221"/>
      <c r="Q133" s="221"/>
      <c r="R133" s="221"/>
      <c r="S133" s="215"/>
      <c r="T133" s="229"/>
    </row>
    <row r="134" spans="1:20" hidden="1" outlineLevel="1">
      <c r="A134" s="213" t="s">
        <v>60</v>
      </c>
      <c r="B134" s="227" t="s">
        <v>66</v>
      </c>
      <c r="C134" s="732"/>
      <c r="D134" s="732"/>
      <c r="E134" s="732"/>
      <c r="F134" s="732"/>
      <c r="G134" s="733">
        <v>0</v>
      </c>
      <c r="H134" s="206"/>
      <c r="I134" s="733"/>
      <c r="J134" s="733"/>
      <c r="K134" s="733"/>
      <c r="L134" s="733"/>
      <c r="M134" s="733"/>
      <c r="N134" s="719"/>
      <c r="O134" s="216"/>
      <c r="P134" s="221"/>
      <c r="Q134" s="221"/>
      <c r="R134" s="221"/>
      <c r="S134" s="215"/>
      <c r="T134" s="229"/>
    </row>
    <row r="135" spans="1:20" collapsed="1">
      <c r="A135" s="208" t="s">
        <v>91</v>
      </c>
      <c r="B135" s="227" t="s">
        <v>66</v>
      </c>
      <c r="C135" s="730">
        <v>0</v>
      </c>
      <c r="D135" s="730">
        <v>0</v>
      </c>
      <c r="E135" s="730">
        <v>0</v>
      </c>
      <c r="F135" s="730">
        <v>0</v>
      </c>
      <c r="G135" s="731">
        <v>0</v>
      </c>
      <c r="H135" s="206"/>
      <c r="I135" s="723">
        <f>C135*(1-$O135)</f>
        <v>0</v>
      </c>
      <c r="J135" s="723">
        <f>D135*(1-$O135)</f>
        <v>0</v>
      </c>
      <c r="K135" s="723">
        <f t="shared" ref="K135" si="22">E135*(1-$O135)</f>
        <v>0</v>
      </c>
      <c r="L135" s="723">
        <f>F135*(1-$O135)</f>
        <v>0</v>
      </c>
      <c r="M135" s="723">
        <f>SUM(I135:L135)</f>
        <v>0</v>
      </c>
      <c r="N135" s="766"/>
      <c r="O135" s="220">
        <v>0</v>
      </c>
      <c r="P135" s="221">
        <v>0</v>
      </c>
      <c r="Q135" s="221">
        <v>0</v>
      </c>
      <c r="R135" s="221">
        <v>0</v>
      </c>
      <c r="S135" s="221">
        <v>0</v>
      </c>
      <c r="T135" s="229">
        <v>0</v>
      </c>
    </row>
    <row r="136" spans="1:20" hidden="1" outlineLevel="1">
      <c r="A136" s="211" t="s">
        <v>56</v>
      </c>
      <c r="B136" s="227" t="s">
        <v>66</v>
      </c>
      <c r="C136" s="730">
        <v>0</v>
      </c>
      <c r="D136" s="730">
        <v>0</v>
      </c>
      <c r="E136" s="730">
        <v>0</v>
      </c>
      <c r="F136" s="730">
        <v>0</v>
      </c>
      <c r="G136" s="731">
        <v>0</v>
      </c>
      <c r="H136" s="206"/>
      <c r="I136" s="731"/>
      <c r="J136" s="731"/>
      <c r="K136" s="731"/>
      <c r="L136" s="731"/>
      <c r="M136" s="731"/>
      <c r="N136" s="766"/>
      <c r="O136" s="216"/>
      <c r="P136" s="221">
        <v>0</v>
      </c>
      <c r="Q136" s="221">
        <v>0</v>
      </c>
      <c r="R136" s="221">
        <v>0</v>
      </c>
      <c r="S136" s="221">
        <v>0</v>
      </c>
      <c r="T136" s="229">
        <v>0</v>
      </c>
    </row>
    <row r="137" spans="1:20" hidden="1" outlineLevel="1">
      <c r="A137" s="213" t="s">
        <v>57</v>
      </c>
      <c r="B137" s="227" t="s">
        <v>66</v>
      </c>
      <c r="C137" s="732"/>
      <c r="D137" s="732"/>
      <c r="E137" s="732"/>
      <c r="F137" s="732"/>
      <c r="G137" s="733">
        <v>0</v>
      </c>
      <c r="H137" s="206"/>
      <c r="I137" s="733"/>
      <c r="J137" s="733"/>
      <c r="K137" s="733"/>
      <c r="L137" s="733"/>
      <c r="M137" s="733"/>
      <c r="N137" s="719"/>
      <c r="O137" s="216"/>
      <c r="P137" s="221"/>
      <c r="Q137" s="221"/>
      <c r="R137" s="221"/>
      <c r="S137" s="215"/>
      <c r="T137" s="229"/>
    </row>
    <row r="138" spans="1:20" hidden="1" outlineLevel="1">
      <c r="A138" s="213" t="s">
        <v>58</v>
      </c>
      <c r="B138" s="227" t="s">
        <v>66</v>
      </c>
      <c r="C138" s="732"/>
      <c r="D138" s="732"/>
      <c r="E138" s="732"/>
      <c r="F138" s="732"/>
      <c r="G138" s="733">
        <v>0</v>
      </c>
      <c r="H138" s="206"/>
      <c r="I138" s="733"/>
      <c r="J138" s="733"/>
      <c r="K138" s="733"/>
      <c r="L138" s="733"/>
      <c r="M138" s="733"/>
      <c r="N138" s="719"/>
      <c r="O138" s="216"/>
      <c r="P138" s="221"/>
      <c r="Q138" s="221"/>
      <c r="R138" s="221"/>
      <c r="S138" s="215"/>
      <c r="T138" s="229"/>
    </row>
    <row r="139" spans="1:20" hidden="1" outlineLevel="1">
      <c r="A139" s="213" t="s">
        <v>59</v>
      </c>
      <c r="B139" s="227" t="s">
        <v>66</v>
      </c>
      <c r="C139" s="732"/>
      <c r="D139" s="732"/>
      <c r="E139" s="732"/>
      <c r="F139" s="732"/>
      <c r="G139" s="733">
        <v>0</v>
      </c>
      <c r="H139" s="206"/>
      <c r="I139" s="733"/>
      <c r="J139" s="733"/>
      <c r="K139" s="733"/>
      <c r="L139" s="733"/>
      <c r="M139" s="733"/>
      <c r="N139" s="719"/>
      <c r="O139" s="216"/>
      <c r="P139" s="221"/>
      <c r="Q139" s="221"/>
      <c r="R139" s="221"/>
      <c r="S139" s="215"/>
      <c r="T139" s="229"/>
    </row>
    <row r="140" spans="1:20" hidden="1" outlineLevel="1">
      <c r="A140" s="213" t="s">
        <v>60</v>
      </c>
      <c r="B140" s="227" t="s">
        <v>66</v>
      </c>
      <c r="C140" s="732"/>
      <c r="D140" s="732"/>
      <c r="E140" s="732"/>
      <c r="F140" s="732"/>
      <c r="G140" s="733">
        <v>0</v>
      </c>
      <c r="H140" s="206"/>
      <c r="I140" s="733"/>
      <c r="J140" s="733"/>
      <c r="K140" s="733"/>
      <c r="L140" s="733"/>
      <c r="M140" s="733"/>
      <c r="N140" s="719"/>
      <c r="O140" s="216"/>
      <c r="P140" s="221"/>
      <c r="Q140" s="221"/>
      <c r="R140" s="221"/>
      <c r="S140" s="215"/>
      <c r="T140" s="229"/>
    </row>
    <row r="141" spans="1:20" hidden="1" outlineLevel="1">
      <c r="A141" s="211" t="s">
        <v>61</v>
      </c>
      <c r="B141" s="227" t="s">
        <v>66</v>
      </c>
      <c r="C141" s="730">
        <v>0</v>
      </c>
      <c r="D141" s="730">
        <v>0</v>
      </c>
      <c r="E141" s="730">
        <v>0</v>
      </c>
      <c r="F141" s="730">
        <v>0</v>
      </c>
      <c r="G141" s="731">
        <v>0</v>
      </c>
      <c r="H141" s="206"/>
      <c r="I141" s="731"/>
      <c r="J141" s="731"/>
      <c r="K141" s="731"/>
      <c r="L141" s="731"/>
      <c r="M141" s="731"/>
      <c r="N141" s="766"/>
      <c r="O141" s="216"/>
      <c r="P141" s="221">
        <v>0</v>
      </c>
      <c r="Q141" s="221">
        <v>0</v>
      </c>
      <c r="R141" s="221">
        <v>0</v>
      </c>
      <c r="S141" s="221">
        <v>0</v>
      </c>
      <c r="T141" s="229">
        <v>0</v>
      </c>
    </row>
    <row r="142" spans="1:20" hidden="1" outlineLevel="1">
      <c r="A142" s="213" t="s">
        <v>57</v>
      </c>
      <c r="B142" s="227" t="s">
        <v>66</v>
      </c>
      <c r="C142" s="734">
        <v>0</v>
      </c>
      <c r="D142" s="734">
        <v>0</v>
      </c>
      <c r="E142" s="734">
        <v>0</v>
      </c>
      <c r="F142" s="734">
        <v>0</v>
      </c>
      <c r="G142" s="733">
        <v>0</v>
      </c>
      <c r="H142" s="206"/>
      <c r="I142" s="733"/>
      <c r="J142" s="733"/>
      <c r="K142" s="733"/>
      <c r="L142" s="733"/>
      <c r="M142" s="733"/>
      <c r="N142" s="719"/>
      <c r="O142" s="216"/>
      <c r="P142" s="221"/>
      <c r="Q142" s="221"/>
      <c r="R142" s="221"/>
      <c r="S142" s="215"/>
      <c r="T142" s="229"/>
    </row>
    <row r="143" spans="1:20" hidden="1" outlineLevel="1">
      <c r="A143" s="213" t="s">
        <v>58</v>
      </c>
      <c r="B143" s="227" t="s">
        <v>66</v>
      </c>
      <c r="C143" s="732"/>
      <c r="D143" s="732"/>
      <c r="E143" s="732"/>
      <c r="F143" s="732"/>
      <c r="G143" s="733">
        <v>0</v>
      </c>
      <c r="H143" s="206"/>
      <c r="I143" s="733"/>
      <c r="J143" s="733"/>
      <c r="K143" s="733"/>
      <c r="L143" s="733"/>
      <c r="M143" s="733"/>
      <c r="N143" s="719"/>
      <c r="O143" s="216"/>
      <c r="P143" s="221"/>
      <c r="Q143" s="221"/>
      <c r="R143" s="221"/>
      <c r="S143" s="215"/>
      <c r="T143" s="229"/>
    </row>
    <row r="144" spans="1:20" hidden="1" outlineLevel="1">
      <c r="A144" s="213" t="s">
        <v>60</v>
      </c>
      <c r="B144" s="227" t="s">
        <v>66</v>
      </c>
      <c r="C144" s="732"/>
      <c r="D144" s="732"/>
      <c r="E144" s="732"/>
      <c r="F144" s="732"/>
      <c r="G144" s="733">
        <v>0</v>
      </c>
      <c r="H144" s="206"/>
      <c r="I144" s="733"/>
      <c r="J144" s="733"/>
      <c r="K144" s="733"/>
      <c r="L144" s="733"/>
      <c r="M144" s="733"/>
      <c r="N144" s="719"/>
      <c r="O144" s="216"/>
      <c r="P144" s="221"/>
      <c r="Q144" s="221"/>
      <c r="R144" s="221"/>
      <c r="S144" s="215"/>
      <c r="T144" s="229"/>
    </row>
    <row r="145" spans="1:20" collapsed="1">
      <c r="A145" s="208" t="s">
        <v>93</v>
      </c>
      <c r="B145" s="227" t="s">
        <v>94</v>
      </c>
      <c r="C145" s="730">
        <v>162010</v>
      </c>
      <c r="D145" s="730">
        <v>412010</v>
      </c>
      <c r="E145" s="730">
        <v>162010</v>
      </c>
      <c r="F145" s="730">
        <v>162010</v>
      </c>
      <c r="G145" s="731">
        <v>898040</v>
      </c>
      <c r="H145" s="206"/>
      <c r="I145" s="723">
        <f>C145*(1-$O145)</f>
        <v>0</v>
      </c>
      <c r="J145" s="723">
        <f>D145*(1-$O145)</f>
        <v>0</v>
      </c>
      <c r="K145" s="723">
        <f t="shared" ref="K145" si="23">E145*(1-$O145)</f>
        <v>0</v>
      </c>
      <c r="L145" s="723">
        <f>F145*(1-$O145)</f>
        <v>0</v>
      </c>
      <c r="M145" s="723">
        <f>SUM(I145:L145)</f>
        <v>0</v>
      </c>
      <c r="N145" s="766"/>
      <c r="O145" s="220">
        <v>1</v>
      </c>
      <c r="P145" s="221">
        <v>162010</v>
      </c>
      <c r="Q145" s="221">
        <v>412010</v>
      </c>
      <c r="R145" s="221">
        <v>162010</v>
      </c>
      <c r="S145" s="221">
        <v>162010</v>
      </c>
      <c r="T145" s="229">
        <v>898040</v>
      </c>
    </row>
    <row r="146" spans="1:20" hidden="1" outlineLevel="1">
      <c r="A146" s="211" t="s">
        <v>56</v>
      </c>
      <c r="B146" s="227" t="s">
        <v>94</v>
      </c>
      <c r="C146" s="730">
        <v>0</v>
      </c>
      <c r="D146" s="730">
        <v>0</v>
      </c>
      <c r="E146" s="730">
        <v>0</v>
      </c>
      <c r="F146" s="730">
        <v>0</v>
      </c>
      <c r="G146" s="731">
        <v>0</v>
      </c>
      <c r="H146" s="206"/>
      <c r="I146" s="731"/>
      <c r="J146" s="731"/>
      <c r="K146" s="731"/>
      <c r="L146" s="731"/>
      <c r="M146" s="731"/>
      <c r="N146" s="766"/>
      <c r="O146" s="216"/>
      <c r="P146" s="221">
        <v>0</v>
      </c>
      <c r="Q146" s="221">
        <v>0</v>
      </c>
      <c r="R146" s="221">
        <v>0</v>
      </c>
      <c r="S146" s="221">
        <v>0</v>
      </c>
      <c r="T146" s="229">
        <v>0</v>
      </c>
    </row>
    <row r="147" spans="1:20" hidden="1" outlineLevel="1">
      <c r="A147" s="213" t="s">
        <v>57</v>
      </c>
      <c r="B147" s="227" t="s">
        <v>94</v>
      </c>
      <c r="C147" s="736"/>
      <c r="D147" s="732"/>
      <c r="E147" s="732"/>
      <c r="F147" s="732"/>
      <c r="G147" s="733">
        <v>0</v>
      </c>
      <c r="H147" s="206"/>
      <c r="I147" s="733"/>
      <c r="J147" s="733"/>
      <c r="K147" s="733"/>
      <c r="L147" s="733"/>
      <c r="M147" s="733"/>
      <c r="N147" s="719"/>
      <c r="O147" s="216"/>
      <c r="P147" s="221"/>
      <c r="Q147" s="221"/>
      <c r="R147" s="221"/>
      <c r="S147" s="215"/>
      <c r="T147" s="229"/>
    </row>
    <row r="148" spans="1:20" hidden="1" outlineLevel="1">
      <c r="A148" s="213" t="s">
        <v>58</v>
      </c>
      <c r="B148" s="227" t="s">
        <v>94</v>
      </c>
      <c r="C148" s="732"/>
      <c r="D148" s="732"/>
      <c r="E148" s="732"/>
      <c r="F148" s="732"/>
      <c r="G148" s="733">
        <v>0</v>
      </c>
      <c r="H148" s="206"/>
      <c r="I148" s="733"/>
      <c r="J148" s="733"/>
      <c r="K148" s="733"/>
      <c r="L148" s="733"/>
      <c r="M148" s="733"/>
      <c r="N148" s="719"/>
      <c r="O148" s="216"/>
      <c r="P148" s="221"/>
      <c r="Q148" s="221"/>
      <c r="R148" s="221"/>
      <c r="S148" s="215"/>
      <c r="T148" s="229"/>
    </row>
    <row r="149" spans="1:20" hidden="1" outlineLevel="1">
      <c r="A149" s="213" t="s">
        <v>59</v>
      </c>
      <c r="B149" s="227" t="s">
        <v>94</v>
      </c>
      <c r="C149" s="732"/>
      <c r="D149" s="732"/>
      <c r="E149" s="732"/>
      <c r="F149" s="732"/>
      <c r="G149" s="733">
        <v>0</v>
      </c>
      <c r="H149" s="206"/>
      <c r="I149" s="733"/>
      <c r="J149" s="733"/>
      <c r="K149" s="733"/>
      <c r="L149" s="733"/>
      <c r="M149" s="733"/>
      <c r="N149" s="719"/>
      <c r="O149" s="216"/>
      <c r="P149" s="221"/>
      <c r="Q149" s="221"/>
      <c r="R149" s="221"/>
      <c r="S149" s="215"/>
      <c r="T149" s="229"/>
    </row>
    <row r="150" spans="1:20" hidden="1" outlineLevel="1">
      <c r="A150" s="213" t="s">
        <v>60</v>
      </c>
      <c r="B150" s="227" t="s">
        <v>94</v>
      </c>
      <c r="C150" s="732"/>
      <c r="D150" s="732"/>
      <c r="E150" s="732"/>
      <c r="F150" s="732"/>
      <c r="G150" s="733">
        <v>0</v>
      </c>
      <c r="H150" s="206"/>
      <c r="I150" s="733"/>
      <c r="J150" s="733"/>
      <c r="K150" s="733"/>
      <c r="L150" s="733"/>
      <c r="M150" s="733"/>
      <c r="N150" s="719"/>
      <c r="O150" s="216"/>
      <c r="P150" s="221"/>
      <c r="Q150" s="221"/>
      <c r="R150" s="221"/>
      <c r="S150" s="215"/>
      <c r="T150" s="229"/>
    </row>
    <row r="151" spans="1:20" hidden="1" outlineLevel="1">
      <c r="A151" s="211" t="s">
        <v>61</v>
      </c>
      <c r="B151" s="227" t="s">
        <v>94</v>
      </c>
      <c r="C151" s="730">
        <v>162010</v>
      </c>
      <c r="D151" s="730">
        <v>412010</v>
      </c>
      <c r="E151" s="730">
        <v>162010</v>
      </c>
      <c r="F151" s="730">
        <v>162010</v>
      </c>
      <c r="G151" s="731">
        <v>898040</v>
      </c>
      <c r="H151" s="206"/>
      <c r="I151" s="731"/>
      <c r="J151" s="731"/>
      <c r="K151" s="731"/>
      <c r="L151" s="731"/>
      <c r="M151" s="731"/>
      <c r="N151" s="766"/>
      <c r="O151" s="216"/>
      <c r="P151" s="221">
        <v>162010</v>
      </c>
      <c r="Q151" s="221">
        <v>412010</v>
      </c>
      <c r="R151" s="221">
        <v>162010</v>
      </c>
      <c r="S151" s="221">
        <v>162010</v>
      </c>
      <c r="T151" s="229">
        <v>898040</v>
      </c>
    </row>
    <row r="152" spans="1:20" hidden="1" outlineLevel="1">
      <c r="A152" s="213" t="s">
        <v>57</v>
      </c>
      <c r="B152" s="227" t="s">
        <v>94</v>
      </c>
      <c r="C152" s="734">
        <v>162010</v>
      </c>
      <c r="D152" s="734">
        <v>162010</v>
      </c>
      <c r="E152" s="734">
        <v>162010</v>
      </c>
      <c r="F152" s="734">
        <v>162010</v>
      </c>
      <c r="G152" s="733">
        <v>648040</v>
      </c>
      <c r="H152" s="206"/>
      <c r="I152" s="733"/>
      <c r="J152" s="733"/>
      <c r="K152" s="733"/>
      <c r="L152" s="733"/>
      <c r="M152" s="733"/>
      <c r="N152" s="719"/>
      <c r="O152" s="216"/>
      <c r="P152" s="221"/>
      <c r="Q152" s="221"/>
      <c r="R152" s="221"/>
      <c r="S152" s="215"/>
      <c r="T152" s="229"/>
    </row>
    <row r="153" spans="1:20" hidden="1" outlineLevel="1">
      <c r="A153" s="213" t="s">
        <v>58</v>
      </c>
      <c r="B153" s="227" t="s">
        <v>94</v>
      </c>
      <c r="C153" s="732">
        <v>0</v>
      </c>
      <c r="D153" s="732">
        <v>250000</v>
      </c>
      <c r="E153" s="732"/>
      <c r="F153" s="732"/>
      <c r="G153" s="733">
        <v>250000</v>
      </c>
      <c r="H153" s="206"/>
      <c r="I153" s="733"/>
      <c r="J153" s="733"/>
      <c r="K153" s="733"/>
      <c r="L153" s="733"/>
      <c r="M153" s="733"/>
      <c r="N153" s="719"/>
      <c r="O153" s="216"/>
      <c r="P153" s="221"/>
      <c r="Q153" s="221"/>
      <c r="R153" s="221"/>
      <c r="S153" s="215"/>
      <c r="T153" s="229"/>
    </row>
    <row r="154" spans="1:20" hidden="1" outlineLevel="1">
      <c r="A154" s="213" t="s">
        <v>60</v>
      </c>
      <c r="B154" s="227" t="s">
        <v>94</v>
      </c>
      <c r="C154" s="732"/>
      <c r="D154" s="732"/>
      <c r="E154" s="732"/>
      <c r="F154" s="732"/>
      <c r="G154" s="733">
        <v>0</v>
      </c>
      <c r="H154" s="206"/>
      <c r="I154" s="733"/>
      <c r="J154" s="733"/>
      <c r="K154" s="733"/>
      <c r="L154" s="733"/>
      <c r="M154" s="733"/>
      <c r="N154" s="719"/>
      <c r="O154" s="216"/>
      <c r="P154" s="221"/>
      <c r="Q154" s="221"/>
      <c r="R154" s="221"/>
      <c r="S154" s="215"/>
      <c r="T154" s="229"/>
    </row>
    <row r="155" spans="1:20" collapsed="1">
      <c r="A155" s="208" t="s">
        <v>96</v>
      </c>
      <c r="B155" s="227" t="s">
        <v>94</v>
      </c>
      <c r="C155" s="730">
        <v>100000</v>
      </c>
      <c r="D155" s="730">
        <v>925710</v>
      </c>
      <c r="E155" s="730">
        <v>775710</v>
      </c>
      <c r="F155" s="730">
        <v>775710</v>
      </c>
      <c r="G155" s="731">
        <v>2577130</v>
      </c>
      <c r="H155" s="206"/>
      <c r="I155" s="723">
        <f>C155*(1-$O155)</f>
        <v>0</v>
      </c>
      <c r="J155" s="723">
        <f>D155*(1-$O155)</f>
        <v>0</v>
      </c>
      <c r="K155" s="723">
        <f t="shared" ref="K155" si="24">E155*(1-$O155)</f>
        <v>0</v>
      </c>
      <c r="L155" s="723">
        <f>F155*(1-$O155)</f>
        <v>0</v>
      </c>
      <c r="M155" s="723">
        <f>SUM(I155:L155)</f>
        <v>0</v>
      </c>
      <c r="N155" s="766"/>
      <c r="O155" s="220">
        <v>1</v>
      </c>
      <c r="P155" s="221">
        <v>100000</v>
      </c>
      <c r="Q155" s="221">
        <v>925710</v>
      </c>
      <c r="R155" s="221">
        <v>775710</v>
      </c>
      <c r="S155" s="221">
        <v>775710</v>
      </c>
      <c r="T155" s="229">
        <v>2577130</v>
      </c>
    </row>
    <row r="156" spans="1:20" hidden="1" outlineLevel="1">
      <c r="A156" s="211" t="s">
        <v>56</v>
      </c>
      <c r="B156" s="227" t="s">
        <v>94</v>
      </c>
      <c r="C156" s="730">
        <v>0</v>
      </c>
      <c r="D156" s="730">
        <v>0</v>
      </c>
      <c r="E156" s="730">
        <v>0</v>
      </c>
      <c r="F156" s="730">
        <v>0</v>
      </c>
      <c r="G156" s="731">
        <v>0</v>
      </c>
      <c r="H156" s="206"/>
      <c r="I156" s="731"/>
      <c r="J156" s="731"/>
      <c r="K156" s="731"/>
      <c r="L156" s="731"/>
      <c r="M156" s="731"/>
      <c r="N156" s="766"/>
      <c r="O156" s="216"/>
      <c r="P156" s="221">
        <v>0</v>
      </c>
      <c r="Q156" s="221">
        <v>0</v>
      </c>
      <c r="R156" s="221">
        <v>0</v>
      </c>
      <c r="S156" s="221">
        <v>0</v>
      </c>
      <c r="T156" s="229">
        <v>0</v>
      </c>
    </row>
    <row r="157" spans="1:20" hidden="1" outlineLevel="1">
      <c r="A157" s="213" t="s">
        <v>57</v>
      </c>
      <c r="B157" s="227" t="s">
        <v>94</v>
      </c>
      <c r="C157" s="732"/>
      <c r="D157" s="732"/>
      <c r="E157" s="732"/>
      <c r="F157" s="732"/>
      <c r="G157" s="733">
        <v>0</v>
      </c>
      <c r="H157" s="206"/>
      <c r="I157" s="733"/>
      <c r="J157" s="733"/>
      <c r="K157" s="733"/>
      <c r="L157" s="733"/>
      <c r="M157" s="733"/>
      <c r="N157" s="719"/>
      <c r="O157" s="216"/>
      <c r="P157" s="221"/>
      <c r="Q157" s="221"/>
      <c r="R157" s="221"/>
      <c r="S157" s="215"/>
      <c r="T157" s="229"/>
    </row>
    <row r="158" spans="1:20" hidden="1" outlineLevel="1">
      <c r="A158" s="213" t="s">
        <v>58</v>
      </c>
      <c r="B158" s="227" t="s">
        <v>94</v>
      </c>
      <c r="C158" s="732"/>
      <c r="D158" s="732"/>
      <c r="E158" s="732"/>
      <c r="F158" s="732"/>
      <c r="G158" s="733">
        <v>0</v>
      </c>
      <c r="H158" s="206"/>
      <c r="I158" s="733"/>
      <c r="J158" s="733"/>
      <c r="K158" s="733"/>
      <c r="L158" s="733"/>
      <c r="M158" s="733"/>
      <c r="N158" s="719"/>
      <c r="O158" s="216"/>
      <c r="P158" s="221"/>
      <c r="Q158" s="221"/>
      <c r="R158" s="221"/>
      <c r="S158" s="215"/>
      <c r="T158" s="229"/>
    </row>
    <row r="159" spans="1:20" hidden="1" outlineLevel="1">
      <c r="A159" s="213" t="s">
        <v>59</v>
      </c>
      <c r="B159" s="227" t="s">
        <v>94</v>
      </c>
      <c r="C159" s="732"/>
      <c r="D159" s="732"/>
      <c r="E159" s="732"/>
      <c r="F159" s="732"/>
      <c r="G159" s="733">
        <v>0</v>
      </c>
      <c r="H159" s="206"/>
      <c r="I159" s="733"/>
      <c r="J159" s="733"/>
      <c r="K159" s="733"/>
      <c r="L159" s="733"/>
      <c r="M159" s="733"/>
      <c r="N159" s="719"/>
      <c r="O159" s="216"/>
      <c r="P159" s="221"/>
      <c r="Q159" s="221"/>
      <c r="R159" s="221"/>
      <c r="S159" s="215"/>
      <c r="T159" s="229"/>
    </row>
    <row r="160" spans="1:20" hidden="1" outlineLevel="1">
      <c r="A160" s="213" t="s">
        <v>60</v>
      </c>
      <c r="B160" s="227" t="s">
        <v>94</v>
      </c>
      <c r="C160" s="732"/>
      <c r="D160" s="732"/>
      <c r="E160" s="732"/>
      <c r="F160" s="732"/>
      <c r="G160" s="733">
        <v>0</v>
      </c>
      <c r="H160" s="206"/>
      <c r="I160" s="733"/>
      <c r="J160" s="733"/>
      <c r="K160" s="733"/>
      <c r="L160" s="733"/>
      <c r="M160" s="733"/>
      <c r="N160" s="719"/>
      <c r="O160" s="216"/>
      <c r="P160" s="221"/>
      <c r="Q160" s="221"/>
      <c r="R160" s="221"/>
      <c r="S160" s="215"/>
      <c r="T160" s="229"/>
    </row>
    <row r="161" spans="1:20" hidden="1" outlineLevel="1">
      <c r="A161" s="211" t="s">
        <v>61</v>
      </c>
      <c r="B161" s="227" t="s">
        <v>94</v>
      </c>
      <c r="C161" s="730">
        <v>100000</v>
      </c>
      <c r="D161" s="730">
        <v>925710</v>
      </c>
      <c r="E161" s="730">
        <v>775710</v>
      </c>
      <c r="F161" s="730">
        <v>775710</v>
      </c>
      <c r="G161" s="731">
        <v>2577130</v>
      </c>
      <c r="H161" s="206"/>
      <c r="I161" s="731"/>
      <c r="J161" s="731"/>
      <c r="K161" s="731"/>
      <c r="L161" s="731"/>
      <c r="M161" s="731"/>
      <c r="N161" s="766"/>
      <c r="O161" s="216"/>
      <c r="P161" s="221">
        <v>100000</v>
      </c>
      <c r="Q161" s="221">
        <v>925710</v>
      </c>
      <c r="R161" s="221">
        <v>775710</v>
      </c>
      <c r="S161" s="221">
        <v>775710</v>
      </c>
      <c r="T161" s="229">
        <v>2577130</v>
      </c>
    </row>
    <row r="162" spans="1:20" hidden="1" outlineLevel="1">
      <c r="A162" s="213" t="s">
        <v>57</v>
      </c>
      <c r="B162" s="227" t="s">
        <v>94</v>
      </c>
      <c r="C162" s="734">
        <v>0</v>
      </c>
      <c r="D162" s="734">
        <v>775710</v>
      </c>
      <c r="E162" s="734">
        <v>775710</v>
      </c>
      <c r="F162" s="734">
        <v>775710</v>
      </c>
      <c r="G162" s="733">
        <v>2327130</v>
      </c>
      <c r="H162" s="206"/>
      <c r="I162" s="733"/>
      <c r="J162" s="733"/>
      <c r="K162" s="733"/>
      <c r="L162" s="733"/>
      <c r="M162" s="733"/>
      <c r="N162" s="719"/>
      <c r="O162" s="216"/>
      <c r="P162" s="221"/>
      <c r="Q162" s="221"/>
      <c r="R162" s="221"/>
      <c r="S162" s="215"/>
      <c r="T162" s="229"/>
    </row>
    <row r="163" spans="1:20" hidden="1" outlineLevel="1">
      <c r="A163" s="213" t="s">
        <v>58</v>
      </c>
      <c r="B163" s="227" t="s">
        <v>94</v>
      </c>
      <c r="C163" s="732">
        <v>100000</v>
      </c>
      <c r="D163" s="732">
        <v>150000</v>
      </c>
      <c r="E163" s="732"/>
      <c r="F163" s="732"/>
      <c r="G163" s="733">
        <v>250000</v>
      </c>
      <c r="H163" s="206"/>
      <c r="I163" s="733"/>
      <c r="J163" s="733"/>
      <c r="K163" s="733"/>
      <c r="L163" s="733"/>
      <c r="M163" s="733"/>
      <c r="N163" s="719"/>
      <c r="O163" s="216"/>
      <c r="P163" s="221"/>
      <c r="Q163" s="221"/>
      <c r="R163" s="221"/>
      <c r="S163" s="215"/>
      <c r="T163" s="229"/>
    </row>
    <row r="164" spans="1:20" hidden="1" outlineLevel="1">
      <c r="A164" s="213" t="s">
        <v>60</v>
      </c>
      <c r="B164" s="227" t="s">
        <v>94</v>
      </c>
      <c r="C164" s="732"/>
      <c r="D164" s="732"/>
      <c r="E164" s="732"/>
      <c r="F164" s="732"/>
      <c r="G164" s="733">
        <v>0</v>
      </c>
      <c r="H164" s="206"/>
      <c r="I164" s="733"/>
      <c r="J164" s="733"/>
      <c r="K164" s="733"/>
      <c r="L164" s="733"/>
      <c r="M164" s="733"/>
      <c r="N164" s="719"/>
      <c r="O164" s="216"/>
      <c r="P164" s="221"/>
      <c r="Q164" s="221"/>
      <c r="R164" s="221"/>
      <c r="S164" s="215"/>
      <c r="T164" s="229"/>
    </row>
    <row r="165" spans="1:20" collapsed="1">
      <c r="A165" s="208" t="s">
        <v>98</v>
      </c>
      <c r="B165" s="227" t="s">
        <v>94</v>
      </c>
      <c r="C165" s="730">
        <v>100000</v>
      </c>
      <c r="D165" s="730">
        <v>640960</v>
      </c>
      <c r="E165" s="730">
        <v>490960</v>
      </c>
      <c r="F165" s="730">
        <v>490960</v>
      </c>
      <c r="G165" s="731">
        <v>1722880</v>
      </c>
      <c r="H165" s="206"/>
      <c r="I165" s="723">
        <f>C165*(1-$O165)</f>
        <v>0</v>
      </c>
      <c r="J165" s="723">
        <f>D165*(1-$O165)</f>
        <v>0</v>
      </c>
      <c r="K165" s="723">
        <f t="shared" ref="K165" si="25">E165*(1-$O165)</f>
        <v>0</v>
      </c>
      <c r="L165" s="723">
        <f>F165*(1-$O165)</f>
        <v>0</v>
      </c>
      <c r="M165" s="723">
        <f>SUM(I165:L165)</f>
        <v>0</v>
      </c>
      <c r="N165" s="766"/>
      <c r="O165" s="220">
        <v>1</v>
      </c>
      <c r="P165" s="221">
        <v>100000</v>
      </c>
      <c r="Q165" s="221">
        <v>640960</v>
      </c>
      <c r="R165" s="221">
        <v>490960</v>
      </c>
      <c r="S165" s="221">
        <v>490960</v>
      </c>
      <c r="T165" s="229">
        <v>1722880</v>
      </c>
    </row>
    <row r="166" spans="1:20" hidden="1" outlineLevel="1">
      <c r="A166" s="211" t="s">
        <v>56</v>
      </c>
      <c r="B166" s="227" t="s">
        <v>94</v>
      </c>
      <c r="C166" s="730">
        <v>0</v>
      </c>
      <c r="D166" s="730">
        <v>0</v>
      </c>
      <c r="E166" s="730">
        <v>0</v>
      </c>
      <c r="F166" s="730">
        <v>0</v>
      </c>
      <c r="G166" s="731">
        <v>0</v>
      </c>
      <c r="H166" s="206"/>
      <c r="I166" s="731"/>
      <c r="J166" s="731"/>
      <c r="K166" s="731"/>
      <c r="L166" s="731"/>
      <c r="M166" s="731"/>
      <c r="N166" s="766"/>
      <c r="O166" s="216"/>
      <c r="P166" s="221">
        <v>0</v>
      </c>
      <c r="Q166" s="221">
        <v>0</v>
      </c>
      <c r="R166" s="221">
        <v>0</v>
      </c>
      <c r="S166" s="221">
        <v>0</v>
      </c>
      <c r="T166" s="229">
        <v>0</v>
      </c>
    </row>
    <row r="167" spans="1:20" hidden="1" outlineLevel="1">
      <c r="A167" s="213" t="s">
        <v>57</v>
      </c>
      <c r="B167" s="227" t="s">
        <v>94</v>
      </c>
      <c r="C167" s="732"/>
      <c r="D167" s="732"/>
      <c r="E167" s="732"/>
      <c r="F167" s="732"/>
      <c r="G167" s="733">
        <v>0</v>
      </c>
      <c r="H167" s="206"/>
      <c r="I167" s="733"/>
      <c r="J167" s="733"/>
      <c r="K167" s="733"/>
      <c r="L167" s="733"/>
      <c r="M167" s="733"/>
      <c r="N167" s="719"/>
      <c r="O167" s="216"/>
      <c r="P167" s="221"/>
      <c r="Q167" s="221"/>
      <c r="R167" s="221"/>
      <c r="S167" s="215"/>
      <c r="T167" s="229"/>
    </row>
    <row r="168" spans="1:20" hidden="1" outlineLevel="1">
      <c r="A168" s="213" t="s">
        <v>58</v>
      </c>
      <c r="B168" s="227" t="s">
        <v>94</v>
      </c>
      <c r="C168" s="732"/>
      <c r="D168" s="732"/>
      <c r="E168" s="732"/>
      <c r="F168" s="732"/>
      <c r="G168" s="733">
        <v>0</v>
      </c>
      <c r="H168" s="206"/>
      <c r="I168" s="733"/>
      <c r="J168" s="733"/>
      <c r="K168" s="733"/>
      <c r="L168" s="733"/>
      <c r="M168" s="733"/>
      <c r="N168" s="719"/>
      <c r="O168" s="216"/>
      <c r="P168" s="221"/>
      <c r="Q168" s="221"/>
      <c r="R168" s="221"/>
      <c r="S168" s="215"/>
      <c r="T168" s="229"/>
    </row>
    <row r="169" spans="1:20" hidden="1" outlineLevel="1">
      <c r="A169" s="213" t="s">
        <v>59</v>
      </c>
      <c r="B169" s="227" t="s">
        <v>94</v>
      </c>
      <c r="C169" s="732"/>
      <c r="D169" s="732"/>
      <c r="E169" s="732"/>
      <c r="F169" s="732"/>
      <c r="G169" s="733">
        <v>0</v>
      </c>
      <c r="H169" s="206"/>
      <c r="I169" s="733"/>
      <c r="J169" s="733"/>
      <c r="K169" s="733"/>
      <c r="L169" s="733"/>
      <c r="M169" s="733"/>
      <c r="N169" s="719"/>
      <c r="O169" s="216"/>
      <c r="P169" s="221"/>
      <c r="Q169" s="221"/>
      <c r="R169" s="221"/>
      <c r="S169" s="215"/>
      <c r="T169" s="229"/>
    </row>
    <row r="170" spans="1:20" hidden="1" outlineLevel="1">
      <c r="A170" s="213" t="s">
        <v>60</v>
      </c>
      <c r="B170" s="227" t="s">
        <v>94</v>
      </c>
      <c r="C170" s="732"/>
      <c r="D170" s="732"/>
      <c r="E170" s="732"/>
      <c r="F170" s="732"/>
      <c r="G170" s="733">
        <v>0</v>
      </c>
      <c r="H170" s="206"/>
      <c r="I170" s="733"/>
      <c r="J170" s="733"/>
      <c r="K170" s="733"/>
      <c r="L170" s="733"/>
      <c r="M170" s="733"/>
      <c r="N170" s="719"/>
      <c r="O170" s="216"/>
      <c r="P170" s="221"/>
      <c r="Q170" s="221"/>
      <c r="R170" s="221"/>
      <c r="S170" s="215"/>
      <c r="T170" s="229"/>
    </row>
    <row r="171" spans="1:20" hidden="1" outlineLevel="1">
      <c r="A171" s="211" t="s">
        <v>61</v>
      </c>
      <c r="B171" s="227" t="s">
        <v>94</v>
      </c>
      <c r="C171" s="730">
        <v>100000</v>
      </c>
      <c r="D171" s="730">
        <v>640960</v>
      </c>
      <c r="E171" s="730">
        <v>490960</v>
      </c>
      <c r="F171" s="730">
        <v>490960</v>
      </c>
      <c r="G171" s="731">
        <v>1722880</v>
      </c>
      <c r="H171" s="206"/>
      <c r="I171" s="731"/>
      <c r="J171" s="731"/>
      <c r="K171" s="731"/>
      <c r="L171" s="731"/>
      <c r="M171" s="731"/>
      <c r="N171" s="766"/>
      <c r="O171" s="216"/>
      <c r="P171" s="221">
        <v>100000</v>
      </c>
      <c r="Q171" s="221">
        <v>640960</v>
      </c>
      <c r="R171" s="221">
        <v>490960</v>
      </c>
      <c r="S171" s="221">
        <v>490960</v>
      </c>
      <c r="T171" s="229">
        <v>1722880</v>
      </c>
    </row>
    <row r="172" spans="1:20" hidden="1" outlineLevel="1">
      <c r="A172" s="213" t="s">
        <v>57</v>
      </c>
      <c r="B172" s="227" t="s">
        <v>94</v>
      </c>
      <c r="C172" s="734">
        <v>0</v>
      </c>
      <c r="D172" s="734">
        <v>490960</v>
      </c>
      <c r="E172" s="734">
        <v>490960</v>
      </c>
      <c r="F172" s="734">
        <v>490960</v>
      </c>
      <c r="G172" s="733">
        <v>1472880</v>
      </c>
      <c r="H172" s="206"/>
      <c r="I172" s="733"/>
      <c r="J172" s="733"/>
      <c r="K172" s="733"/>
      <c r="L172" s="733"/>
      <c r="M172" s="733"/>
      <c r="N172" s="719"/>
      <c r="O172" s="216"/>
      <c r="P172" s="221"/>
      <c r="Q172" s="221"/>
      <c r="R172" s="221"/>
      <c r="S172" s="215"/>
      <c r="T172" s="229"/>
    </row>
    <row r="173" spans="1:20" hidden="1" outlineLevel="1">
      <c r="A173" s="213" t="s">
        <v>58</v>
      </c>
      <c r="B173" s="227" t="s">
        <v>94</v>
      </c>
      <c r="C173" s="732">
        <v>100000</v>
      </c>
      <c r="D173" s="732">
        <v>150000</v>
      </c>
      <c r="E173" s="732"/>
      <c r="F173" s="732"/>
      <c r="G173" s="733">
        <v>250000</v>
      </c>
      <c r="H173" s="206"/>
      <c r="I173" s="733"/>
      <c r="J173" s="733"/>
      <c r="K173" s="733"/>
      <c r="L173" s="733"/>
      <c r="M173" s="733"/>
      <c r="N173" s="719"/>
      <c r="O173" s="216"/>
      <c r="P173" s="221"/>
      <c r="Q173" s="221"/>
      <c r="R173" s="221"/>
      <c r="S173" s="215"/>
      <c r="T173" s="229"/>
    </row>
    <row r="174" spans="1:20" hidden="1" outlineLevel="1">
      <c r="A174" s="213" t="s">
        <v>60</v>
      </c>
      <c r="B174" s="227" t="s">
        <v>94</v>
      </c>
      <c r="C174" s="732"/>
      <c r="D174" s="732"/>
      <c r="E174" s="732"/>
      <c r="F174" s="732"/>
      <c r="G174" s="733">
        <v>0</v>
      </c>
      <c r="H174" s="206"/>
      <c r="I174" s="733"/>
      <c r="J174" s="733"/>
      <c r="K174" s="733"/>
      <c r="L174" s="733"/>
      <c r="M174" s="733"/>
      <c r="N174" s="719"/>
      <c r="O174" s="216"/>
      <c r="P174" s="221"/>
      <c r="Q174" s="221"/>
      <c r="R174" s="221"/>
      <c r="S174" s="215"/>
      <c r="T174" s="229"/>
    </row>
    <row r="175" spans="1:20" collapsed="1">
      <c r="A175" s="208" t="s">
        <v>100</v>
      </c>
      <c r="B175" s="227" t="s">
        <v>94</v>
      </c>
      <c r="C175" s="730">
        <v>4356510</v>
      </c>
      <c r="D175" s="730">
        <v>4356510</v>
      </c>
      <c r="E175" s="730">
        <v>455260</v>
      </c>
      <c r="F175" s="730">
        <v>455260</v>
      </c>
      <c r="G175" s="731">
        <v>9623540</v>
      </c>
      <c r="H175" s="206"/>
      <c r="I175" s="723">
        <f>C175*(1-$O175)</f>
        <v>0</v>
      </c>
      <c r="J175" s="723">
        <f>D175*(1-$O175)</f>
        <v>0</v>
      </c>
      <c r="K175" s="723">
        <f t="shared" ref="K175" si="26">E175*(1-$O175)</f>
        <v>0</v>
      </c>
      <c r="L175" s="723">
        <f>F175*(1-$O175)</f>
        <v>0</v>
      </c>
      <c r="M175" s="723">
        <f>SUM(I175:L175)</f>
        <v>0</v>
      </c>
      <c r="N175" s="206"/>
      <c r="O175" s="222">
        <v>1</v>
      </c>
      <c r="P175" s="221">
        <v>4356510</v>
      </c>
      <c r="Q175" s="221">
        <v>4356510</v>
      </c>
      <c r="R175" s="221">
        <v>455260</v>
      </c>
      <c r="S175" s="221">
        <v>455260</v>
      </c>
      <c r="T175" s="229">
        <v>9623540</v>
      </c>
    </row>
    <row r="176" spans="1:20" hidden="1" outlineLevel="1">
      <c r="A176" s="211" t="s">
        <v>56</v>
      </c>
      <c r="B176" s="227" t="s">
        <v>94</v>
      </c>
      <c r="C176" s="738">
        <v>3901250</v>
      </c>
      <c r="D176" s="738">
        <v>3901250</v>
      </c>
      <c r="E176" s="737">
        <v>0</v>
      </c>
      <c r="F176" s="737">
        <v>0</v>
      </c>
      <c r="G176" s="731">
        <v>7802500</v>
      </c>
      <c r="H176" s="206"/>
      <c r="I176" s="731"/>
      <c r="J176" s="731"/>
      <c r="K176" s="731"/>
      <c r="L176" s="731"/>
      <c r="M176" s="731"/>
      <c r="N176" s="206"/>
      <c r="O176" s="216"/>
      <c r="P176" s="221">
        <v>3901250</v>
      </c>
      <c r="Q176" s="221">
        <v>3901250</v>
      </c>
      <c r="R176" s="221">
        <v>0</v>
      </c>
      <c r="S176" s="221">
        <v>0</v>
      </c>
      <c r="T176" s="229">
        <v>7802500</v>
      </c>
    </row>
    <row r="177" spans="1:21" hidden="1" outlineLevel="1">
      <c r="A177" s="213" t="s">
        <v>57</v>
      </c>
      <c r="B177" s="227" t="s">
        <v>94</v>
      </c>
      <c r="C177" s="732"/>
      <c r="D177" s="732"/>
      <c r="E177" s="732"/>
      <c r="F177" s="732"/>
      <c r="G177" s="733">
        <v>0</v>
      </c>
      <c r="H177" s="206"/>
      <c r="I177" s="733"/>
      <c r="J177" s="733"/>
      <c r="K177" s="733"/>
      <c r="L177" s="733"/>
      <c r="M177" s="733"/>
      <c r="N177" s="206"/>
      <c r="O177" s="216"/>
      <c r="P177" s="221"/>
      <c r="Q177" s="221"/>
      <c r="R177" s="221"/>
      <c r="S177" s="215"/>
      <c r="T177" s="229"/>
    </row>
    <row r="178" spans="1:21" hidden="1" outlineLevel="1">
      <c r="A178" s="213" t="s">
        <v>58</v>
      </c>
      <c r="B178" s="227" t="s">
        <v>94</v>
      </c>
      <c r="C178" s="732"/>
      <c r="D178" s="732"/>
      <c r="E178" s="732"/>
      <c r="F178" s="732"/>
      <c r="G178" s="733">
        <v>0</v>
      </c>
      <c r="H178" s="206"/>
      <c r="I178" s="733"/>
      <c r="J178" s="733"/>
      <c r="K178" s="733"/>
      <c r="L178" s="733"/>
      <c r="M178" s="733"/>
      <c r="N178" s="206"/>
      <c r="O178" s="216"/>
      <c r="P178" s="221"/>
      <c r="Q178" s="221"/>
      <c r="R178" s="221"/>
      <c r="S178" s="215"/>
      <c r="T178" s="229"/>
    </row>
    <row r="179" spans="1:21" hidden="1" outlineLevel="1">
      <c r="A179" s="213" t="s">
        <v>59</v>
      </c>
      <c r="B179" s="227" t="s">
        <v>94</v>
      </c>
      <c r="C179" s="732"/>
      <c r="D179" s="732"/>
      <c r="E179" s="732"/>
      <c r="F179" s="732"/>
      <c r="G179" s="733">
        <v>0</v>
      </c>
      <c r="H179" s="206"/>
      <c r="I179" s="733"/>
      <c r="J179" s="733"/>
      <c r="K179" s="733"/>
      <c r="L179" s="733"/>
      <c r="M179" s="733"/>
      <c r="N179" s="206"/>
      <c r="O179" s="216"/>
      <c r="P179" s="221"/>
      <c r="Q179" s="221"/>
      <c r="R179" s="221"/>
      <c r="S179" s="215"/>
      <c r="T179" s="229"/>
    </row>
    <row r="180" spans="1:21" hidden="1" outlineLevel="1">
      <c r="A180" s="213" t="s">
        <v>60</v>
      </c>
      <c r="B180" s="227" t="s">
        <v>94</v>
      </c>
      <c r="C180" s="732"/>
      <c r="D180" s="732"/>
      <c r="E180" s="732"/>
      <c r="F180" s="732"/>
      <c r="G180" s="733">
        <v>0</v>
      </c>
      <c r="H180" s="206"/>
      <c r="I180" s="733"/>
      <c r="J180" s="733"/>
      <c r="K180" s="733"/>
      <c r="L180" s="733"/>
      <c r="M180" s="733"/>
      <c r="N180" s="206"/>
      <c r="O180" s="216"/>
      <c r="P180" s="221"/>
      <c r="Q180" s="221"/>
      <c r="R180" s="221"/>
      <c r="S180" s="215"/>
      <c r="T180" s="229"/>
    </row>
    <row r="181" spans="1:21" hidden="1" outlineLevel="1">
      <c r="A181" s="211" t="s">
        <v>61</v>
      </c>
      <c r="B181" s="227" t="s">
        <v>94</v>
      </c>
      <c r="C181" s="730">
        <v>455260</v>
      </c>
      <c r="D181" s="730">
        <v>455260</v>
      </c>
      <c r="E181" s="730">
        <v>455260</v>
      </c>
      <c r="F181" s="730">
        <v>455260</v>
      </c>
      <c r="G181" s="731">
        <v>1821040</v>
      </c>
      <c r="H181" s="206"/>
      <c r="I181" s="731"/>
      <c r="J181" s="731"/>
      <c r="K181" s="731"/>
      <c r="L181" s="731"/>
      <c r="M181" s="731"/>
      <c r="N181" s="206"/>
      <c r="O181" s="216"/>
      <c r="P181" s="221">
        <v>455260</v>
      </c>
      <c r="Q181" s="221">
        <v>455260</v>
      </c>
      <c r="R181" s="221">
        <v>455260</v>
      </c>
      <c r="S181" s="221">
        <v>455260</v>
      </c>
      <c r="T181" s="229">
        <v>1821040</v>
      </c>
    </row>
    <row r="182" spans="1:21" hidden="1" outlineLevel="1">
      <c r="A182" s="213" t="s">
        <v>57</v>
      </c>
      <c r="B182" s="227" t="s">
        <v>94</v>
      </c>
      <c r="C182" s="734">
        <v>455260</v>
      </c>
      <c r="D182" s="734">
        <v>455260</v>
      </c>
      <c r="E182" s="734">
        <v>455260</v>
      </c>
      <c r="F182" s="734">
        <v>455260</v>
      </c>
      <c r="G182" s="733">
        <v>1821040</v>
      </c>
      <c r="H182" s="206"/>
      <c r="I182" s="733"/>
      <c r="J182" s="733"/>
      <c r="K182" s="733"/>
      <c r="L182" s="733"/>
      <c r="M182" s="733"/>
      <c r="N182" s="206"/>
      <c r="O182" s="216"/>
      <c r="P182" s="221"/>
      <c r="Q182" s="221"/>
      <c r="R182" s="221"/>
      <c r="S182" s="215"/>
      <c r="T182" s="229"/>
    </row>
    <row r="183" spans="1:21" hidden="1" outlineLevel="1">
      <c r="A183" s="213" t="s">
        <v>58</v>
      </c>
      <c r="B183" s="227" t="s">
        <v>94</v>
      </c>
      <c r="C183" s="732"/>
      <c r="D183" s="732"/>
      <c r="E183" s="732"/>
      <c r="F183" s="732"/>
      <c r="G183" s="733">
        <v>0</v>
      </c>
      <c r="H183" s="206"/>
      <c r="I183" s="733"/>
      <c r="J183" s="733"/>
      <c r="K183" s="733"/>
      <c r="L183" s="733"/>
      <c r="M183" s="733"/>
      <c r="N183" s="206"/>
      <c r="O183" s="216"/>
      <c r="P183" s="221"/>
      <c r="Q183" s="221"/>
      <c r="R183" s="221"/>
      <c r="S183" s="215"/>
      <c r="T183" s="229"/>
    </row>
    <row r="184" spans="1:21" hidden="1" outlineLevel="1">
      <c r="A184" s="213" t="s">
        <v>60</v>
      </c>
      <c r="B184" s="227" t="s">
        <v>94</v>
      </c>
      <c r="C184" s="732"/>
      <c r="D184" s="732"/>
      <c r="E184" s="732"/>
      <c r="F184" s="732"/>
      <c r="G184" s="733">
        <v>0</v>
      </c>
      <c r="H184" s="206"/>
      <c r="I184" s="733"/>
      <c r="J184" s="733"/>
      <c r="K184" s="733"/>
      <c r="L184" s="733"/>
      <c r="M184" s="733"/>
      <c r="N184" s="206"/>
      <c r="O184" s="216"/>
      <c r="P184" s="221"/>
      <c r="Q184" s="221"/>
      <c r="R184" s="221"/>
      <c r="S184" s="215"/>
      <c r="T184" s="229"/>
    </row>
    <row r="185" spans="1:21" collapsed="1">
      <c r="A185" s="208" t="s">
        <v>618</v>
      </c>
      <c r="B185" s="227" t="s">
        <v>94</v>
      </c>
      <c r="C185" s="730">
        <v>0</v>
      </c>
      <c r="D185" s="730">
        <v>1760000</v>
      </c>
      <c r="E185" s="730">
        <v>2260000</v>
      </c>
      <c r="F185" s="730">
        <v>3280000</v>
      </c>
      <c r="G185" s="731">
        <v>7300000</v>
      </c>
      <c r="H185" s="206"/>
      <c r="I185" s="723">
        <f>C185*(1-$O185)</f>
        <v>0</v>
      </c>
      <c r="J185" s="723">
        <f>D185*(1-$O185)</f>
        <v>880000</v>
      </c>
      <c r="K185" s="723">
        <f t="shared" ref="K185" si="27">E185*(1-$O185)</f>
        <v>1130000</v>
      </c>
      <c r="L185" s="723">
        <f>F185*(1-$O185)</f>
        <v>1640000</v>
      </c>
      <c r="M185" s="723">
        <f>SUM(I185:L185)</f>
        <v>3650000</v>
      </c>
      <c r="N185" s="206"/>
      <c r="O185" s="220">
        <v>0.5</v>
      </c>
      <c r="P185" s="221">
        <v>0</v>
      </c>
      <c r="Q185" s="221">
        <v>880000</v>
      </c>
      <c r="R185" s="221">
        <v>1130000</v>
      </c>
      <c r="S185" s="221">
        <v>1640000</v>
      </c>
      <c r="T185" s="229">
        <v>3650000</v>
      </c>
    </row>
    <row r="186" spans="1:21" hidden="1" outlineLevel="1">
      <c r="A186" s="211" t="s">
        <v>56</v>
      </c>
      <c r="B186" s="227" t="s">
        <v>94</v>
      </c>
      <c r="C186" s="730">
        <v>0</v>
      </c>
      <c r="D186" s="730">
        <v>1760000</v>
      </c>
      <c r="E186" s="737">
        <v>2260000</v>
      </c>
      <c r="F186" s="737">
        <v>3280000</v>
      </c>
      <c r="G186" s="731">
        <v>7300000</v>
      </c>
      <c r="H186" s="206"/>
      <c r="I186" s="723">
        <f>C186*(1-$O185)</f>
        <v>0</v>
      </c>
      <c r="J186" s="723">
        <f t="shared" ref="J186:L186" si="28">D186*(1-$O185)</f>
        <v>880000</v>
      </c>
      <c r="K186" s="723">
        <f t="shared" si="28"/>
        <v>1130000</v>
      </c>
      <c r="L186" s="723">
        <f t="shared" si="28"/>
        <v>1640000</v>
      </c>
      <c r="M186" s="723">
        <f>SUM(I186:L186)</f>
        <v>3650000</v>
      </c>
      <c r="N186" s="206"/>
      <c r="O186" s="216"/>
      <c r="P186" s="221">
        <v>0</v>
      </c>
      <c r="Q186" s="221">
        <v>880000</v>
      </c>
      <c r="R186" s="221">
        <v>1130000</v>
      </c>
      <c r="S186" s="221">
        <v>1640000</v>
      </c>
      <c r="T186" s="229">
        <v>3650000</v>
      </c>
      <c r="U186" s="743"/>
    </row>
    <row r="187" spans="1:21" hidden="1" outlineLevel="1">
      <c r="A187" s="213" t="s">
        <v>57</v>
      </c>
      <c r="B187" s="227" t="s">
        <v>94</v>
      </c>
      <c r="C187" s="734">
        <v>0</v>
      </c>
      <c r="D187" s="734">
        <v>0</v>
      </c>
      <c r="E187" s="734"/>
      <c r="F187" s="734"/>
      <c r="G187" s="733">
        <v>0</v>
      </c>
      <c r="H187" s="206"/>
      <c r="I187" s="733"/>
      <c r="J187" s="733"/>
      <c r="K187" s="733"/>
      <c r="L187" s="733"/>
      <c r="M187" s="733"/>
      <c r="N187" s="206"/>
      <c r="O187" s="216"/>
      <c r="P187" s="221"/>
      <c r="Q187" s="221"/>
      <c r="R187" s="221"/>
      <c r="S187" s="215"/>
      <c r="T187" s="229"/>
    </row>
    <row r="188" spans="1:21" hidden="1" outlineLevel="1">
      <c r="A188" s="213" t="s">
        <v>58</v>
      </c>
      <c r="B188" s="227" t="s">
        <v>94</v>
      </c>
      <c r="C188" s="732"/>
      <c r="D188" s="732"/>
      <c r="E188" s="732"/>
      <c r="F188" s="732"/>
      <c r="G188" s="733">
        <v>0</v>
      </c>
      <c r="H188" s="206"/>
      <c r="I188" s="733"/>
      <c r="J188" s="733"/>
      <c r="K188" s="733"/>
      <c r="L188" s="733"/>
      <c r="M188" s="733"/>
      <c r="N188" s="206"/>
      <c r="O188" s="216"/>
      <c r="P188" s="221"/>
      <c r="Q188" s="221"/>
      <c r="R188" s="221"/>
      <c r="S188" s="215"/>
      <c r="T188" s="229"/>
    </row>
    <row r="189" spans="1:21" hidden="1" outlineLevel="1">
      <c r="A189" s="213" t="s">
        <v>59</v>
      </c>
      <c r="B189" s="227" t="s">
        <v>94</v>
      </c>
      <c r="C189" s="732"/>
      <c r="D189" s="732"/>
      <c r="E189" s="732"/>
      <c r="F189" s="732"/>
      <c r="G189" s="733">
        <v>0</v>
      </c>
      <c r="H189" s="206"/>
      <c r="I189" s="733"/>
      <c r="J189" s="733"/>
      <c r="K189" s="733"/>
      <c r="L189" s="733"/>
      <c r="M189" s="733"/>
      <c r="N189" s="206"/>
      <c r="O189" s="216"/>
      <c r="P189" s="221"/>
      <c r="Q189" s="221"/>
      <c r="R189" s="221"/>
      <c r="S189" s="215"/>
      <c r="T189" s="229"/>
    </row>
    <row r="190" spans="1:21" hidden="1" outlineLevel="1">
      <c r="A190" s="213" t="s">
        <v>60</v>
      </c>
      <c r="B190" s="227" t="s">
        <v>94</v>
      </c>
      <c r="C190" s="732"/>
      <c r="D190" s="732"/>
      <c r="E190" s="732"/>
      <c r="F190" s="732"/>
      <c r="G190" s="733">
        <v>0</v>
      </c>
      <c r="H190" s="206"/>
      <c r="I190" s="733"/>
      <c r="J190" s="733"/>
      <c r="K190" s="733"/>
      <c r="L190" s="733"/>
      <c r="M190" s="733"/>
      <c r="N190" s="206"/>
      <c r="O190" s="216"/>
      <c r="P190" s="221"/>
      <c r="Q190" s="221"/>
      <c r="R190" s="221"/>
      <c r="S190" s="215"/>
      <c r="T190" s="229"/>
    </row>
    <row r="191" spans="1:21" hidden="1" outlineLevel="1">
      <c r="A191" s="211" t="s">
        <v>61</v>
      </c>
      <c r="B191" s="227" t="s">
        <v>94</v>
      </c>
      <c r="C191" s="730">
        <v>0</v>
      </c>
      <c r="D191" s="730">
        <v>0</v>
      </c>
      <c r="E191" s="730">
        <v>0</v>
      </c>
      <c r="F191" s="730">
        <v>0</v>
      </c>
      <c r="G191" s="731">
        <v>0</v>
      </c>
      <c r="H191" s="206"/>
      <c r="I191" s="731"/>
      <c r="J191" s="731"/>
      <c r="K191" s="731"/>
      <c r="L191" s="731"/>
      <c r="M191" s="731"/>
      <c r="N191" s="206"/>
      <c r="O191" s="216"/>
      <c r="P191" s="221">
        <v>0</v>
      </c>
      <c r="Q191" s="221">
        <v>0</v>
      </c>
      <c r="R191" s="221">
        <v>0</v>
      </c>
      <c r="S191" s="221">
        <v>0</v>
      </c>
      <c r="T191" s="229">
        <v>0</v>
      </c>
    </row>
    <row r="192" spans="1:21" hidden="1" outlineLevel="1">
      <c r="A192" s="213" t="s">
        <v>57</v>
      </c>
      <c r="B192" s="227" t="s">
        <v>94</v>
      </c>
      <c r="C192" s="734"/>
      <c r="D192" s="734"/>
      <c r="E192" s="734"/>
      <c r="F192" s="734"/>
      <c r="G192" s="733">
        <v>0</v>
      </c>
      <c r="H192" s="206"/>
      <c r="I192" s="733"/>
      <c r="J192" s="733"/>
      <c r="K192" s="733"/>
      <c r="L192" s="733"/>
      <c r="M192" s="733"/>
      <c r="N192" s="206"/>
      <c r="O192" s="216"/>
      <c r="P192" s="221"/>
      <c r="Q192" s="221"/>
      <c r="R192" s="221"/>
      <c r="S192" s="215"/>
      <c r="T192" s="229"/>
    </row>
    <row r="193" spans="1:20" hidden="1" outlineLevel="1">
      <c r="A193" s="213" t="s">
        <v>58</v>
      </c>
      <c r="B193" s="227" t="s">
        <v>94</v>
      </c>
      <c r="C193" s="732"/>
      <c r="D193" s="732"/>
      <c r="E193" s="732"/>
      <c r="F193" s="732"/>
      <c r="G193" s="733">
        <v>0</v>
      </c>
      <c r="H193" s="206"/>
      <c r="I193" s="733"/>
      <c r="J193" s="733"/>
      <c r="K193" s="733"/>
      <c r="L193" s="733"/>
      <c r="M193" s="733"/>
      <c r="N193" s="206"/>
      <c r="O193" s="216"/>
      <c r="P193" s="221"/>
      <c r="Q193" s="221"/>
      <c r="R193" s="221"/>
      <c r="S193" s="215"/>
      <c r="T193" s="229"/>
    </row>
    <row r="194" spans="1:20" hidden="1" outlineLevel="1">
      <c r="A194" s="722" t="s">
        <v>60</v>
      </c>
      <c r="B194" s="215" t="s">
        <v>94</v>
      </c>
      <c r="C194" s="732"/>
      <c r="D194" s="732"/>
      <c r="E194" s="732"/>
      <c r="F194" s="732"/>
      <c r="G194" s="733">
        <v>0</v>
      </c>
      <c r="H194" s="206"/>
      <c r="I194" s="733"/>
      <c r="J194" s="733"/>
      <c r="K194" s="733"/>
      <c r="L194" s="733"/>
      <c r="M194" s="733"/>
      <c r="N194" s="206"/>
      <c r="O194" s="216"/>
      <c r="P194" s="221"/>
      <c r="Q194" s="221"/>
      <c r="R194" s="221"/>
      <c r="S194" s="215"/>
      <c r="T194" s="229"/>
    </row>
    <row r="195" spans="1:20" collapsed="1">
      <c r="A195" s="208" t="s">
        <v>106</v>
      </c>
      <c r="B195" s="227" t="s">
        <v>66</v>
      </c>
      <c r="C195" s="730">
        <v>0</v>
      </c>
      <c r="D195" s="730">
        <v>0</v>
      </c>
      <c r="E195" s="730">
        <v>0</v>
      </c>
      <c r="F195" s="730">
        <v>0</v>
      </c>
      <c r="G195" s="731">
        <v>0</v>
      </c>
      <c r="H195" s="206"/>
      <c r="I195" s="731"/>
      <c r="J195" s="731"/>
      <c r="K195" s="731"/>
      <c r="L195" s="731"/>
      <c r="M195" s="731"/>
      <c r="N195" s="206"/>
      <c r="O195" s="223">
        <v>0</v>
      </c>
      <c r="P195" s="221">
        <v>0</v>
      </c>
      <c r="Q195" s="221">
        <v>0</v>
      </c>
      <c r="R195" s="221">
        <v>0</v>
      </c>
      <c r="S195" s="221">
        <v>0</v>
      </c>
      <c r="T195" s="229">
        <v>0</v>
      </c>
    </row>
    <row r="196" spans="1:20" hidden="1" outlineLevel="1">
      <c r="A196" s="211" t="s">
        <v>56</v>
      </c>
      <c r="B196" s="227" t="s">
        <v>66</v>
      </c>
      <c r="C196" s="730">
        <v>0</v>
      </c>
      <c r="D196" s="730">
        <v>0</v>
      </c>
      <c r="E196" s="730">
        <v>0</v>
      </c>
      <c r="F196" s="730">
        <v>0</v>
      </c>
      <c r="G196" s="731">
        <v>0</v>
      </c>
      <c r="H196" s="206"/>
      <c r="I196" s="731"/>
      <c r="J196" s="731"/>
      <c r="K196" s="731"/>
      <c r="L196" s="731"/>
      <c r="M196" s="731"/>
      <c r="N196" s="206"/>
      <c r="O196" s="216"/>
      <c r="P196" s="221">
        <v>0</v>
      </c>
      <c r="Q196" s="221">
        <v>0</v>
      </c>
      <c r="R196" s="221">
        <v>0</v>
      </c>
      <c r="S196" s="221">
        <v>0</v>
      </c>
      <c r="T196" s="229">
        <v>0</v>
      </c>
    </row>
    <row r="197" spans="1:20" hidden="1" outlineLevel="1">
      <c r="A197" s="213" t="s">
        <v>57</v>
      </c>
      <c r="B197" s="227" t="s">
        <v>66</v>
      </c>
      <c r="C197" s="732"/>
      <c r="D197" s="732"/>
      <c r="E197" s="732"/>
      <c r="F197" s="732"/>
      <c r="G197" s="733">
        <v>0</v>
      </c>
      <c r="H197" s="206"/>
      <c r="I197" s="733"/>
      <c r="J197" s="733"/>
      <c r="K197" s="733"/>
      <c r="L197" s="733"/>
      <c r="M197" s="733"/>
      <c r="N197" s="206"/>
      <c r="O197" s="216"/>
      <c r="P197" s="221"/>
      <c r="Q197" s="221"/>
      <c r="R197" s="221"/>
      <c r="S197" s="215"/>
      <c r="T197" s="229"/>
    </row>
    <row r="198" spans="1:20" hidden="1" outlineLevel="1">
      <c r="A198" s="213" t="s">
        <v>58</v>
      </c>
      <c r="B198" s="227" t="s">
        <v>66</v>
      </c>
      <c r="C198" s="736"/>
      <c r="D198" s="732">
        <v>0</v>
      </c>
      <c r="E198" s="732">
        <v>0</v>
      </c>
      <c r="F198" s="732"/>
      <c r="G198" s="733">
        <v>0</v>
      </c>
      <c r="H198" s="206"/>
      <c r="I198" s="733"/>
      <c r="J198" s="733"/>
      <c r="K198" s="733"/>
      <c r="L198" s="733"/>
      <c r="M198" s="733"/>
      <c r="N198" s="206"/>
      <c r="O198" s="216"/>
      <c r="P198" s="221"/>
      <c r="Q198" s="221"/>
      <c r="R198" s="221"/>
      <c r="S198" s="215"/>
      <c r="T198" s="229"/>
    </row>
    <row r="199" spans="1:20" hidden="1" outlineLevel="1">
      <c r="A199" s="213" t="s">
        <v>59</v>
      </c>
      <c r="B199" s="227" t="s">
        <v>66</v>
      </c>
      <c r="C199" s="732"/>
      <c r="D199" s="732"/>
      <c r="E199" s="732"/>
      <c r="F199" s="732"/>
      <c r="G199" s="733">
        <v>0</v>
      </c>
      <c r="H199" s="206"/>
      <c r="I199" s="733"/>
      <c r="J199" s="733"/>
      <c r="K199" s="733"/>
      <c r="L199" s="733"/>
      <c r="M199" s="733"/>
      <c r="N199" s="206"/>
      <c r="O199" s="216"/>
      <c r="P199" s="221"/>
      <c r="Q199" s="221"/>
      <c r="R199" s="221"/>
      <c r="S199" s="215"/>
      <c r="T199" s="229"/>
    </row>
    <row r="200" spans="1:20" hidden="1" outlineLevel="1">
      <c r="A200" s="213" t="s">
        <v>60</v>
      </c>
      <c r="B200" s="227" t="s">
        <v>66</v>
      </c>
      <c r="C200" s="732"/>
      <c r="D200" s="732"/>
      <c r="E200" s="732"/>
      <c r="F200" s="732"/>
      <c r="G200" s="733">
        <v>0</v>
      </c>
      <c r="H200" s="206"/>
      <c r="I200" s="733"/>
      <c r="J200" s="733"/>
      <c r="K200" s="733"/>
      <c r="L200" s="733"/>
      <c r="M200" s="733"/>
      <c r="N200" s="206"/>
      <c r="O200" s="216"/>
      <c r="P200" s="221"/>
      <c r="Q200" s="221"/>
      <c r="R200" s="221"/>
      <c r="S200" s="215"/>
      <c r="T200" s="229"/>
    </row>
    <row r="201" spans="1:20" hidden="1" outlineLevel="1">
      <c r="A201" s="211" t="s">
        <v>61</v>
      </c>
      <c r="B201" s="227" t="s">
        <v>66</v>
      </c>
      <c r="C201" s="730">
        <v>0</v>
      </c>
      <c r="D201" s="730">
        <v>0</v>
      </c>
      <c r="E201" s="730">
        <v>0</v>
      </c>
      <c r="F201" s="730">
        <v>0</v>
      </c>
      <c r="G201" s="731">
        <v>0</v>
      </c>
      <c r="H201" s="206"/>
      <c r="I201" s="731"/>
      <c r="J201" s="731"/>
      <c r="K201" s="731"/>
      <c r="L201" s="731"/>
      <c r="M201" s="731"/>
      <c r="N201" s="206"/>
      <c r="O201" s="216"/>
      <c r="P201" s="221">
        <v>0</v>
      </c>
      <c r="Q201" s="221">
        <v>0</v>
      </c>
      <c r="R201" s="221">
        <v>0</v>
      </c>
      <c r="S201" s="221">
        <v>0</v>
      </c>
      <c r="T201" s="229">
        <v>0</v>
      </c>
    </row>
    <row r="202" spans="1:20" hidden="1" outlineLevel="1">
      <c r="A202" s="213" t="s">
        <v>57</v>
      </c>
      <c r="B202" s="227" t="s">
        <v>66</v>
      </c>
      <c r="C202" s="734">
        <v>0</v>
      </c>
      <c r="D202" s="734">
        <v>0</v>
      </c>
      <c r="E202" s="734">
        <v>0</v>
      </c>
      <c r="F202" s="734">
        <v>0</v>
      </c>
      <c r="G202" s="733">
        <v>0</v>
      </c>
      <c r="H202" s="206"/>
      <c r="I202" s="733"/>
      <c r="J202" s="733"/>
      <c r="K202" s="733"/>
      <c r="L202" s="733"/>
      <c r="M202" s="733"/>
      <c r="N202" s="206"/>
      <c r="O202" s="216"/>
      <c r="P202" s="221"/>
      <c r="Q202" s="221"/>
      <c r="R202" s="221"/>
      <c r="S202" s="215"/>
      <c r="T202" s="229"/>
    </row>
    <row r="203" spans="1:20" hidden="1" outlineLevel="1">
      <c r="A203" s="213" t="s">
        <v>58</v>
      </c>
      <c r="B203" s="227" t="s">
        <v>66</v>
      </c>
      <c r="C203" s="732">
        <v>0</v>
      </c>
      <c r="D203" s="732">
        <v>0</v>
      </c>
      <c r="E203" s="732">
        <v>0</v>
      </c>
      <c r="F203" s="732">
        <v>0</v>
      </c>
      <c r="G203" s="733">
        <v>0</v>
      </c>
      <c r="H203" s="206"/>
      <c r="I203" s="733"/>
      <c r="J203" s="733"/>
      <c r="K203" s="733"/>
      <c r="L203" s="733"/>
      <c r="M203" s="733"/>
      <c r="N203" s="206"/>
      <c r="O203" s="216"/>
      <c r="P203" s="221"/>
      <c r="Q203" s="221"/>
      <c r="R203" s="221"/>
      <c r="S203" s="215"/>
      <c r="T203" s="229"/>
    </row>
    <row r="204" spans="1:20" hidden="1" outlineLevel="1">
      <c r="A204" s="213" t="s">
        <v>60</v>
      </c>
      <c r="B204" s="227" t="s">
        <v>66</v>
      </c>
      <c r="C204" s="732"/>
      <c r="D204" s="732"/>
      <c r="E204" s="732"/>
      <c r="F204" s="732"/>
      <c r="G204" s="733">
        <v>0</v>
      </c>
      <c r="H204" s="206"/>
      <c r="I204" s="733"/>
      <c r="J204" s="733"/>
      <c r="K204" s="733"/>
      <c r="L204" s="733"/>
      <c r="M204" s="733"/>
      <c r="N204" s="206"/>
      <c r="O204" s="216"/>
      <c r="P204" s="221"/>
      <c r="Q204" s="221"/>
      <c r="R204" s="221"/>
      <c r="S204" s="215"/>
      <c r="T204" s="229"/>
    </row>
    <row r="205" spans="1:20" collapsed="1">
      <c r="A205" s="208" t="s">
        <v>108</v>
      </c>
      <c r="B205" s="227" t="s">
        <v>66</v>
      </c>
      <c r="C205" s="730">
        <v>0</v>
      </c>
      <c r="D205" s="730">
        <v>0</v>
      </c>
      <c r="E205" s="730">
        <v>0</v>
      </c>
      <c r="F205" s="730">
        <v>0</v>
      </c>
      <c r="G205" s="731">
        <v>0</v>
      </c>
      <c r="H205" s="206"/>
      <c r="I205" s="731"/>
      <c r="J205" s="731"/>
      <c r="K205" s="731"/>
      <c r="L205" s="731"/>
      <c r="M205" s="731"/>
      <c r="N205" s="206"/>
      <c r="O205" s="223">
        <v>0</v>
      </c>
      <c r="P205" s="221">
        <v>0</v>
      </c>
      <c r="Q205" s="221">
        <v>0</v>
      </c>
      <c r="R205" s="221">
        <v>0</v>
      </c>
      <c r="S205" s="221">
        <v>0</v>
      </c>
      <c r="T205" s="229">
        <v>0</v>
      </c>
    </row>
    <row r="206" spans="1:20" hidden="1" outlineLevel="1">
      <c r="A206" s="211" t="s">
        <v>56</v>
      </c>
      <c r="B206" s="227" t="s">
        <v>66</v>
      </c>
      <c r="C206" s="737">
        <v>0</v>
      </c>
      <c r="D206" s="737">
        <v>0</v>
      </c>
      <c r="E206" s="737">
        <v>0</v>
      </c>
      <c r="F206" s="737"/>
      <c r="G206" s="739">
        <v>0</v>
      </c>
      <c r="H206" s="206"/>
      <c r="I206" s="739"/>
      <c r="J206" s="739"/>
      <c r="K206" s="739"/>
      <c r="L206" s="739"/>
      <c r="M206" s="739"/>
      <c r="N206" s="206"/>
      <c r="O206" s="216"/>
      <c r="P206" s="221">
        <v>0</v>
      </c>
      <c r="Q206" s="221">
        <v>0</v>
      </c>
      <c r="R206" s="221">
        <v>0</v>
      </c>
      <c r="S206" s="221">
        <v>0</v>
      </c>
      <c r="T206" s="229">
        <v>0</v>
      </c>
    </row>
    <row r="207" spans="1:20" hidden="1" outlineLevel="1">
      <c r="A207" s="213" t="s">
        <v>57</v>
      </c>
      <c r="B207" s="227" t="s">
        <v>66</v>
      </c>
      <c r="C207" s="732"/>
      <c r="D207" s="732"/>
      <c r="E207" s="732"/>
      <c r="F207" s="732"/>
      <c r="G207" s="733">
        <v>0</v>
      </c>
      <c r="H207" s="206"/>
      <c r="I207" s="733"/>
      <c r="J207" s="733"/>
      <c r="K207" s="733"/>
      <c r="L207" s="733"/>
      <c r="M207" s="733"/>
      <c r="N207" s="206"/>
      <c r="O207" s="216"/>
      <c r="P207" s="221"/>
      <c r="Q207" s="221"/>
      <c r="R207" s="221"/>
      <c r="S207" s="215"/>
      <c r="T207" s="229"/>
    </row>
    <row r="208" spans="1:20" hidden="1" outlineLevel="1">
      <c r="A208" s="213" t="s">
        <v>58</v>
      </c>
      <c r="B208" s="227" t="s">
        <v>66</v>
      </c>
      <c r="C208" s="732"/>
      <c r="D208" s="732"/>
      <c r="E208" s="732"/>
      <c r="F208" s="732"/>
      <c r="G208" s="733">
        <v>0</v>
      </c>
      <c r="H208" s="206"/>
      <c r="I208" s="733"/>
      <c r="J208" s="733"/>
      <c r="K208" s="733"/>
      <c r="L208" s="733"/>
      <c r="M208" s="733"/>
      <c r="N208" s="206"/>
      <c r="O208" s="216"/>
      <c r="P208" s="221"/>
      <c r="Q208" s="221"/>
      <c r="R208" s="221"/>
      <c r="S208" s="215"/>
      <c r="T208" s="229"/>
    </row>
    <row r="209" spans="1:20" hidden="1" outlineLevel="1">
      <c r="A209" s="213" t="s">
        <v>59</v>
      </c>
      <c r="B209" s="227" t="s">
        <v>66</v>
      </c>
      <c r="C209" s="732"/>
      <c r="D209" s="732"/>
      <c r="E209" s="732"/>
      <c r="F209" s="732"/>
      <c r="G209" s="733">
        <v>0</v>
      </c>
      <c r="H209" s="206"/>
      <c r="I209" s="733"/>
      <c r="J209" s="733"/>
      <c r="K209" s="733"/>
      <c r="L209" s="733"/>
      <c r="M209" s="733"/>
      <c r="N209" s="206"/>
      <c r="O209" s="216"/>
      <c r="P209" s="221"/>
      <c r="Q209" s="221"/>
      <c r="R209" s="221"/>
      <c r="S209" s="215"/>
      <c r="T209" s="229"/>
    </row>
    <row r="210" spans="1:20" hidden="1" outlineLevel="1">
      <c r="A210" s="213" t="s">
        <v>60</v>
      </c>
      <c r="B210" s="227" t="s">
        <v>66</v>
      </c>
      <c r="C210" s="732"/>
      <c r="D210" s="732"/>
      <c r="E210" s="732"/>
      <c r="F210" s="732"/>
      <c r="G210" s="733">
        <v>0</v>
      </c>
      <c r="H210" s="206"/>
      <c r="I210" s="733"/>
      <c r="J210" s="733"/>
      <c r="K210" s="733"/>
      <c r="L210" s="733"/>
      <c r="M210" s="733"/>
      <c r="N210" s="206"/>
      <c r="O210" s="216"/>
      <c r="P210" s="221"/>
      <c r="Q210" s="221"/>
      <c r="R210" s="221"/>
      <c r="S210" s="215"/>
      <c r="T210" s="229"/>
    </row>
    <row r="211" spans="1:20" hidden="1" outlineLevel="1">
      <c r="A211" s="211" t="s">
        <v>61</v>
      </c>
      <c r="B211" s="227" t="s">
        <v>66</v>
      </c>
      <c r="C211" s="730">
        <v>0</v>
      </c>
      <c r="D211" s="730">
        <v>0</v>
      </c>
      <c r="E211" s="730">
        <v>0</v>
      </c>
      <c r="F211" s="730">
        <v>0</v>
      </c>
      <c r="G211" s="731">
        <v>0</v>
      </c>
      <c r="H211" s="206"/>
      <c r="I211" s="731"/>
      <c r="J211" s="731"/>
      <c r="K211" s="731"/>
      <c r="L211" s="731"/>
      <c r="M211" s="731"/>
      <c r="N211" s="206"/>
      <c r="O211" s="216"/>
      <c r="P211" s="221">
        <v>0</v>
      </c>
      <c r="Q211" s="221">
        <v>0</v>
      </c>
      <c r="R211" s="221">
        <v>0</v>
      </c>
      <c r="S211" s="221">
        <v>0</v>
      </c>
      <c r="T211" s="229">
        <v>0</v>
      </c>
    </row>
    <row r="212" spans="1:20" hidden="1" outlineLevel="1">
      <c r="A212" s="213" t="s">
        <v>57</v>
      </c>
      <c r="B212" s="227" t="s">
        <v>66</v>
      </c>
      <c r="C212" s="734">
        <v>0</v>
      </c>
      <c r="D212" s="734">
        <v>0</v>
      </c>
      <c r="E212" s="734">
        <v>0</v>
      </c>
      <c r="F212" s="734">
        <v>0</v>
      </c>
      <c r="G212" s="733">
        <v>0</v>
      </c>
      <c r="H212" s="206"/>
      <c r="I212" s="733"/>
      <c r="J212" s="733"/>
      <c r="K212" s="733"/>
      <c r="L212" s="733"/>
      <c r="M212" s="733"/>
      <c r="N212" s="206"/>
      <c r="O212" s="216"/>
      <c r="P212" s="221"/>
      <c r="Q212" s="221"/>
      <c r="R212" s="221"/>
      <c r="S212" s="215"/>
      <c r="T212" s="229"/>
    </row>
    <row r="213" spans="1:20" hidden="1" outlineLevel="1">
      <c r="A213" s="213" t="s">
        <v>58</v>
      </c>
      <c r="B213" s="227" t="s">
        <v>66</v>
      </c>
      <c r="C213" s="732"/>
      <c r="D213" s="732"/>
      <c r="E213" s="732"/>
      <c r="F213" s="732"/>
      <c r="G213" s="733">
        <v>0</v>
      </c>
      <c r="H213" s="206"/>
      <c r="I213" s="733"/>
      <c r="J213" s="733"/>
      <c r="K213" s="733"/>
      <c r="L213" s="733"/>
      <c r="M213" s="733"/>
      <c r="N213" s="206"/>
      <c r="O213" s="216"/>
      <c r="P213" s="221"/>
      <c r="Q213" s="221"/>
      <c r="R213" s="221"/>
      <c r="S213" s="215"/>
      <c r="T213" s="229"/>
    </row>
    <row r="214" spans="1:20" hidden="1" outlineLevel="1">
      <c r="A214" s="213" t="s">
        <v>60</v>
      </c>
      <c r="B214" s="227" t="s">
        <v>66</v>
      </c>
      <c r="C214" s="732"/>
      <c r="D214" s="732"/>
      <c r="E214" s="732"/>
      <c r="F214" s="732"/>
      <c r="G214" s="733">
        <v>0</v>
      </c>
      <c r="H214" s="206"/>
      <c r="I214" s="733"/>
      <c r="J214" s="733"/>
      <c r="K214" s="733"/>
      <c r="L214" s="733"/>
      <c r="M214" s="733"/>
      <c r="N214" s="206"/>
      <c r="O214" s="216"/>
      <c r="P214" s="221"/>
      <c r="Q214" s="221"/>
      <c r="R214" s="221"/>
      <c r="S214" s="215"/>
      <c r="T214" s="229"/>
    </row>
    <row r="215" spans="1:20" collapsed="1">
      <c r="A215" s="208" t="s">
        <v>110</v>
      </c>
      <c r="B215" s="227" t="s">
        <v>66</v>
      </c>
      <c r="C215" s="730">
        <v>0</v>
      </c>
      <c r="D215" s="730">
        <v>5205382</v>
      </c>
      <c r="E215" s="730">
        <v>493447</v>
      </c>
      <c r="F215" s="730">
        <v>493447</v>
      </c>
      <c r="G215" s="731">
        <v>6192276</v>
      </c>
      <c r="H215" s="206"/>
      <c r="I215" s="723">
        <f>C215*(1-$O215)</f>
        <v>0</v>
      </c>
      <c r="J215" s="723">
        <f>D215*(1-$O215)</f>
        <v>0</v>
      </c>
      <c r="K215" s="723">
        <f t="shared" ref="K215" si="29">E215*(1-$O215)</f>
        <v>0</v>
      </c>
      <c r="L215" s="723">
        <f>F215*(1-$O215)</f>
        <v>0</v>
      </c>
      <c r="M215" s="723">
        <f>SUM(I215:L215)</f>
        <v>0</v>
      </c>
      <c r="N215" s="206"/>
      <c r="O215" s="224">
        <v>1</v>
      </c>
      <c r="P215" s="221">
        <v>0</v>
      </c>
      <c r="Q215" s="221">
        <v>5205382</v>
      </c>
      <c r="R215" s="221">
        <v>493447</v>
      </c>
      <c r="S215" s="221">
        <v>493447</v>
      </c>
      <c r="T215" s="229">
        <v>6192276</v>
      </c>
    </row>
    <row r="216" spans="1:20" hidden="1" outlineLevel="1">
      <c r="A216" s="211" t="s">
        <v>56</v>
      </c>
      <c r="B216" s="227" t="s">
        <v>66</v>
      </c>
      <c r="C216" s="737">
        <v>0</v>
      </c>
      <c r="D216" s="737">
        <v>5143755</v>
      </c>
      <c r="E216" s="737">
        <v>30000</v>
      </c>
      <c r="F216" s="737">
        <v>30000</v>
      </c>
      <c r="G216" s="739">
        <v>5203755</v>
      </c>
      <c r="H216" s="206"/>
      <c r="I216" s="739"/>
      <c r="J216" s="739"/>
      <c r="K216" s="739"/>
      <c r="L216" s="739"/>
      <c r="M216" s="739"/>
      <c r="N216" s="206"/>
      <c r="O216" s="216"/>
      <c r="P216" s="221">
        <v>0</v>
      </c>
      <c r="Q216" s="221">
        <v>5143755</v>
      </c>
      <c r="R216" s="221">
        <v>30000</v>
      </c>
      <c r="S216" s="221">
        <v>30000</v>
      </c>
      <c r="T216" s="229">
        <v>5203755</v>
      </c>
    </row>
    <row r="217" spans="1:20" hidden="1" outlineLevel="1">
      <c r="A217" s="213" t="s">
        <v>57</v>
      </c>
      <c r="B217" s="227" t="s">
        <v>66</v>
      </c>
      <c r="C217" s="732"/>
      <c r="D217" s="732"/>
      <c r="E217" s="732"/>
      <c r="F217" s="732"/>
      <c r="G217" s="733">
        <v>0</v>
      </c>
      <c r="H217" s="206"/>
      <c r="I217" s="733"/>
      <c r="J217" s="733"/>
      <c r="K217" s="733"/>
      <c r="L217" s="733"/>
      <c r="M217" s="733"/>
      <c r="N217" s="206"/>
      <c r="O217" s="216"/>
      <c r="P217" s="221"/>
      <c r="Q217" s="221"/>
      <c r="R217" s="221"/>
      <c r="S217" s="215"/>
      <c r="T217" s="229"/>
    </row>
    <row r="218" spans="1:20" hidden="1" outlineLevel="1">
      <c r="A218" s="213" t="s">
        <v>58</v>
      </c>
      <c r="B218" s="227" t="s">
        <v>66</v>
      </c>
      <c r="C218" s="732"/>
      <c r="D218" s="732"/>
      <c r="E218" s="732"/>
      <c r="F218" s="732"/>
      <c r="G218" s="733">
        <v>0</v>
      </c>
      <c r="H218" s="206"/>
      <c r="I218" s="733"/>
      <c r="J218" s="733"/>
      <c r="K218" s="733"/>
      <c r="L218" s="733"/>
      <c r="M218" s="733"/>
      <c r="N218" s="206"/>
      <c r="O218" s="216"/>
      <c r="P218" s="221"/>
      <c r="Q218" s="221"/>
      <c r="R218" s="221"/>
      <c r="S218" s="215"/>
      <c r="T218" s="229"/>
    </row>
    <row r="219" spans="1:20" hidden="1" outlineLevel="1">
      <c r="A219" s="213" t="s">
        <v>59</v>
      </c>
      <c r="B219" s="227" t="s">
        <v>66</v>
      </c>
      <c r="C219" s="732"/>
      <c r="D219" s="732"/>
      <c r="E219" s="732"/>
      <c r="F219" s="732"/>
      <c r="G219" s="733">
        <v>0</v>
      </c>
      <c r="H219" s="206"/>
      <c r="I219" s="733"/>
      <c r="J219" s="733"/>
      <c r="K219" s="733"/>
      <c r="L219" s="733"/>
      <c r="M219" s="733"/>
      <c r="N219" s="206"/>
      <c r="O219" s="216"/>
      <c r="P219" s="221"/>
      <c r="Q219" s="221"/>
      <c r="R219" s="221"/>
      <c r="S219" s="215"/>
      <c r="T219" s="229"/>
    </row>
    <row r="220" spans="1:20" hidden="1" outlineLevel="1">
      <c r="A220" s="213" t="s">
        <v>60</v>
      </c>
      <c r="B220" s="227" t="s">
        <v>66</v>
      </c>
      <c r="C220" s="732"/>
      <c r="D220" s="732"/>
      <c r="E220" s="732"/>
      <c r="F220" s="732"/>
      <c r="G220" s="733">
        <v>0</v>
      </c>
      <c r="H220" s="206"/>
      <c r="I220" s="733"/>
      <c r="J220" s="733"/>
      <c r="K220" s="733"/>
      <c r="L220" s="733"/>
      <c r="M220" s="733"/>
      <c r="N220" s="206"/>
      <c r="O220" s="216"/>
      <c r="P220" s="221"/>
      <c r="Q220" s="221"/>
      <c r="R220" s="221"/>
      <c r="S220" s="215"/>
      <c r="T220" s="229"/>
    </row>
    <row r="221" spans="1:20" hidden="1" outlineLevel="1">
      <c r="A221" s="211" t="s">
        <v>61</v>
      </c>
      <c r="B221" s="227" t="s">
        <v>66</v>
      </c>
      <c r="C221" s="730">
        <v>0</v>
      </c>
      <c r="D221" s="730">
        <v>61627</v>
      </c>
      <c r="E221" s="730">
        <v>463447</v>
      </c>
      <c r="F221" s="730">
        <v>463447</v>
      </c>
      <c r="G221" s="731">
        <v>988521</v>
      </c>
      <c r="H221" s="206"/>
      <c r="I221" s="731"/>
      <c r="J221" s="731"/>
      <c r="K221" s="731"/>
      <c r="L221" s="731"/>
      <c r="M221" s="731"/>
      <c r="N221" s="206"/>
      <c r="O221" s="216"/>
      <c r="P221" s="221">
        <v>0</v>
      </c>
      <c r="Q221" s="221">
        <v>61627</v>
      </c>
      <c r="R221" s="221">
        <v>463447</v>
      </c>
      <c r="S221" s="221">
        <v>463447</v>
      </c>
      <c r="T221" s="229">
        <v>988521</v>
      </c>
    </row>
    <row r="222" spans="1:20" hidden="1" outlineLevel="1">
      <c r="A222" s="213" t="s">
        <v>57</v>
      </c>
      <c r="B222" s="227" t="s">
        <v>66</v>
      </c>
      <c r="C222" s="734">
        <v>0</v>
      </c>
      <c r="D222" s="734">
        <v>0</v>
      </c>
      <c r="E222" s="734">
        <v>0</v>
      </c>
      <c r="F222" s="734">
        <v>0</v>
      </c>
      <c r="G222" s="733">
        <v>0</v>
      </c>
      <c r="H222" s="206"/>
      <c r="I222" s="733"/>
      <c r="J222" s="733"/>
      <c r="K222" s="733"/>
      <c r="L222" s="733"/>
      <c r="M222" s="733"/>
      <c r="N222" s="206"/>
      <c r="O222" s="216"/>
      <c r="P222" s="221"/>
      <c r="Q222" s="221"/>
      <c r="R222" s="221"/>
      <c r="S222" s="215"/>
      <c r="T222" s="229"/>
    </row>
    <row r="223" spans="1:20" hidden="1" outlineLevel="1">
      <c r="A223" s="213" t="s">
        <v>58</v>
      </c>
      <c r="B223" s="227" t="s">
        <v>66</v>
      </c>
      <c r="C223" s="732"/>
      <c r="D223" s="732"/>
      <c r="E223" s="732"/>
      <c r="F223" s="732"/>
      <c r="G223" s="733">
        <v>0</v>
      </c>
      <c r="H223" s="206"/>
      <c r="I223" s="733"/>
      <c r="J223" s="733"/>
      <c r="K223" s="733"/>
      <c r="L223" s="733"/>
      <c r="M223" s="733"/>
      <c r="N223" s="206"/>
      <c r="O223" s="216"/>
      <c r="P223" s="221"/>
      <c r="Q223" s="221"/>
      <c r="R223" s="221"/>
      <c r="S223" s="215"/>
      <c r="T223" s="229"/>
    </row>
    <row r="224" spans="1:20" hidden="1" outlineLevel="1">
      <c r="A224" s="213" t="s">
        <v>60</v>
      </c>
      <c r="B224" s="227" t="s">
        <v>66</v>
      </c>
      <c r="C224" s="732"/>
      <c r="D224" s="732"/>
      <c r="E224" s="732"/>
      <c r="F224" s="732"/>
      <c r="G224" s="733">
        <v>0</v>
      </c>
      <c r="H224" s="206"/>
      <c r="I224" s="733"/>
      <c r="J224" s="733"/>
      <c r="K224" s="733"/>
      <c r="L224" s="733"/>
      <c r="M224" s="733"/>
      <c r="N224" s="206"/>
      <c r="O224" s="216"/>
      <c r="P224" s="221"/>
      <c r="Q224" s="221"/>
      <c r="R224" s="221"/>
      <c r="S224" s="215"/>
      <c r="T224" s="229"/>
    </row>
    <row r="225" spans="1:20" collapsed="1">
      <c r="A225" s="208" t="s">
        <v>111</v>
      </c>
      <c r="B225" s="227" t="s">
        <v>66</v>
      </c>
      <c r="C225" s="730">
        <v>0</v>
      </c>
      <c r="D225" s="730">
        <v>0</v>
      </c>
      <c r="E225" s="730">
        <v>1920218</v>
      </c>
      <c r="F225" s="730">
        <v>220218</v>
      </c>
      <c r="G225" s="731">
        <v>2140436</v>
      </c>
      <c r="H225" s="206"/>
      <c r="I225" s="723">
        <f>C225*(1-$O$225)</f>
        <v>0</v>
      </c>
      <c r="J225" s="723">
        <f t="shared" ref="J225:L225" si="30">D225*(1-$O$225)</f>
        <v>0</v>
      </c>
      <c r="K225" s="723">
        <f t="shared" si="30"/>
        <v>1920218</v>
      </c>
      <c r="L225" s="723">
        <f t="shared" si="30"/>
        <v>220218</v>
      </c>
      <c r="M225" s="723">
        <f>SUM(I225:L225)</f>
        <v>2140436</v>
      </c>
      <c r="N225" s="206"/>
      <c r="O225" s="222">
        <v>0</v>
      </c>
      <c r="P225" s="221">
        <v>0</v>
      </c>
      <c r="Q225" s="221">
        <v>0</v>
      </c>
      <c r="R225" s="221">
        <v>0</v>
      </c>
      <c r="S225" s="221">
        <v>0</v>
      </c>
      <c r="T225" s="229">
        <v>0</v>
      </c>
    </row>
    <row r="226" spans="1:20" hidden="1" outlineLevel="1">
      <c r="A226" s="211" t="s">
        <v>56</v>
      </c>
      <c r="B226" s="227" t="s">
        <v>66</v>
      </c>
      <c r="C226" s="730">
        <v>0</v>
      </c>
      <c r="D226" s="730">
        <v>0</v>
      </c>
      <c r="E226" s="730">
        <v>1700000</v>
      </c>
      <c r="F226" s="730">
        <v>0</v>
      </c>
      <c r="G226" s="731">
        <v>1700000</v>
      </c>
      <c r="H226" s="206"/>
      <c r="I226" s="723">
        <f>C226*(1-$O$225)</f>
        <v>0</v>
      </c>
      <c r="J226" s="723">
        <f t="shared" ref="J226" si="31">D226*(1-$O$225)</f>
        <v>0</v>
      </c>
      <c r="K226" s="723">
        <f t="shared" ref="K226" si="32">E226*(1-$O$225)</f>
        <v>1700000</v>
      </c>
      <c r="L226" s="723">
        <f t="shared" ref="L226" si="33">F226*(1-$O$225)</f>
        <v>0</v>
      </c>
      <c r="M226" s="723">
        <f>SUM(I226:L226)</f>
        <v>1700000</v>
      </c>
      <c r="N226" s="766"/>
      <c r="O226" s="656"/>
      <c r="P226" s="221">
        <v>0</v>
      </c>
      <c r="Q226" s="221">
        <v>0</v>
      </c>
      <c r="R226" s="221">
        <v>0</v>
      </c>
      <c r="S226" s="221">
        <v>0</v>
      </c>
      <c r="T226" s="229">
        <v>0</v>
      </c>
    </row>
    <row r="227" spans="1:20" hidden="1" outlineLevel="1">
      <c r="A227" s="213" t="s">
        <v>57</v>
      </c>
      <c r="B227" s="227" t="s">
        <v>66</v>
      </c>
      <c r="C227" s="732"/>
      <c r="D227" s="732"/>
      <c r="E227" s="732"/>
      <c r="F227" s="732"/>
      <c r="G227" s="733">
        <v>0</v>
      </c>
      <c r="H227" s="206"/>
      <c r="I227" s="733"/>
      <c r="J227" s="733"/>
      <c r="K227" s="733"/>
      <c r="L227" s="733"/>
      <c r="M227" s="733"/>
      <c r="N227" s="719"/>
      <c r="O227" s="216"/>
      <c r="P227" s="221"/>
      <c r="Q227" s="221"/>
      <c r="R227" s="221"/>
      <c r="S227" s="215"/>
      <c r="T227" s="229"/>
    </row>
    <row r="228" spans="1:20" hidden="1" outlineLevel="1">
      <c r="A228" s="213" t="s">
        <v>58</v>
      </c>
      <c r="B228" s="227" t="s">
        <v>66</v>
      </c>
      <c r="C228" s="732"/>
      <c r="D228" s="732"/>
      <c r="E228" s="732">
        <v>1500000</v>
      </c>
      <c r="F228" s="732"/>
      <c r="G228" s="733">
        <v>1500000</v>
      </c>
      <c r="H228" s="206"/>
      <c r="I228" s="723">
        <f>C228*(1-$O$225)</f>
        <v>0</v>
      </c>
      <c r="J228" s="723">
        <f t="shared" ref="J228" si="34">D228*(1-$O$225)</f>
        <v>0</v>
      </c>
      <c r="K228" s="723">
        <f t="shared" ref="K228" si="35">E228*(1-$O$225)</f>
        <v>1500000</v>
      </c>
      <c r="L228" s="723">
        <f t="shared" ref="L228" si="36">F228*(1-$O$225)</f>
        <v>0</v>
      </c>
      <c r="M228" s="723">
        <f>SUM(I228:L228)</f>
        <v>1500000</v>
      </c>
      <c r="N228" s="719"/>
      <c r="O228" s="216"/>
      <c r="P228" s="221"/>
      <c r="Q228" s="221"/>
      <c r="R228" s="221"/>
      <c r="S228" s="215"/>
      <c r="T228" s="229"/>
    </row>
    <row r="229" spans="1:20" hidden="1" outlineLevel="1">
      <c r="A229" s="213" t="s">
        <v>59</v>
      </c>
      <c r="B229" s="227" t="s">
        <v>66</v>
      </c>
      <c r="C229" s="732"/>
      <c r="D229" s="732"/>
      <c r="E229" s="732"/>
      <c r="F229" s="732"/>
      <c r="G229" s="733">
        <v>0</v>
      </c>
      <c r="H229" s="206"/>
      <c r="I229" s="733"/>
      <c r="J229" s="733"/>
      <c r="K229" s="733"/>
      <c r="L229" s="733"/>
      <c r="M229" s="733"/>
      <c r="N229" s="719"/>
      <c r="O229" s="216"/>
      <c r="P229" s="221"/>
      <c r="Q229" s="221"/>
      <c r="R229" s="221"/>
      <c r="S229" s="215"/>
      <c r="T229" s="229"/>
    </row>
    <row r="230" spans="1:20" hidden="1" outlineLevel="1">
      <c r="A230" s="213" t="s">
        <v>60</v>
      </c>
      <c r="B230" s="227" t="s">
        <v>66</v>
      </c>
      <c r="C230" s="732"/>
      <c r="D230" s="732"/>
      <c r="E230" s="732">
        <v>200000</v>
      </c>
      <c r="F230" s="732"/>
      <c r="G230" s="733">
        <v>200000</v>
      </c>
      <c r="H230" s="206"/>
      <c r="I230" s="723">
        <f>C230*(1-$O$225)</f>
        <v>0</v>
      </c>
      <c r="J230" s="723">
        <f t="shared" ref="J230:J232" si="37">D230*(1-$O$225)</f>
        <v>0</v>
      </c>
      <c r="K230" s="723">
        <f t="shared" ref="K230:K232" si="38">E230*(1-$O$225)</f>
        <v>200000</v>
      </c>
      <c r="L230" s="723">
        <f t="shared" ref="L230:L232" si="39">F230*(1-$O$225)</f>
        <v>0</v>
      </c>
      <c r="M230" s="723">
        <f>SUM(I230:L230)</f>
        <v>200000</v>
      </c>
      <c r="N230" s="719"/>
      <c r="O230" s="216"/>
      <c r="P230" s="221"/>
      <c r="Q230" s="221"/>
      <c r="R230" s="221"/>
      <c r="S230" s="215"/>
      <c r="T230" s="229"/>
    </row>
    <row r="231" spans="1:20" hidden="1" outlineLevel="1">
      <c r="A231" s="211" t="s">
        <v>61</v>
      </c>
      <c r="B231" s="227" t="s">
        <v>66</v>
      </c>
      <c r="C231" s="730">
        <v>0</v>
      </c>
      <c r="D231" s="730">
        <v>0</v>
      </c>
      <c r="E231" s="730">
        <v>220218</v>
      </c>
      <c r="F231" s="730">
        <v>220218</v>
      </c>
      <c r="G231" s="731">
        <v>440436</v>
      </c>
      <c r="H231" s="206"/>
      <c r="I231" s="723">
        <f>C231*(1-$O$225)</f>
        <v>0</v>
      </c>
      <c r="J231" s="723">
        <f t="shared" si="37"/>
        <v>0</v>
      </c>
      <c r="K231" s="723">
        <f t="shared" si="38"/>
        <v>220218</v>
      </c>
      <c r="L231" s="723">
        <f t="shared" si="39"/>
        <v>220218</v>
      </c>
      <c r="M231" s="723">
        <f>SUM(I231:L231)</f>
        <v>440436</v>
      </c>
      <c r="N231" s="766"/>
      <c r="O231" s="216"/>
      <c r="P231" s="221">
        <v>0</v>
      </c>
      <c r="Q231" s="221">
        <v>0</v>
      </c>
      <c r="R231" s="221">
        <v>0</v>
      </c>
      <c r="S231" s="221">
        <v>0</v>
      </c>
      <c r="T231" s="229">
        <v>0</v>
      </c>
    </row>
    <row r="232" spans="1:20" hidden="1" outlineLevel="1">
      <c r="A232" s="213" t="s">
        <v>57</v>
      </c>
      <c r="B232" s="227" t="s">
        <v>66</v>
      </c>
      <c r="C232" s="734">
        <v>0</v>
      </c>
      <c r="D232" s="734">
        <v>0</v>
      </c>
      <c r="E232" s="734">
        <v>220218</v>
      </c>
      <c r="F232" s="734">
        <v>220218</v>
      </c>
      <c r="G232" s="733">
        <v>440436</v>
      </c>
      <c r="H232" s="206"/>
      <c r="I232" s="723">
        <f>C232*(1-$O$225)</f>
        <v>0</v>
      </c>
      <c r="J232" s="723">
        <f t="shared" si="37"/>
        <v>0</v>
      </c>
      <c r="K232" s="723">
        <f t="shared" si="38"/>
        <v>220218</v>
      </c>
      <c r="L232" s="723">
        <f t="shared" si="39"/>
        <v>220218</v>
      </c>
      <c r="M232" s="723">
        <f>SUM(I232:L232)</f>
        <v>440436</v>
      </c>
      <c r="N232" s="719"/>
      <c r="O232" s="216"/>
      <c r="P232" s="221"/>
      <c r="Q232" s="221"/>
      <c r="R232" s="221"/>
      <c r="S232" s="215"/>
      <c r="T232" s="229"/>
    </row>
    <row r="233" spans="1:20" hidden="1" outlineLevel="1">
      <c r="A233" s="213" t="s">
        <v>58</v>
      </c>
      <c r="B233" s="227" t="s">
        <v>66</v>
      </c>
      <c r="C233" s="732"/>
      <c r="D233" s="732"/>
      <c r="E233" s="732"/>
      <c r="F233" s="732"/>
      <c r="G233" s="733">
        <v>0</v>
      </c>
      <c r="H233" s="206"/>
      <c r="I233" s="733"/>
      <c r="J233" s="733"/>
      <c r="K233" s="733"/>
      <c r="L233" s="733"/>
      <c r="M233" s="733"/>
      <c r="N233" s="719"/>
      <c r="O233" s="216"/>
      <c r="P233" s="221"/>
      <c r="Q233" s="221"/>
      <c r="R233" s="221"/>
      <c r="S233" s="215"/>
      <c r="T233" s="229"/>
    </row>
    <row r="234" spans="1:20" hidden="1" outlineLevel="1">
      <c r="A234" s="213" t="s">
        <v>60</v>
      </c>
      <c r="B234" s="227" t="s">
        <v>66</v>
      </c>
      <c r="C234" s="732"/>
      <c r="D234" s="732"/>
      <c r="E234" s="732"/>
      <c r="F234" s="732"/>
      <c r="G234" s="733">
        <v>0</v>
      </c>
      <c r="H234" s="206"/>
      <c r="I234" s="733"/>
      <c r="J234" s="733"/>
      <c r="K234" s="733"/>
      <c r="L234" s="733"/>
      <c r="M234" s="733"/>
      <c r="N234" s="719"/>
      <c r="O234" s="216"/>
      <c r="P234" s="221"/>
      <c r="Q234" s="221"/>
      <c r="R234" s="221"/>
      <c r="S234" s="215"/>
      <c r="T234" s="229"/>
    </row>
    <row r="235" spans="1:20" collapsed="1">
      <c r="A235" s="208" t="s">
        <v>113</v>
      </c>
      <c r="B235" s="227" t="s">
        <v>94</v>
      </c>
      <c r="C235" s="730">
        <v>6501177</v>
      </c>
      <c r="D235" s="730">
        <v>945922</v>
      </c>
      <c r="E235" s="730">
        <v>0</v>
      </c>
      <c r="F235" s="730">
        <v>0</v>
      </c>
      <c r="G235" s="731">
        <v>7447099</v>
      </c>
      <c r="H235" s="206"/>
      <c r="I235" s="723">
        <f>C235*(1-$O235)</f>
        <v>6501177</v>
      </c>
      <c r="J235" s="723">
        <f>D235*(1-$O235)</f>
        <v>945922</v>
      </c>
      <c r="K235" s="723">
        <f t="shared" ref="K235" si="40">E235*(1-$O235)</f>
        <v>0</v>
      </c>
      <c r="L235" s="723">
        <f>F235*(1-$O235)</f>
        <v>0</v>
      </c>
      <c r="M235" s="723">
        <f>SUM(I235:L235)</f>
        <v>7447099</v>
      </c>
      <c r="N235" s="766"/>
      <c r="O235" s="223">
        <v>0</v>
      </c>
      <c r="P235" s="221">
        <v>0</v>
      </c>
      <c r="Q235" s="221">
        <v>0</v>
      </c>
      <c r="R235" s="221">
        <v>0</v>
      </c>
      <c r="S235" s="221">
        <v>0</v>
      </c>
      <c r="T235" s="229">
        <v>0</v>
      </c>
    </row>
    <row r="236" spans="1:20" hidden="1" outlineLevel="1">
      <c r="A236" s="211" t="s">
        <v>56</v>
      </c>
      <c r="B236" s="227" t="s">
        <v>94</v>
      </c>
      <c r="C236" s="737">
        <v>6501177</v>
      </c>
      <c r="D236" s="737">
        <v>945922</v>
      </c>
      <c r="E236" s="737"/>
      <c r="F236" s="737"/>
      <c r="G236" s="739">
        <v>7447099</v>
      </c>
      <c r="H236" s="206"/>
      <c r="I236" s="723">
        <f>C236*(1-$O235)</f>
        <v>6501177</v>
      </c>
      <c r="J236" s="723">
        <f t="shared" ref="J236:L236" si="41">D236*(1-$O235)</f>
        <v>945922</v>
      </c>
      <c r="K236" s="723">
        <f t="shared" si="41"/>
        <v>0</v>
      </c>
      <c r="L236" s="723">
        <f t="shared" si="41"/>
        <v>0</v>
      </c>
      <c r="M236" s="723">
        <f>SUM(I236:L236)</f>
        <v>7447099</v>
      </c>
      <c r="N236" s="767"/>
      <c r="O236" s="216"/>
      <c r="P236" s="221">
        <v>0</v>
      </c>
      <c r="Q236" s="221">
        <v>0</v>
      </c>
      <c r="R236" s="221">
        <v>0</v>
      </c>
      <c r="S236" s="221">
        <v>0</v>
      </c>
      <c r="T236" s="229">
        <v>0</v>
      </c>
    </row>
    <row r="237" spans="1:20" hidden="1" outlineLevel="1">
      <c r="A237" s="213" t="s">
        <v>57</v>
      </c>
      <c r="B237" s="227" t="s">
        <v>94</v>
      </c>
      <c r="C237" s="732"/>
      <c r="D237" s="732"/>
      <c r="E237" s="732"/>
      <c r="F237" s="732"/>
      <c r="G237" s="733">
        <v>0</v>
      </c>
      <c r="H237" s="206"/>
      <c r="I237" s="733"/>
      <c r="J237" s="733"/>
      <c r="K237" s="733"/>
      <c r="L237" s="733"/>
      <c r="M237" s="733"/>
      <c r="N237" s="719"/>
      <c r="O237" s="216"/>
      <c r="P237" s="221"/>
      <c r="Q237" s="221"/>
      <c r="R237" s="221"/>
      <c r="S237" s="215"/>
      <c r="T237" s="229"/>
    </row>
    <row r="238" spans="1:20" hidden="1" outlineLevel="1">
      <c r="A238" s="213" t="s">
        <v>58</v>
      </c>
      <c r="B238" s="227" t="s">
        <v>94</v>
      </c>
      <c r="C238" s="732"/>
      <c r="D238" s="732"/>
      <c r="E238" s="732"/>
      <c r="F238" s="732"/>
      <c r="G238" s="733">
        <v>0</v>
      </c>
      <c r="H238" s="206"/>
      <c r="I238" s="733"/>
      <c r="J238" s="733"/>
      <c r="K238" s="733"/>
      <c r="L238" s="733"/>
      <c r="M238" s="733"/>
      <c r="N238" s="719"/>
      <c r="O238" s="216"/>
      <c r="P238" s="221"/>
      <c r="Q238" s="221"/>
      <c r="R238" s="221"/>
      <c r="S238" s="215"/>
      <c r="T238" s="229"/>
    </row>
    <row r="239" spans="1:20" hidden="1" outlineLevel="1">
      <c r="A239" s="213" t="s">
        <v>59</v>
      </c>
      <c r="B239" s="227" t="s">
        <v>94</v>
      </c>
      <c r="C239" s="732"/>
      <c r="D239" s="732"/>
      <c r="E239" s="732"/>
      <c r="F239" s="732"/>
      <c r="G239" s="733">
        <v>0</v>
      </c>
      <c r="H239" s="206"/>
      <c r="I239" s="733"/>
      <c r="J239" s="733"/>
      <c r="K239" s="733"/>
      <c r="L239" s="733"/>
      <c r="M239" s="733"/>
      <c r="N239" s="719"/>
      <c r="O239" s="216"/>
      <c r="P239" s="221"/>
      <c r="Q239" s="221"/>
      <c r="R239" s="221"/>
      <c r="S239" s="215"/>
      <c r="T239" s="229"/>
    </row>
    <row r="240" spans="1:20" hidden="1" outlineLevel="1">
      <c r="A240" s="213" t="s">
        <v>60</v>
      </c>
      <c r="B240" s="227" t="s">
        <v>94</v>
      </c>
      <c r="C240" s="732"/>
      <c r="D240" s="732"/>
      <c r="E240" s="732"/>
      <c r="F240" s="732"/>
      <c r="G240" s="733">
        <v>0</v>
      </c>
      <c r="H240" s="206"/>
      <c r="I240" s="733"/>
      <c r="J240" s="733"/>
      <c r="K240" s="733"/>
      <c r="L240" s="733"/>
      <c r="M240" s="733"/>
      <c r="N240" s="719"/>
      <c r="O240" s="216"/>
      <c r="P240" s="221"/>
      <c r="Q240" s="221"/>
      <c r="R240" s="221"/>
      <c r="S240" s="215"/>
      <c r="T240" s="229"/>
    </row>
    <row r="241" spans="1:147" hidden="1" outlineLevel="1">
      <c r="A241" s="211" t="s">
        <v>61</v>
      </c>
      <c r="B241" s="227" t="s">
        <v>94</v>
      </c>
      <c r="C241" s="730">
        <v>0</v>
      </c>
      <c r="D241" s="730">
        <v>0</v>
      </c>
      <c r="E241" s="730">
        <v>0</v>
      </c>
      <c r="F241" s="730">
        <v>0</v>
      </c>
      <c r="G241" s="731">
        <v>0</v>
      </c>
      <c r="H241" s="206"/>
      <c r="I241" s="731"/>
      <c r="J241" s="731"/>
      <c r="K241" s="731"/>
      <c r="L241" s="731"/>
      <c r="M241" s="731"/>
      <c r="N241" s="766"/>
      <c r="O241" s="216"/>
      <c r="P241" s="221">
        <v>0</v>
      </c>
      <c r="Q241" s="221">
        <v>0</v>
      </c>
      <c r="R241" s="221">
        <v>0</v>
      </c>
      <c r="S241" s="221">
        <v>0</v>
      </c>
      <c r="T241" s="229">
        <v>0</v>
      </c>
    </row>
    <row r="242" spans="1:147" hidden="1" outlineLevel="1">
      <c r="A242" s="213" t="s">
        <v>57</v>
      </c>
      <c r="B242" s="227" t="s">
        <v>94</v>
      </c>
      <c r="C242" s="734">
        <v>0</v>
      </c>
      <c r="D242" s="734">
        <v>0</v>
      </c>
      <c r="E242" s="734">
        <v>0</v>
      </c>
      <c r="F242" s="734">
        <v>0</v>
      </c>
      <c r="G242" s="733">
        <v>0</v>
      </c>
      <c r="H242" s="206"/>
      <c r="I242" s="733"/>
      <c r="J242" s="733"/>
      <c r="K242" s="733"/>
      <c r="L242" s="733"/>
      <c r="M242" s="733"/>
      <c r="N242" s="719"/>
      <c r="O242" s="216"/>
      <c r="P242" s="221"/>
      <c r="Q242" s="221"/>
      <c r="R242" s="221"/>
      <c r="S242" s="215"/>
      <c r="T242" s="229"/>
    </row>
    <row r="243" spans="1:147" hidden="1" outlineLevel="1">
      <c r="A243" s="213" t="s">
        <v>58</v>
      </c>
      <c r="B243" s="227" t="s">
        <v>94</v>
      </c>
      <c r="C243" s="732"/>
      <c r="D243" s="732"/>
      <c r="E243" s="732"/>
      <c r="F243" s="732"/>
      <c r="G243" s="733">
        <v>0</v>
      </c>
      <c r="H243" s="206"/>
      <c r="I243" s="733"/>
      <c r="J243" s="733"/>
      <c r="K243" s="733"/>
      <c r="L243" s="733"/>
      <c r="M243" s="733"/>
      <c r="N243" s="719"/>
      <c r="O243" s="216"/>
      <c r="P243" s="221"/>
      <c r="Q243" s="221"/>
      <c r="R243" s="221"/>
      <c r="S243" s="215"/>
      <c r="T243" s="229"/>
    </row>
    <row r="244" spans="1:147" hidden="1" outlineLevel="1">
      <c r="A244" s="213" t="s">
        <v>60</v>
      </c>
      <c r="B244" s="227" t="s">
        <v>94</v>
      </c>
      <c r="C244" s="732"/>
      <c r="D244" s="732"/>
      <c r="E244" s="732"/>
      <c r="F244" s="732"/>
      <c r="G244" s="733">
        <v>0</v>
      </c>
      <c r="H244" s="206"/>
      <c r="I244" s="733"/>
      <c r="J244" s="733"/>
      <c r="K244" s="733"/>
      <c r="L244" s="733"/>
      <c r="M244" s="733"/>
      <c r="N244" s="719"/>
      <c r="O244" s="216"/>
      <c r="P244" s="221"/>
      <c r="Q244" s="221"/>
      <c r="R244" s="221"/>
      <c r="S244" s="215"/>
      <c r="T244" s="229"/>
    </row>
    <row r="245" spans="1:147" collapsed="1">
      <c r="A245" s="208" t="s">
        <v>117</v>
      </c>
      <c r="B245" s="227" t="s">
        <v>94</v>
      </c>
      <c r="C245" s="730">
        <v>0</v>
      </c>
      <c r="D245" s="730">
        <v>0</v>
      </c>
      <c r="E245" s="730">
        <v>475000</v>
      </c>
      <c r="F245" s="730">
        <v>3500000</v>
      </c>
      <c r="G245" s="731">
        <v>3975000</v>
      </c>
      <c r="H245" s="206"/>
      <c r="I245" s="723">
        <f>C245*(1-$O245)</f>
        <v>0</v>
      </c>
      <c r="J245" s="723">
        <f>D245*(1-$O245)</f>
        <v>0</v>
      </c>
      <c r="K245" s="723">
        <f t="shared" ref="K245" si="42">E245*(1-$O245)</f>
        <v>0</v>
      </c>
      <c r="L245" s="723">
        <f>F245*(1-$O245)</f>
        <v>0</v>
      </c>
      <c r="M245" s="723">
        <f>SUM(I245:L245)</f>
        <v>0</v>
      </c>
      <c r="N245" s="766"/>
      <c r="O245" s="220">
        <v>1</v>
      </c>
      <c r="P245" s="221">
        <v>0</v>
      </c>
      <c r="Q245" s="221">
        <v>0</v>
      </c>
      <c r="R245" s="221">
        <v>475000</v>
      </c>
      <c r="S245" s="221">
        <v>3500000</v>
      </c>
      <c r="T245" s="229">
        <v>3975000</v>
      </c>
    </row>
    <row r="246" spans="1:147" hidden="1" outlineLevel="1">
      <c r="A246" s="211" t="s">
        <v>56</v>
      </c>
      <c r="B246" s="227" t="s">
        <v>94</v>
      </c>
      <c r="C246" s="730">
        <v>0</v>
      </c>
      <c r="D246" s="730">
        <v>0</v>
      </c>
      <c r="E246" s="737">
        <v>475000</v>
      </c>
      <c r="F246" s="737">
        <v>3500000</v>
      </c>
      <c r="G246" s="731">
        <v>3975000</v>
      </c>
      <c r="H246" s="206"/>
      <c r="I246" s="731"/>
      <c r="J246" s="731"/>
      <c r="K246" s="731"/>
      <c r="L246" s="731"/>
      <c r="M246" s="731"/>
      <c r="N246" s="766"/>
      <c r="O246" s="216"/>
      <c r="P246" s="221">
        <v>0</v>
      </c>
      <c r="Q246" s="221">
        <v>0</v>
      </c>
      <c r="R246" s="221">
        <v>475000</v>
      </c>
      <c r="S246" s="221">
        <v>3500000</v>
      </c>
      <c r="T246" s="229">
        <v>3975000</v>
      </c>
    </row>
    <row r="247" spans="1:147" hidden="1" outlineLevel="1">
      <c r="A247" s="213" t="s">
        <v>57</v>
      </c>
      <c r="B247" s="227" t="s">
        <v>94</v>
      </c>
      <c r="C247" s="734">
        <v>0</v>
      </c>
      <c r="D247" s="734">
        <v>0</v>
      </c>
      <c r="E247" s="734"/>
      <c r="F247" s="734"/>
      <c r="G247" s="733">
        <v>0</v>
      </c>
      <c r="H247" s="206"/>
      <c r="I247" s="733"/>
      <c r="J247" s="733"/>
      <c r="K247" s="733"/>
      <c r="L247" s="733"/>
      <c r="M247" s="733"/>
      <c r="N247" s="719"/>
      <c r="O247" s="216"/>
      <c r="P247" s="221"/>
      <c r="Q247" s="221"/>
      <c r="R247" s="221"/>
      <c r="S247" s="215"/>
      <c r="T247" s="229"/>
    </row>
    <row r="248" spans="1:147" hidden="1" outlineLevel="1">
      <c r="A248" s="213" t="s">
        <v>58</v>
      </c>
      <c r="B248" s="227" t="s">
        <v>94</v>
      </c>
      <c r="C248" s="732"/>
      <c r="D248" s="732"/>
      <c r="E248" s="732"/>
      <c r="F248" s="732"/>
      <c r="G248" s="733">
        <v>0</v>
      </c>
      <c r="H248" s="206"/>
      <c r="I248" s="733"/>
      <c r="J248" s="733"/>
      <c r="K248" s="733"/>
      <c r="L248" s="733"/>
      <c r="M248" s="733"/>
      <c r="N248" s="719"/>
      <c r="O248" s="216"/>
      <c r="P248" s="221"/>
      <c r="Q248" s="221"/>
      <c r="R248" s="221"/>
      <c r="S248" s="215"/>
      <c r="T248" s="229"/>
    </row>
    <row r="249" spans="1:147" hidden="1" outlineLevel="1">
      <c r="A249" s="213" t="s">
        <v>59</v>
      </c>
      <c r="B249" s="227" t="s">
        <v>94</v>
      </c>
      <c r="C249" s="732"/>
      <c r="D249" s="732"/>
      <c r="E249" s="732"/>
      <c r="F249" s="732"/>
      <c r="G249" s="733">
        <v>0</v>
      </c>
      <c r="H249" s="206"/>
      <c r="I249" s="733"/>
      <c r="J249" s="733"/>
      <c r="K249" s="733"/>
      <c r="L249" s="733"/>
      <c r="M249" s="733"/>
      <c r="N249" s="719"/>
      <c r="O249" s="216"/>
      <c r="P249" s="221"/>
      <c r="Q249" s="221"/>
      <c r="R249" s="221"/>
      <c r="S249" s="215"/>
      <c r="T249" s="229"/>
    </row>
    <row r="250" spans="1:147" hidden="1" outlineLevel="1">
      <c r="A250" s="213" t="s">
        <v>60</v>
      </c>
      <c r="B250" s="227" t="s">
        <v>94</v>
      </c>
      <c r="C250" s="732"/>
      <c r="D250" s="732"/>
      <c r="E250" s="732"/>
      <c r="F250" s="732"/>
      <c r="G250" s="733">
        <v>0</v>
      </c>
      <c r="H250" s="206"/>
      <c r="I250" s="733"/>
      <c r="J250" s="733"/>
      <c r="K250" s="733"/>
      <c r="L250" s="733"/>
      <c r="M250" s="733"/>
      <c r="N250" s="719"/>
      <c r="O250" s="216"/>
      <c r="P250" s="221"/>
      <c r="Q250" s="221"/>
      <c r="R250" s="221"/>
      <c r="S250" s="215"/>
      <c r="T250" s="229"/>
    </row>
    <row r="251" spans="1:147" hidden="1" outlineLevel="1">
      <c r="A251" s="211" t="s">
        <v>61</v>
      </c>
      <c r="B251" s="227" t="s">
        <v>94</v>
      </c>
      <c r="C251" s="730">
        <v>0</v>
      </c>
      <c r="D251" s="730">
        <v>0</v>
      </c>
      <c r="E251" s="730">
        <v>0</v>
      </c>
      <c r="F251" s="730">
        <v>0</v>
      </c>
      <c r="G251" s="731">
        <v>0</v>
      </c>
      <c r="H251" s="206"/>
      <c r="I251" s="731"/>
      <c r="J251" s="731"/>
      <c r="K251" s="731"/>
      <c r="L251" s="731"/>
      <c r="M251" s="731"/>
      <c r="N251" s="766"/>
      <c r="O251" s="216"/>
      <c r="P251" s="221">
        <v>0</v>
      </c>
      <c r="Q251" s="221">
        <v>0</v>
      </c>
      <c r="R251" s="221">
        <v>0</v>
      </c>
      <c r="S251" s="221">
        <v>0</v>
      </c>
      <c r="T251" s="229">
        <v>0</v>
      </c>
    </row>
    <row r="252" spans="1:147" hidden="1" outlineLevel="1">
      <c r="A252" s="213" t="s">
        <v>57</v>
      </c>
      <c r="B252" s="227" t="s">
        <v>94</v>
      </c>
      <c r="C252" s="734"/>
      <c r="D252" s="734"/>
      <c r="E252" s="734"/>
      <c r="F252" s="734"/>
      <c r="G252" s="733">
        <v>0</v>
      </c>
      <c r="H252" s="206"/>
      <c r="I252" s="733"/>
      <c r="J252" s="733"/>
      <c r="K252" s="733"/>
      <c r="L252" s="733"/>
      <c r="M252" s="733"/>
      <c r="N252" s="719"/>
      <c r="O252" s="216"/>
      <c r="P252" s="221"/>
      <c r="Q252" s="221"/>
      <c r="R252" s="221"/>
      <c r="S252" s="215"/>
      <c r="T252" s="229"/>
    </row>
    <row r="253" spans="1:147" hidden="1" outlineLevel="1">
      <c r="A253" s="213" t="s">
        <v>58</v>
      </c>
      <c r="B253" s="227" t="s">
        <v>94</v>
      </c>
      <c r="C253" s="732"/>
      <c r="D253" s="732"/>
      <c r="E253" s="732"/>
      <c r="F253" s="732"/>
      <c r="G253" s="733">
        <v>0</v>
      </c>
      <c r="H253" s="206"/>
      <c r="I253" s="733"/>
      <c r="J253" s="733"/>
      <c r="K253" s="733"/>
      <c r="L253" s="733"/>
      <c r="M253" s="733"/>
      <c r="N253" s="719"/>
      <c r="O253" s="216"/>
      <c r="P253" s="221"/>
      <c r="Q253" s="221"/>
      <c r="R253" s="221"/>
      <c r="S253" s="215"/>
      <c r="T253" s="229"/>
    </row>
    <row r="254" spans="1:147" hidden="1" outlineLevel="1">
      <c r="A254" s="217" t="s">
        <v>60</v>
      </c>
      <c r="B254" s="227" t="s">
        <v>94</v>
      </c>
      <c r="C254" s="732"/>
      <c r="D254" s="732"/>
      <c r="E254" s="732"/>
      <c r="F254" s="732"/>
      <c r="G254" s="733">
        <v>0</v>
      </c>
      <c r="H254" s="206"/>
      <c r="I254" s="733"/>
      <c r="J254" s="733"/>
      <c r="K254" s="733"/>
      <c r="L254" s="733"/>
      <c r="M254" s="733"/>
      <c r="N254" s="719"/>
      <c r="O254" s="216"/>
      <c r="P254" s="221"/>
      <c r="Q254" s="221"/>
      <c r="R254" s="221"/>
      <c r="S254" s="215"/>
      <c r="T254" s="229"/>
    </row>
    <row r="255" spans="1:147" collapsed="1">
      <c r="A255" s="740" t="s">
        <v>104</v>
      </c>
      <c r="B255" s="741"/>
      <c r="C255" s="742">
        <f>C5+C15+C25+C35+C45+C55+C65+C75+C85+C95+C105+C115+C125+C135+C145+C155+C165+C175+C185+C195+C205+C215+C225+C235+C245</f>
        <v>12902712</v>
      </c>
      <c r="D255" s="742">
        <f t="shared" ref="D255:T255" si="43">D5+D15+D25+D35+D45+D55+D65+D75+D85+D95+D105+D115+D125+D135+D145+D155+D165+D175+D185+D195+D205+D215+D225+D235+D245</f>
        <v>20952999</v>
      </c>
      <c r="E255" s="742">
        <f t="shared" si="43"/>
        <v>16226576.5</v>
      </c>
      <c r="F255" s="742">
        <f t="shared" si="43"/>
        <v>11493576.5</v>
      </c>
      <c r="G255" s="742">
        <f t="shared" si="43"/>
        <v>61575864</v>
      </c>
      <c r="H255" s="206"/>
      <c r="I255" s="742">
        <f>I5+I15+I25+I35+I45+I55+I65+I75+I85+I95+I105+I115+I125+I135+I145+I155+I165+I175+I185+I195+I205+I215+I225+I235+I245</f>
        <v>6501177</v>
      </c>
      <c r="J255" s="742">
        <f t="shared" ref="J255:M255" si="44">J5+J15+J25+J35+J45+J55+J65+J75+J85+J95+J105+J115+J125+J135+J145+J155+J165+J175+J185+J195+J205+J215+J225+J235+J245</f>
        <v>2161922</v>
      </c>
      <c r="K255" s="742">
        <f t="shared" si="44"/>
        <v>4289218</v>
      </c>
      <c r="L255" s="742">
        <f t="shared" si="44"/>
        <v>2085218</v>
      </c>
      <c r="M255" s="742">
        <f t="shared" si="44"/>
        <v>15037535</v>
      </c>
      <c r="N255" s="742"/>
      <c r="O255" s="742"/>
      <c r="P255" s="742">
        <f t="shared" si="43"/>
        <v>6401535</v>
      </c>
      <c r="Q255" s="742">
        <f t="shared" si="43"/>
        <v>18791077</v>
      </c>
      <c r="R255" s="742">
        <f t="shared" si="43"/>
        <v>11937358.5</v>
      </c>
      <c r="S255" s="742">
        <f t="shared" si="43"/>
        <v>9408358.5</v>
      </c>
      <c r="T255" s="742">
        <f t="shared" si="43"/>
        <v>46538329</v>
      </c>
    </row>
    <row r="256" spans="1:147" s="771" customFormat="1">
      <c r="A256" s="771" t="s">
        <v>56</v>
      </c>
      <c r="C256" s="772">
        <f>C66+C76+C86+C96+C106+C116+C176+C186+C216+C226+C236+C246</f>
        <v>10402427</v>
      </c>
      <c r="D256" s="772">
        <f t="shared" ref="D256" si="45">D66+D76+D86+D96+D106+D116+D176+D186+D216+D226+D236+D246</f>
        <v>17317927</v>
      </c>
      <c r="E256" s="772">
        <f>E66+E76+E86+E96+E106+E116+E176+E186+E216+E226+E236+E246</f>
        <v>12293000</v>
      </c>
      <c r="F256" s="772">
        <f>F66+F76+F86+F96+F106+F116+F176+F186+F216+F226+F236+F246</f>
        <v>7360000</v>
      </c>
      <c r="G256" s="772">
        <f>G66+G76+G86+G96+G106+G116+G176+G186+G216+G226+G236+G246</f>
        <v>47373354</v>
      </c>
      <c r="H256" s="206"/>
      <c r="I256" s="772">
        <f>I66+I76+I86+I96+I106+I116+I176+I186+I216+I226+I236+I246</f>
        <v>6501177</v>
      </c>
      <c r="J256" s="772">
        <f t="shared" ref="J256" si="46">J66+J76+J86+J96+J106+J116+J176+J186+J216+J226+J236+J246</f>
        <v>2161922</v>
      </c>
      <c r="K256" s="772">
        <f>K66+K76+K86+K96+K106+K116+K176+K186+K216+K226+K236+K246</f>
        <v>3844000</v>
      </c>
      <c r="L256" s="772">
        <f>L66+L76+L86+L96+L106+L116+L176+L186+L216+L226+L236+L246</f>
        <v>1640000</v>
      </c>
      <c r="M256" s="772">
        <f>M66+M76+M86+M96+M106+M116+M176+M186+M216+M226+M236+M246</f>
        <v>14147099</v>
      </c>
      <c r="P256" s="772">
        <f>P66+P76+P86+P96+P106+P116+P176+P186+P216+P226+P236+P246</f>
        <v>3901250</v>
      </c>
      <c r="Q256" s="772">
        <f>Q66+Q76+Q86+Q96+Q106+Q116+Q176+Q186+Q216+Q226+Q236+Q246</f>
        <v>15156005</v>
      </c>
      <c r="R256" s="772">
        <f t="shared" ref="R256:T256" si="47">R66+R76+R86+R96+R106+R116+R176+R186+R216+R226+R236+R246</f>
        <v>8449000</v>
      </c>
      <c r="S256" s="772">
        <f t="shared" si="47"/>
        <v>5720000</v>
      </c>
      <c r="T256" s="772">
        <f t="shared" si="47"/>
        <v>33226255</v>
      </c>
      <c r="U256" s="206"/>
      <c r="V256" s="206"/>
      <c r="W256" s="206"/>
      <c r="X256" s="206"/>
      <c r="Y256" s="206"/>
      <c r="Z256" s="206"/>
      <c r="AA256" s="206"/>
      <c r="AB256" s="206"/>
      <c r="AC256" s="206"/>
      <c r="AD256" s="206"/>
      <c r="AE256" s="206"/>
      <c r="AF256" s="206"/>
      <c r="AG256" s="206"/>
      <c r="AH256" s="206"/>
      <c r="AI256" s="206"/>
      <c r="AJ256" s="206"/>
      <c r="AK256" s="206"/>
      <c r="AL256" s="206"/>
      <c r="AM256" s="206"/>
      <c r="AN256" s="206"/>
      <c r="AO256" s="206"/>
      <c r="AP256" s="206"/>
      <c r="AQ256" s="206"/>
      <c r="AR256" s="206"/>
      <c r="AS256" s="206"/>
      <c r="AT256" s="206"/>
      <c r="AU256" s="206"/>
      <c r="AV256" s="206"/>
      <c r="AW256" s="206"/>
      <c r="AX256" s="206"/>
      <c r="AY256" s="206"/>
      <c r="AZ256" s="206"/>
      <c r="BA256" s="206"/>
      <c r="BB256" s="206"/>
      <c r="BC256" s="206"/>
      <c r="BD256" s="206"/>
      <c r="BE256" s="206"/>
      <c r="BF256" s="206"/>
      <c r="BG256" s="206"/>
      <c r="BH256" s="206"/>
      <c r="BI256" s="206"/>
      <c r="BJ256" s="206"/>
      <c r="BK256" s="206"/>
      <c r="BL256" s="206"/>
      <c r="BM256" s="206"/>
      <c r="BN256" s="206"/>
      <c r="BO256" s="206"/>
      <c r="BP256" s="206"/>
      <c r="BQ256" s="206"/>
      <c r="BR256" s="206"/>
      <c r="BS256" s="206"/>
      <c r="BT256" s="206"/>
      <c r="BU256" s="206"/>
      <c r="BV256" s="206"/>
      <c r="BW256" s="206"/>
      <c r="BX256" s="206"/>
      <c r="BY256" s="206"/>
      <c r="BZ256" s="206"/>
      <c r="CA256" s="206"/>
      <c r="CB256" s="206"/>
      <c r="CC256" s="206"/>
      <c r="CD256" s="206"/>
      <c r="CE256" s="206"/>
      <c r="CF256" s="206"/>
      <c r="CG256" s="206"/>
      <c r="CH256" s="206"/>
      <c r="CI256" s="206"/>
      <c r="CJ256" s="206"/>
      <c r="CK256" s="206"/>
      <c r="CL256" s="206"/>
      <c r="CM256" s="206"/>
      <c r="CN256" s="206"/>
      <c r="CO256" s="206"/>
      <c r="CP256" s="206"/>
      <c r="CQ256" s="206"/>
      <c r="CR256" s="206"/>
      <c r="CS256" s="206"/>
      <c r="CT256" s="206"/>
      <c r="CU256" s="206"/>
      <c r="CV256" s="206"/>
      <c r="CW256" s="206"/>
      <c r="CX256" s="206"/>
      <c r="CY256" s="206"/>
      <c r="CZ256" s="206"/>
      <c r="DA256" s="206"/>
      <c r="DB256" s="206"/>
      <c r="DC256" s="206"/>
      <c r="DD256" s="206"/>
      <c r="DE256" s="206"/>
      <c r="DF256" s="206"/>
      <c r="DG256" s="206"/>
      <c r="DH256" s="206"/>
      <c r="DI256" s="206"/>
      <c r="DJ256" s="206"/>
      <c r="DK256" s="206"/>
      <c r="DL256" s="206"/>
      <c r="DM256" s="206"/>
      <c r="DN256" s="206"/>
      <c r="DO256" s="206"/>
      <c r="DP256" s="206"/>
      <c r="DQ256" s="206"/>
      <c r="DR256" s="206"/>
      <c r="DS256" s="206"/>
      <c r="DT256" s="206"/>
      <c r="DU256" s="206"/>
      <c r="DV256" s="206"/>
      <c r="DW256" s="206"/>
      <c r="DX256" s="206"/>
      <c r="DY256" s="206"/>
      <c r="DZ256" s="206"/>
      <c r="EA256" s="206"/>
      <c r="EB256" s="206"/>
      <c r="EC256" s="206"/>
      <c r="ED256" s="206"/>
      <c r="EE256" s="206"/>
      <c r="EF256" s="206"/>
      <c r="EG256" s="206"/>
      <c r="EH256" s="206"/>
      <c r="EI256" s="206"/>
      <c r="EJ256" s="206"/>
      <c r="EK256" s="206"/>
      <c r="EL256" s="206"/>
      <c r="EM256" s="206"/>
      <c r="EN256" s="206"/>
      <c r="EO256" s="206"/>
      <c r="EP256" s="206"/>
      <c r="EQ256" s="206"/>
    </row>
    <row r="257" spans="1:147" s="771" customFormat="1">
      <c r="A257" s="771" t="s">
        <v>61</v>
      </c>
      <c r="C257" s="772">
        <f>C11+C21+C41+C51+C61+C71+C91+C101+C111+C131+C151+C161+C171+C181+C221+C231</f>
        <v>2500285</v>
      </c>
      <c r="D257" s="772">
        <f>D11+D21+D41+D51+D61+D71+D91+D101+D111+D131+D151+D161+D171+D181+D221+D231</f>
        <v>3635072</v>
      </c>
      <c r="E257" s="772">
        <f>E11+E21+E41+E51+E61+E71+E91+E101+E111+E131+E151+E161+E171+E181+E221+E231</f>
        <v>3933576.5</v>
      </c>
      <c r="F257" s="772">
        <f>F11+F21+F41+F51+F61+F71+F91+F101+F111+F131+F151+F161+F171+F181+F221+F231</f>
        <v>4133576.5</v>
      </c>
      <c r="G257" s="772">
        <f t="shared" ref="G257:T257" si="48">G11+G21+G41+G51+G61+G71+G91+G101+G111+G131+G151+G161+G171+G181+G221+G231</f>
        <v>14202510</v>
      </c>
      <c r="H257" s="206"/>
      <c r="I257" s="772">
        <f>I11+I21+I41+I51+I61+I71+I91+I101+I111+I131+I151+I161+I171+I181+I221+I231</f>
        <v>0</v>
      </c>
      <c r="J257" s="772">
        <f>J11+J21+J41+J51+J61+J71+J91+J101+J111+J131+J151+J161+J171+J181+J221+J231</f>
        <v>0</v>
      </c>
      <c r="K257" s="772">
        <f>K11+K21+K41+K51+K61+K71+K91+K101+K111+K131+K151+K161+K171+K181+K221+K231</f>
        <v>445218</v>
      </c>
      <c r="L257" s="772">
        <f>L11+L21+L41+L51+L61+L71+L91+L101+L111+L131+L151+L161+L171+L181+L221+L231</f>
        <v>445218</v>
      </c>
      <c r="M257" s="772">
        <f t="shared" ref="M257" si="49">M11+M21+M41+M51+M61+M71+M91+M101+M111+M131+M151+M161+M171+M181+M221+M231</f>
        <v>890436</v>
      </c>
      <c r="P257" s="772">
        <f t="shared" si="48"/>
        <v>2500285</v>
      </c>
      <c r="Q257" s="772">
        <f t="shared" si="48"/>
        <v>3635072</v>
      </c>
      <c r="R257" s="772">
        <f t="shared" si="48"/>
        <v>3488358.5</v>
      </c>
      <c r="S257" s="772">
        <f t="shared" si="48"/>
        <v>3688358.5</v>
      </c>
      <c r="T257" s="772">
        <f t="shared" si="48"/>
        <v>13312074</v>
      </c>
      <c r="U257" s="206"/>
      <c r="V257" s="206"/>
      <c r="W257" s="206"/>
      <c r="X257" s="206"/>
      <c r="Y257" s="206"/>
      <c r="Z257" s="206"/>
      <c r="AA257" s="206"/>
      <c r="AB257" s="206"/>
      <c r="AC257" s="206"/>
      <c r="AD257" s="206"/>
      <c r="AE257" s="206"/>
      <c r="AF257" s="206"/>
      <c r="AG257" s="206"/>
      <c r="AH257" s="206"/>
      <c r="AI257" s="206"/>
      <c r="AJ257" s="206"/>
      <c r="AK257" s="206"/>
      <c r="AL257" s="206"/>
      <c r="AM257" s="206"/>
      <c r="AN257" s="206"/>
      <c r="AO257" s="206"/>
      <c r="AP257" s="206"/>
      <c r="AQ257" s="206"/>
      <c r="AR257" s="206"/>
      <c r="AS257" s="206"/>
      <c r="AT257" s="206"/>
      <c r="AU257" s="206"/>
      <c r="AV257" s="206"/>
      <c r="AW257" s="206"/>
      <c r="AX257" s="206"/>
      <c r="AY257" s="206"/>
      <c r="AZ257" s="206"/>
      <c r="BA257" s="206"/>
      <c r="BB257" s="206"/>
      <c r="BC257" s="206"/>
      <c r="BD257" s="206"/>
      <c r="BE257" s="206"/>
      <c r="BF257" s="206"/>
      <c r="BG257" s="206"/>
      <c r="BH257" s="206"/>
      <c r="BI257" s="206"/>
      <c r="BJ257" s="206"/>
      <c r="BK257" s="206"/>
      <c r="BL257" s="206"/>
      <c r="BM257" s="206"/>
      <c r="BN257" s="206"/>
      <c r="BO257" s="206"/>
      <c r="BP257" s="206"/>
      <c r="BQ257" s="206"/>
      <c r="BR257" s="206"/>
      <c r="BS257" s="206"/>
      <c r="BT257" s="206"/>
      <c r="BU257" s="206"/>
      <c r="BV257" s="206"/>
      <c r="BW257" s="206"/>
      <c r="BX257" s="206"/>
      <c r="BY257" s="206"/>
      <c r="BZ257" s="206"/>
      <c r="CA257" s="206"/>
      <c r="CB257" s="206"/>
      <c r="CC257" s="206"/>
      <c r="CD257" s="206"/>
      <c r="CE257" s="206"/>
      <c r="CF257" s="206"/>
      <c r="CG257" s="206"/>
      <c r="CH257" s="206"/>
      <c r="CI257" s="206"/>
      <c r="CJ257" s="206"/>
      <c r="CK257" s="206"/>
      <c r="CL257" s="206"/>
      <c r="CM257" s="206"/>
      <c r="CN257" s="206"/>
      <c r="CO257" s="206"/>
      <c r="CP257" s="206"/>
      <c r="CQ257" s="206"/>
      <c r="CR257" s="206"/>
      <c r="CS257" s="206"/>
      <c r="CT257" s="206"/>
      <c r="CU257" s="206"/>
      <c r="CV257" s="206"/>
      <c r="CW257" s="206"/>
      <c r="CX257" s="206"/>
      <c r="CY257" s="206"/>
      <c r="CZ257" s="206"/>
      <c r="DA257" s="206"/>
      <c r="DB257" s="206"/>
      <c r="DC257" s="206"/>
      <c r="DD257" s="206"/>
      <c r="DE257" s="206"/>
      <c r="DF257" s="206"/>
      <c r="DG257" s="206"/>
      <c r="DH257" s="206"/>
      <c r="DI257" s="206"/>
      <c r="DJ257" s="206"/>
      <c r="DK257" s="206"/>
      <c r="DL257" s="206"/>
      <c r="DM257" s="206"/>
      <c r="DN257" s="206"/>
      <c r="DO257" s="206"/>
      <c r="DP257" s="206"/>
      <c r="DQ257" s="206"/>
      <c r="DR257" s="206"/>
      <c r="DS257" s="206"/>
      <c r="DT257" s="206"/>
      <c r="DU257" s="206"/>
      <c r="DV257" s="206"/>
      <c r="DW257" s="206"/>
      <c r="DX257" s="206"/>
      <c r="DY257" s="206"/>
      <c r="DZ257" s="206"/>
      <c r="EA257" s="206"/>
      <c r="EB257" s="206"/>
      <c r="EC257" s="206"/>
      <c r="ED257" s="206"/>
      <c r="EE257" s="206"/>
      <c r="EF257" s="206"/>
      <c r="EG257" s="206"/>
      <c r="EH257" s="206"/>
      <c r="EI257" s="206"/>
      <c r="EJ257" s="206"/>
      <c r="EK257" s="206"/>
      <c r="EL257" s="206"/>
      <c r="EM257" s="206"/>
      <c r="EN257" s="206"/>
      <c r="EO257" s="206"/>
      <c r="EP257" s="206"/>
      <c r="EQ257" s="206"/>
    </row>
    <row r="258" spans="1:147">
      <c r="H258" s="206"/>
      <c r="N258" s="163"/>
      <c r="O258" s="206"/>
    </row>
    <row r="259" spans="1:147">
      <c r="H259" s="206"/>
      <c r="N259" s="206"/>
      <c r="O259" s="206"/>
    </row>
    <row r="260" spans="1:147">
      <c r="A260" s="744" t="s">
        <v>105</v>
      </c>
      <c r="H260" s="206"/>
    </row>
    <row r="261" spans="1:147">
      <c r="A261" s="208" t="s">
        <v>204</v>
      </c>
      <c r="B261" s="227" t="s">
        <v>94</v>
      </c>
      <c r="C261" s="730">
        <v>5625000</v>
      </c>
      <c r="D261" s="730">
        <v>15000000</v>
      </c>
      <c r="E261" s="730">
        <v>21999999.999999601</v>
      </c>
      <c r="F261" s="730">
        <v>21999999.999999601</v>
      </c>
      <c r="G261" s="731">
        <f>SUM(C261:F261)</f>
        <v>64624999.999999195</v>
      </c>
      <c r="H261" s="206"/>
      <c r="I261" s="723">
        <f>C261*(1-$O261)</f>
        <v>2025000</v>
      </c>
      <c r="J261" s="723">
        <f>D261*(1-$O261)</f>
        <v>5400000</v>
      </c>
      <c r="K261" s="723">
        <f t="shared" ref="K261" si="50">E261*(1-$O261)</f>
        <v>7919999.9999998566</v>
      </c>
      <c r="L261" s="723">
        <f>F261*(1-$O261)</f>
        <v>7919999.9999998566</v>
      </c>
      <c r="M261" s="723">
        <f>SUM(I261:L261)</f>
        <v>23264999.999999713</v>
      </c>
      <c r="N261" s="766"/>
      <c r="O261" s="220">
        <v>0.64</v>
      </c>
      <c r="P261" s="221">
        <f>C261*0.64</f>
        <v>3600000</v>
      </c>
      <c r="Q261" s="221">
        <f>D261*0.64</f>
        <v>9600000</v>
      </c>
      <c r="R261" s="221">
        <f>E261*0.64</f>
        <v>14079999.999999745</v>
      </c>
      <c r="S261" s="221">
        <f>F261*0.64</f>
        <v>14079999.999999745</v>
      </c>
      <c r="T261" s="229">
        <v>41359999.999999493</v>
      </c>
    </row>
    <row r="262" spans="1:147" hidden="1" outlineLevel="1">
      <c r="A262" s="211" t="s">
        <v>56</v>
      </c>
      <c r="B262" s="227" t="s">
        <v>94</v>
      </c>
      <c r="C262" s="730">
        <v>5625000</v>
      </c>
      <c r="D262" s="730">
        <v>15000000</v>
      </c>
      <c r="E262" s="730">
        <v>21999999.999999601</v>
      </c>
      <c r="F262" s="730">
        <v>21999999.999999601</v>
      </c>
      <c r="G262" s="731">
        <f>SUM(C262:F262)</f>
        <v>64624999.999999195</v>
      </c>
      <c r="H262" s="206"/>
      <c r="I262" s="723">
        <f>C262*(1-$O261)</f>
        <v>2025000</v>
      </c>
      <c r="J262" s="723">
        <f t="shared" ref="J262:L262" si="51">D262*(1-$O261)</f>
        <v>5400000</v>
      </c>
      <c r="K262" s="723">
        <f t="shared" si="51"/>
        <v>7919999.9999998566</v>
      </c>
      <c r="L262" s="723">
        <f t="shared" si="51"/>
        <v>7919999.9999998566</v>
      </c>
      <c r="M262" s="723">
        <f>SUM(I262:L262)</f>
        <v>23264999.999999713</v>
      </c>
      <c r="N262" s="766"/>
      <c r="O262" s="216"/>
      <c r="P262" s="221">
        <v>3600000</v>
      </c>
      <c r="Q262" s="221">
        <v>9600000</v>
      </c>
      <c r="R262" s="221">
        <v>14079999.999999745</v>
      </c>
      <c r="S262" s="221">
        <v>14079999.999999745</v>
      </c>
      <c r="T262" s="229">
        <v>41359999.999999493</v>
      </c>
    </row>
    <row r="263" spans="1:147" hidden="1" outlineLevel="1">
      <c r="A263" s="213" t="s">
        <v>57</v>
      </c>
      <c r="B263" s="227" t="s">
        <v>94</v>
      </c>
      <c r="C263" s="734">
        <v>0</v>
      </c>
      <c r="D263" s="734">
        <v>0</v>
      </c>
      <c r="E263" s="734"/>
      <c r="F263" s="734"/>
      <c r="G263" s="733">
        <v>0</v>
      </c>
      <c r="H263" s="206"/>
      <c r="I263" s="733"/>
      <c r="J263" s="733"/>
      <c r="K263" s="733"/>
      <c r="L263" s="733"/>
      <c r="M263" s="733"/>
      <c r="N263" s="719"/>
      <c r="O263" s="216"/>
      <c r="P263" s="221"/>
      <c r="Q263" s="221"/>
      <c r="R263" s="221"/>
      <c r="S263" s="215"/>
      <c r="T263" s="229"/>
    </row>
    <row r="264" spans="1:147" hidden="1" outlineLevel="1">
      <c r="A264" s="213" t="s">
        <v>58</v>
      </c>
      <c r="B264" s="227" t="s">
        <v>94</v>
      </c>
      <c r="C264" s="732"/>
      <c r="D264" s="732"/>
      <c r="E264" s="732"/>
      <c r="F264" s="732"/>
      <c r="G264" s="733">
        <v>0</v>
      </c>
      <c r="H264" s="206"/>
      <c r="I264" s="733"/>
      <c r="J264" s="733"/>
      <c r="K264" s="733"/>
      <c r="L264" s="733"/>
      <c r="M264" s="733"/>
      <c r="N264" s="719"/>
      <c r="O264" s="216"/>
      <c r="P264" s="221"/>
      <c r="Q264" s="221"/>
      <c r="R264" s="221"/>
      <c r="S264" s="215"/>
      <c r="T264" s="229"/>
    </row>
    <row r="265" spans="1:147" hidden="1" outlineLevel="1">
      <c r="A265" s="213" t="s">
        <v>59</v>
      </c>
      <c r="B265" s="227" t="s">
        <v>94</v>
      </c>
      <c r="C265" s="732"/>
      <c r="D265" s="732"/>
      <c r="E265" s="732"/>
      <c r="F265" s="732"/>
      <c r="G265" s="733">
        <v>0</v>
      </c>
      <c r="H265" s="206"/>
      <c r="I265" s="733"/>
      <c r="J265" s="733"/>
      <c r="K265" s="733"/>
      <c r="L265" s="733"/>
      <c r="M265" s="733"/>
      <c r="N265" s="719"/>
      <c r="O265" s="216"/>
      <c r="P265" s="221"/>
      <c r="Q265" s="221"/>
      <c r="R265" s="221"/>
      <c r="S265" s="215"/>
      <c r="T265" s="229"/>
    </row>
    <row r="266" spans="1:147" hidden="1" outlineLevel="1">
      <c r="A266" s="213" t="s">
        <v>60</v>
      </c>
      <c r="B266" s="227" t="s">
        <v>94</v>
      </c>
      <c r="C266" s="732"/>
      <c r="D266" s="732"/>
      <c r="E266" s="732"/>
      <c r="F266" s="732"/>
      <c r="G266" s="733">
        <v>0</v>
      </c>
      <c r="H266" s="206"/>
      <c r="I266" s="733"/>
      <c r="J266" s="733"/>
      <c r="K266" s="733"/>
      <c r="L266" s="733"/>
      <c r="M266" s="733"/>
      <c r="N266" s="719"/>
      <c r="O266" s="216"/>
      <c r="P266" s="221"/>
      <c r="Q266" s="221"/>
      <c r="R266" s="221"/>
      <c r="S266" s="215"/>
      <c r="T266" s="229"/>
    </row>
    <row r="267" spans="1:147" hidden="1" outlineLevel="1">
      <c r="A267" s="211" t="s">
        <v>61</v>
      </c>
      <c r="B267" s="227" t="s">
        <v>94</v>
      </c>
      <c r="C267" s="730">
        <v>0</v>
      </c>
      <c r="D267" s="730">
        <v>0</v>
      </c>
      <c r="E267" s="730">
        <v>0</v>
      </c>
      <c r="F267" s="730">
        <v>0</v>
      </c>
      <c r="G267" s="731">
        <v>0</v>
      </c>
      <c r="H267" s="206"/>
      <c r="I267" s="731"/>
      <c r="J267" s="731"/>
      <c r="K267" s="731"/>
      <c r="L267" s="731"/>
      <c r="M267" s="731"/>
      <c r="N267" s="766"/>
      <c r="O267" s="216"/>
      <c r="P267" s="221">
        <v>0</v>
      </c>
      <c r="Q267" s="221">
        <v>0</v>
      </c>
      <c r="R267" s="221">
        <v>0</v>
      </c>
      <c r="S267" s="221">
        <v>0</v>
      </c>
      <c r="T267" s="229">
        <v>0</v>
      </c>
    </row>
    <row r="268" spans="1:147" hidden="1" outlineLevel="1">
      <c r="A268" s="213" t="s">
        <v>57</v>
      </c>
      <c r="B268" s="227" t="s">
        <v>94</v>
      </c>
      <c r="C268" s="734"/>
      <c r="D268" s="734"/>
      <c r="E268" s="734"/>
      <c r="F268" s="734"/>
      <c r="G268" s="733">
        <v>0</v>
      </c>
      <c r="H268" s="206"/>
      <c r="I268" s="733"/>
      <c r="J268" s="733"/>
      <c r="K268" s="733"/>
      <c r="L268" s="733"/>
      <c r="M268" s="733"/>
      <c r="N268" s="719"/>
      <c r="O268" s="216"/>
      <c r="P268" s="221"/>
      <c r="Q268" s="221"/>
      <c r="R268" s="221"/>
      <c r="S268" s="215"/>
      <c r="T268" s="229"/>
    </row>
    <row r="269" spans="1:147" hidden="1" outlineLevel="1">
      <c r="A269" s="213" t="s">
        <v>58</v>
      </c>
      <c r="B269" s="227" t="s">
        <v>94</v>
      </c>
      <c r="C269" s="732"/>
      <c r="D269" s="732"/>
      <c r="E269" s="732"/>
      <c r="F269" s="732"/>
      <c r="G269" s="733">
        <v>0</v>
      </c>
      <c r="H269" s="206"/>
      <c r="I269" s="733"/>
      <c r="J269" s="733"/>
      <c r="K269" s="733"/>
      <c r="L269" s="733"/>
      <c r="M269" s="733"/>
      <c r="N269" s="719"/>
      <c r="O269" s="216"/>
      <c r="P269" s="221"/>
      <c r="Q269" s="221"/>
      <c r="R269" s="221"/>
      <c r="S269" s="215"/>
      <c r="T269" s="229"/>
    </row>
    <row r="270" spans="1:147" hidden="1" outlineLevel="1">
      <c r="A270" s="217" t="s">
        <v>60</v>
      </c>
      <c r="B270" s="227" t="s">
        <v>94</v>
      </c>
      <c r="C270" s="732"/>
      <c r="D270" s="732"/>
      <c r="E270" s="732"/>
      <c r="F270" s="732"/>
      <c r="G270" s="733">
        <v>0</v>
      </c>
      <c r="H270" s="206"/>
      <c r="I270" s="733"/>
      <c r="J270" s="733"/>
      <c r="K270" s="733"/>
      <c r="L270" s="733"/>
      <c r="M270" s="733"/>
      <c r="N270" s="719"/>
      <c r="O270" s="216"/>
      <c r="P270" s="221"/>
      <c r="Q270" s="221"/>
      <c r="R270" s="221"/>
      <c r="S270" s="215"/>
      <c r="T270" s="229"/>
    </row>
    <row r="271" spans="1:147" collapsed="1">
      <c r="A271" s="208" t="s">
        <v>619</v>
      </c>
      <c r="B271" s="227" t="s">
        <v>94</v>
      </c>
      <c r="C271" s="730">
        <v>0</v>
      </c>
      <c r="D271" s="730">
        <v>15000000</v>
      </c>
      <c r="E271" s="730">
        <v>17500000</v>
      </c>
      <c r="F271" s="730">
        <v>25000000</v>
      </c>
      <c r="G271" s="731">
        <v>57500000</v>
      </c>
      <c r="H271" s="206"/>
      <c r="I271" s="723">
        <f>C271*(1-$O271)</f>
        <v>0</v>
      </c>
      <c r="J271" s="723">
        <f>D271*(1-$O271)</f>
        <v>0</v>
      </c>
      <c r="K271" s="723">
        <f t="shared" ref="K271" si="52">E271*(1-$O271)</f>
        <v>0</v>
      </c>
      <c r="L271" s="723">
        <f>F271*(1-$O271)</f>
        <v>0</v>
      </c>
      <c r="M271" s="723">
        <f>SUM(I271:L271)</f>
        <v>0</v>
      </c>
      <c r="N271" s="766"/>
      <c r="O271" s="220">
        <v>1</v>
      </c>
      <c r="P271" s="221">
        <v>0</v>
      </c>
      <c r="Q271" s="221">
        <v>15000000</v>
      </c>
      <c r="R271" s="221">
        <v>17500000</v>
      </c>
      <c r="S271" s="221">
        <v>25000000</v>
      </c>
      <c r="T271" s="229">
        <v>57500000</v>
      </c>
    </row>
    <row r="272" spans="1:147" hidden="1" outlineLevel="1">
      <c r="A272" s="211" t="s">
        <v>56</v>
      </c>
      <c r="B272" s="227" t="s">
        <v>94</v>
      </c>
      <c r="C272" s="730">
        <v>0</v>
      </c>
      <c r="D272" s="730">
        <v>15000000</v>
      </c>
      <c r="E272" s="737">
        <v>17500000</v>
      </c>
      <c r="F272" s="737">
        <v>25000000</v>
      </c>
      <c r="G272" s="731">
        <v>57500000</v>
      </c>
      <c r="H272" s="206"/>
      <c r="I272" s="731"/>
      <c r="J272" s="731"/>
      <c r="K272" s="731"/>
      <c r="L272" s="731"/>
      <c r="M272" s="731"/>
      <c r="N272" s="766"/>
      <c r="O272" s="216"/>
      <c r="P272" s="221">
        <v>0</v>
      </c>
      <c r="Q272" s="221">
        <v>15000000</v>
      </c>
      <c r="R272" s="221">
        <v>17500000</v>
      </c>
      <c r="S272" s="221">
        <v>25000000</v>
      </c>
      <c r="T272" s="229">
        <v>57500000</v>
      </c>
    </row>
    <row r="273" spans="1:20" hidden="1" outlineLevel="1">
      <c r="A273" s="213" t="s">
        <v>57</v>
      </c>
      <c r="B273" s="227" t="s">
        <v>94</v>
      </c>
      <c r="C273" s="734">
        <v>0</v>
      </c>
      <c r="D273" s="734">
        <v>0</v>
      </c>
      <c r="E273" s="734"/>
      <c r="F273" s="734"/>
      <c r="G273" s="733">
        <v>0</v>
      </c>
      <c r="H273" s="206"/>
      <c r="I273" s="733"/>
      <c r="J273" s="733"/>
      <c r="K273" s="733"/>
      <c r="L273" s="733"/>
      <c r="M273" s="733"/>
      <c r="N273" s="719"/>
      <c r="O273" s="216"/>
      <c r="P273" s="221"/>
      <c r="Q273" s="221"/>
      <c r="R273" s="221"/>
      <c r="S273" s="215"/>
      <c r="T273" s="229"/>
    </row>
    <row r="274" spans="1:20" hidden="1" outlineLevel="1">
      <c r="A274" s="213" t="s">
        <v>58</v>
      </c>
      <c r="B274" s="227" t="s">
        <v>94</v>
      </c>
      <c r="C274" s="732"/>
      <c r="D274" s="732"/>
      <c r="E274" s="732"/>
      <c r="F274" s="732"/>
      <c r="G274" s="733">
        <v>0</v>
      </c>
      <c r="H274" s="206"/>
      <c r="I274" s="733"/>
      <c r="J274" s="733"/>
      <c r="K274" s="733"/>
      <c r="L274" s="733"/>
      <c r="M274" s="733"/>
      <c r="N274" s="719"/>
      <c r="O274" s="216"/>
      <c r="P274" s="221"/>
      <c r="Q274" s="221"/>
      <c r="R274" s="221"/>
      <c r="S274" s="215"/>
      <c r="T274" s="229"/>
    </row>
    <row r="275" spans="1:20" hidden="1" outlineLevel="1">
      <c r="A275" s="213" t="s">
        <v>59</v>
      </c>
      <c r="B275" s="227" t="s">
        <v>94</v>
      </c>
      <c r="C275" s="732"/>
      <c r="D275" s="732"/>
      <c r="E275" s="732"/>
      <c r="F275" s="732"/>
      <c r="G275" s="733">
        <v>0</v>
      </c>
      <c r="H275" s="206"/>
      <c r="I275" s="733"/>
      <c r="J275" s="733"/>
      <c r="K275" s="733"/>
      <c r="L275" s="733"/>
      <c r="M275" s="733"/>
      <c r="N275" s="719"/>
      <c r="O275" s="216"/>
      <c r="P275" s="221"/>
      <c r="Q275" s="221"/>
      <c r="R275" s="221"/>
      <c r="S275" s="215"/>
      <c r="T275" s="229"/>
    </row>
    <row r="276" spans="1:20" hidden="1" outlineLevel="1">
      <c r="A276" s="213" t="s">
        <v>60</v>
      </c>
      <c r="B276" s="227" t="s">
        <v>94</v>
      </c>
      <c r="C276" s="732"/>
      <c r="D276" s="732"/>
      <c r="E276" s="732"/>
      <c r="F276" s="732"/>
      <c r="G276" s="733">
        <v>0</v>
      </c>
      <c r="H276" s="206"/>
      <c r="I276" s="733"/>
      <c r="J276" s="733"/>
      <c r="K276" s="733"/>
      <c r="L276" s="733"/>
      <c r="M276" s="733"/>
      <c r="N276" s="719"/>
      <c r="O276" s="216"/>
      <c r="P276" s="221"/>
      <c r="Q276" s="221"/>
      <c r="R276" s="221"/>
      <c r="S276" s="215"/>
      <c r="T276" s="229"/>
    </row>
    <row r="277" spans="1:20" hidden="1" outlineLevel="1">
      <c r="A277" s="211" t="s">
        <v>61</v>
      </c>
      <c r="B277" s="227" t="s">
        <v>94</v>
      </c>
      <c r="C277" s="730">
        <v>0</v>
      </c>
      <c r="D277" s="730">
        <v>0</v>
      </c>
      <c r="E277" s="730">
        <v>0</v>
      </c>
      <c r="F277" s="730">
        <v>0</v>
      </c>
      <c r="G277" s="731">
        <v>0</v>
      </c>
      <c r="H277" s="206"/>
      <c r="I277" s="731"/>
      <c r="J277" s="731"/>
      <c r="K277" s="731"/>
      <c r="L277" s="731"/>
      <c r="M277" s="731"/>
      <c r="N277" s="766"/>
      <c r="O277" s="216"/>
      <c r="P277" s="221">
        <v>0</v>
      </c>
      <c r="Q277" s="221">
        <v>0</v>
      </c>
      <c r="R277" s="221">
        <v>0</v>
      </c>
      <c r="S277" s="221">
        <v>0</v>
      </c>
      <c r="T277" s="229">
        <v>0</v>
      </c>
    </row>
    <row r="278" spans="1:20" hidden="1" outlineLevel="1">
      <c r="A278" s="213" t="s">
        <v>57</v>
      </c>
      <c r="B278" s="227" t="s">
        <v>94</v>
      </c>
      <c r="C278" s="734"/>
      <c r="D278" s="734"/>
      <c r="E278" s="734"/>
      <c r="F278" s="734"/>
      <c r="G278" s="733">
        <v>0</v>
      </c>
      <c r="H278" s="206"/>
      <c r="I278" s="733"/>
      <c r="J278" s="733"/>
      <c r="K278" s="733"/>
      <c r="L278" s="733"/>
      <c r="M278" s="733"/>
      <c r="N278" s="719"/>
      <c r="O278" s="216"/>
      <c r="P278" s="221"/>
      <c r="Q278" s="221"/>
      <c r="R278" s="221"/>
      <c r="S278" s="215"/>
      <c r="T278" s="229"/>
    </row>
    <row r="279" spans="1:20" hidden="1" outlineLevel="1">
      <c r="A279" s="213" t="s">
        <v>58</v>
      </c>
      <c r="B279" s="227" t="s">
        <v>94</v>
      </c>
      <c r="C279" s="732"/>
      <c r="D279" s="732"/>
      <c r="E279" s="732"/>
      <c r="F279" s="732"/>
      <c r="G279" s="733">
        <v>0</v>
      </c>
      <c r="H279" s="206"/>
      <c r="I279" s="733"/>
      <c r="J279" s="733"/>
      <c r="K279" s="733"/>
      <c r="L279" s="733"/>
      <c r="M279" s="733"/>
      <c r="N279" s="719"/>
      <c r="O279" s="216"/>
      <c r="P279" s="221"/>
      <c r="Q279" s="221"/>
      <c r="R279" s="221"/>
      <c r="S279" s="215"/>
      <c r="T279" s="229"/>
    </row>
    <row r="280" spans="1:20" hidden="1" outlineLevel="1">
      <c r="A280" s="217" t="s">
        <v>60</v>
      </c>
      <c r="B280" s="227" t="s">
        <v>94</v>
      </c>
      <c r="C280" s="732"/>
      <c r="D280" s="732"/>
      <c r="E280" s="732"/>
      <c r="F280" s="732"/>
      <c r="G280" s="733">
        <v>0</v>
      </c>
      <c r="H280" s="206"/>
      <c r="I280" s="733"/>
      <c r="J280" s="733"/>
      <c r="K280" s="733"/>
      <c r="L280" s="733"/>
      <c r="M280" s="733"/>
      <c r="N280" s="719"/>
      <c r="O280" s="216"/>
      <c r="P280" s="221"/>
      <c r="Q280" s="221"/>
      <c r="R280" s="221"/>
      <c r="S280" s="215"/>
      <c r="T280" s="229"/>
    </row>
    <row r="281" spans="1:20" collapsed="1">
      <c r="A281" s="208" t="s">
        <v>620</v>
      </c>
      <c r="B281" s="227" t="s">
        <v>94</v>
      </c>
      <c r="C281" s="730">
        <v>1096750</v>
      </c>
      <c r="D281" s="730">
        <v>4841750</v>
      </c>
      <c r="E281" s="730">
        <v>10191750</v>
      </c>
      <c r="F281" s="730">
        <v>10191750</v>
      </c>
      <c r="G281" s="731">
        <v>26322000</v>
      </c>
      <c r="H281" s="206"/>
      <c r="I281" s="723">
        <f>C281*(1-$O281)</f>
        <v>329025.00000000006</v>
      </c>
      <c r="J281" s="723">
        <f>D281*(1-$O281)</f>
        <v>1452525.0000000002</v>
      </c>
      <c r="K281" s="723">
        <f t="shared" ref="K281" si="53">E281*(1-$O281)</f>
        <v>3057525.0000000005</v>
      </c>
      <c r="L281" s="723">
        <f>F281*(1-$O281)</f>
        <v>3057525.0000000005</v>
      </c>
      <c r="M281" s="723">
        <f>SUM(I281:L281)</f>
        <v>7896600.0000000019</v>
      </c>
      <c r="N281" s="766"/>
      <c r="O281" s="220">
        <v>0.7</v>
      </c>
      <c r="P281" s="221">
        <v>767725</v>
      </c>
      <c r="Q281" s="221">
        <v>3389225</v>
      </c>
      <c r="R281" s="221">
        <v>7134225</v>
      </c>
      <c r="S281" s="221">
        <v>7134225</v>
      </c>
      <c r="T281" s="229">
        <v>18425400</v>
      </c>
    </row>
    <row r="282" spans="1:20" hidden="1" outlineLevel="1">
      <c r="A282" s="211" t="s">
        <v>56</v>
      </c>
      <c r="B282" s="227" t="s">
        <v>94</v>
      </c>
      <c r="C282" s="730">
        <v>1025000</v>
      </c>
      <c r="D282" s="730">
        <v>4525000</v>
      </c>
      <c r="E282" s="737">
        <v>9525000</v>
      </c>
      <c r="F282" s="737">
        <v>9525000</v>
      </c>
      <c r="G282" s="731">
        <v>24600000</v>
      </c>
      <c r="H282" s="206"/>
      <c r="I282" s="723">
        <f>C282*(1-$O281)</f>
        <v>307500.00000000006</v>
      </c>
      <c r="J282" s="723">
        <f t="shared" ref="J282:L282" si="54">D282*(1-$O281)</f>
        <v>1357500.0000000002</v>
      </c>
      <c r="K282" s="723">
        <f t="shared" si="54"/>
        <v>2857500.0000000005</v>
      </c>
      <c r="L282" s="723">
        <f t="shared" si="54"/>
        <v>2857500.0000000005</v>
      </c>
      <c r="M282" s="723">
        <f>SUM(I282:L282)</f>
        <v>7380000.0000000019</v>
      </c>
      <c r="N282" s="766"/>
      <c r="O282" s="216"/>
      <c r="P282" s="221">
        <v>717500</v>
      </c>
      <c r="Q282" s="221">
        <v>3167500</v>
      </c>
      <c r="R282" s="221">
        <v>6667500</v>
      </c>
      <c r="S282" s="221">
        <v>6667500</v>
      </c>
      <c r="T282" s="229">
        <v>17220000</v>
      </c>
    </row>
    <row r="283" spans="1:20" hidden="1" outlineLevel="1">
      <c r="A283" s="213" t="s">
        <v>57</v>
      </c>
      <c r="B283" s="227" t="s">
        <v>94</v>
      </c>
      <c r="C283" s="734">
        <v>0</v>
      </c>
      <c r="D283" s="734">
        <v>0</v>
      </c>
      <c r="E283" s="734"/>
      <c r="F283" s="734"/>
      <c r="G283" s="733">
        <v>0</v>
      </c>
      <c r="H283" s="206"/>
      <c r="I283" s="733"/>
      <c r="J283" s="733"/>
      <c r="K283" s="733"/>
      <c r="L283" s="733"/>
      <c r="M283" s="733"/>
      <c r="N283" s="719"/>
      <c r="O283" s="216"/>
      <c r="P283" s="221"/>
      <c r="Q283" s="221"/>
      <c r="R283" s="221"/>
      <c r="S283" s="215"/>
      <c r="T283" s="229"/>
    </row>
    <row r="284" spans="1:20" hidden="1" outlineLevel="1">
      <c r="A284" s="213" t="s">
        <v>58</v>
      </c>
      <c r="B284" s="227" t="s">
        <v>94</v>
      </c>
      <c r="C284" s="732"/>
      <c r="D284" s="732"/>
      <c r="E284" s="732"/>
      <c r="F284" s="732"/>
      <c r="G284" s="733">
        <v>0</v>
      </c>
      <c r="H284" s="206"/>
      <c r="I284" s="733"/>
      <c r="J284" s="733"/>
      <c r="K284" s="733"/>
      <c r="L284" s="733"/>
      <c r="M284" s="733"/>
      <c r="N284" s="719"/>
      <c r="O284" s="216"/>
      <c r="P284" s="221"/>
      <c r="Q284" s="221"/>
      <c r="R284" s="221"/>
      <c r="S284" s="215"/>
      <c r="T284" s="229"/>
    </row>
    <row r="285" spans="1:20" hidden="1" outlineLevel="1">
      <c r="A285" s="213" t="s">
        <v>59</v>
      </c>
      <c r="B285" s="227" t="s">
        <v>94</v>
      </c>
      <c r="C285" s="732"/>
      <c r="D285" s="732"/>
      <c r="E285" s="732"/>
      <c r="F285" s="732"/>
      <c r="G285" s="733">
        <v>0</v>
      </c>
      <c r="H285" s="206"/>
      <c r="I285" s="733"/>
      <c r="J285" s="733"/>
      <c r="K285" s="733"/>
      <c r="L285" s="733"/>
      <c r="M285" s="733"/>
      <c r="N285" s="719"/>
      <c r="O285" s="216"/>
      <c r="P285" s="221"/>
      <c r="Q285" s="221"/>
      <c r="R285" s="221"/>
      <c r="S285" s="215"/>
      <c r="T285" s="229"/>
    </row>
    <row r="286" spans="1:20" hidden="1" outlineLevel="1">
      <c r="A286" s="213" t="s">
        <v>60</v>
      </c>
      <c r="B286" s="227" t="s">
        <v>94</v>
      </c>
      <c r="C286" s="732"/>
      <c r="D286" s="732"/>
      <c r="E286" s="732"/>
      <c r="F286" s="732"/>
      <c r="G286" s="733">
        <v>0</v>
      </c>
      <c r="H286" s="206"/>
      <c r="I286" s="733"/>
      <c r="J286" s="733"/>
      <c r="K286" s="733"/>
      <c r="L286" s="733"/>
      <c r="M286" s="733"/>
      <c r="N286" s="719"/>
      <c r="O286" s="216"/>
      <c r="P286" s="221"/>
      <c r="Q286" s="221"/>
      <c r="R286" s="221"/>
      <c r="S286" s="215"/>
      <c r="T286" s="229"/>
    </row>
    <row r="287" spans="1:20" hidden="1" outlineLevel="1">
      <c r="A287" s="211" t="s">
        <v>61</v>
      </c>
      <c r="B287" s="227" t="s">
        <v>94</v>
      </c>
      <c r="C287" s="730">
        <v>71750</v>
      </c>
      <c r="D287" s="730">
        <v>316750</v>
      </c>
      <c r="E287" s="730">
        <v>666750</v>
      </c>
      <c r="F287" s="730">
        <v>666750</v>
      </c>
      <c r="G287" s="731">
        <v>1722000</v>
      </c>
      <c r="H287" s="206"/>
      <c r="I287" s="723">
        <f>C287*(1-$O281)</f>
        <v>21525.000000000004</v>
      </c>
      <c r="J287" s="723">
        <f t="shared" ref="J287:L287" si="55">D287*(1-$O281)</f>
        <v>95025.000000000015</v>
      </c>
      <c r="K287" s="723">
        <f t="shared" si="55"/>
        <v>200025.00000000003</v>
      </c>
      <c r="L287" s="723">
        <f t="shared" si="55"/>
        <v>200025.00000000003</v>
      </c>
      <c r="M287" s="723">
        <f>SUM(I287:L287)</f>
        <v>516600.00000000012</v>
      </c>
      <c r="N287" s="766"/>
      <c r="O287" s="216"/>
      <c r="P287" s="221">
        <v>50225</v>
      </c>
      <c r="Q287" s="221">
        <v>221725</v>
      </c>
      <c r="R287" s="221">
        <v>466724.99999999994</v>
      </c>
      <c r="S287" s="221">
        <v>466724.99999999994</v>
      </c>
      <c r="T287" s="229">
        <v>1205400</v>
      </c>
    </row>
    <row r="288" spans="1:20" hidden="1" outlineLevel="1">
      <c r="A288" s="213" t="s">
        <v>57</v>
      </c>
      <c r="B288" s="227" t="s">
        <v>94</v>
      </c>
      <c r="C288" s="734"/>
      <c r="D288" s="734"/>
      <c r="E288" s="734"/>
      <c r="F288" s="734"/>
      <c r="G288" s="733">
        <v>0</v>
      </c>
      <c r="H288" s="206"/>
      <c r="I288" s="733"/>
      <c r="J288" s="733"/>
      <c r="K288" s="733"/>
      <c r="L288" s="733"/>
      <c r="M288" s="733"/>
      <c r="N288" s="719"/>
      <c r="O288" s="216"/>
      <c r="P288" s="221"/>
      <c r="Q288" s="221"/>
      <c r="R288" s="221"/>
      <c r="S288" s="215"/>
      <c r="T288" s="229"/>
    </row>
    <row r="289" spans="1:147" hidden="1" outlineLevel="1">
      <c r="A289" s="213" t="s">
        <v>58</v>
      </c>
      <c r="B289" s="227" t="s">
        <v>94</v>
      </c>
      <c r="C289" s="732"/>
      <c r="D289" s="732"/>
      <c r="E289" s="732"/>
      <c r="F289" s="732"/>
      <c r="G289" s="733">
        <v>0</v>
      </c>
      <c r="H289" s="206"/>
      <c r="I289" s="733"/>
      <c r="J289" s="733"/>
      <c r="K289" s="733"/>
      <c r="L289" s="733"/>
      <c r="M289" s="733"/>
      <c r="N289" s="719"/>
      <c r="O289" s="216"/>
      <c r="P289" s="221"/>
      <c r="Q289" s="221"/>
      <c r="R289" s="221"/>
      <c r="S289" s="215"/>
      <c r="T289" s="229"/>
    </row>
    <row r="290" spans="1:147" hidden="1" outlineLevel="1">
      <c r="A290" s="217" t="s">
        <v>60</v>
      </c>
      <c r="B290" s="227" t="s">
        <v>94</v>
      </c>
      <c r="C290" s="732"/>
      <c r="D290" s="732"/>
      <c r="E290" s="732"/>
      <c r="F290" s="732"/>
      <c r="G290" s="733">
        <v>0</v>
      </c>
      <c r="H290" s="206"/>
      <c r="I290" s="733"/>
      <c r="J290" s="733"/>
      <c r="K290" s="733"/>
      <c r="L290" s="733"/>
      <c r="M290" s="733"/>
      <c r="N290" s="719"/>
      <c r="O290" s="216"/>
      <c r="P290" s="221"/>
      <c r="Q290" s="221"/>
      <c r="R290" s="221"/>
      <c r="S290" s="215"/>
      <c r="T290" s="229"/>
    </row>
    <row r="291" spans="1:147" collapsed="1">
      <c r="A291" s="208" t="s">
        <v>831</v>
      </c>
      <c r="B291" s="227" t="s">
        <v>94</v>
      </c>
      <c r="C291" s="730">
        <v>127102021</v>
      </c>
      <c r="D291" s="730">
        <v>249249343</v>
      </c>
      <c r="E291" s="730">
        <v>294250740</v>
      </c>
      <c r="F291" s="730">
        <v>308060849</v>
      </c>
      <c r="G291" s="730">
        <v>978662953</v>
      </c>
      <c r="H291" s="206"/>
      <c r="I291" s="723">
        <f>C291*(1-$O291)</f>
        <v>127102021</v>
      </c>
      <c r="J291" s="723">
        <f>D291*(1-$O291)</f>
        <v>249249343</v>
      </c>
      <c r="K291" s="723">
        <f t="shared" ref="K291" si="56">E291*(1-$O291)</f>
        <v>294250740</v>
      </c>
      <c r="L291" s="723">
        <f>F291*(1-$O291)</f>
        <v>308060849</v>
      </c>
      <c r="M291" s="723">
        <f>SUM(I291:L291)</f>
        <v>978662953</v>
      </c>
      <c r="N291" s="766"/>
      <c r="O291" s="220">
        <v>0</v>
      </c>
      <c r="P291" s="221">
        <v>0</v>
      </c>
      <c r="Q291" s="221">
        <v>0</v>
      </c>
      <c r="R291" s="221">
        <v>0</v>
      </c>
      <c r="S291" s="221">
        <v>0</v>
      </c>
      <c r="T291" s="229">
        <v>0</v>
      </c>
    </row>
    <row r="292" spans="1:147" hidden="1" outlineLevel="1">
      <c r="A292" s="211" t="s">
        <v>56</v>
      </c>
      <c r="B292" s="227" t="s">
        <v>94</v>
      </c>
      <c r="C292" s="730">
        <v>124614816</v>
      </c>
      <c r="D292" s="730">
        <v>246787199</v>
      </c>
      <c r="E292" s="737">
        <v>291750805</v>
      </c>
      <c r="F292" s="737">
        <v>305522351</v>
      </c>
      <c r="G292" s="731">
        <f>SUM(C292:F292)</f>
        <v>968675171</v>
      </c>
      <c r="H292" s="206"/>
      <c r="I292" s="723">
        <f>C292*(1-$O291)</f>
        <v>124614816</v>
      </c>
      <c r="J292" s="723">
        <f t="shared" ref="J292:L292" si="57">D292*(1-$O291)</f>
        <v>246787199</v>
      </c>
      <c r="K292" s="723">
        <f t="shared" si="57"/>
        <v>291750805</v>
      </c>
      <c r="L292" s="723">
        <f t="shared" si="57"/>
        <v>305522351</v>
      </c>
      <c r="M292" s="723">
        <f>SUM(I292:L292)</f>
        <v>968675171</v>
      </c>
      <c r="N292" s="766"/>
      <c r="O292" s="216">
        <v>0</v>
      </c>
      <c r="P292" s="221">
        <v>0</v>
      </c>
      <c r="Q292" s="221">
        <v>0</v>
      </c>
      <c r="R292" s="221">
        <v>0</v>
      </c>
      <c r="S292" s="221">
        <v>0</v>
      </c>
      <c r="T292" s="229">
        <v>0</v>
      </c>
    </row>
    <row r="293" spans="1:147" hidden="1" outlineLevel="1">
      <c r="A293" s="213" t="s">
        <v>57</v>
      </c>
      <c r="B293" s="227" t="s">
        <v>94</v>
      </c>
      <c r="C293" s="734">
        <v>0</v>
      </c>
      <c r="D293" s="734">
        <v>0</v>
      </c>
      <c r="E293" s="734"/>
      <c r="F293" s="734"/>
      <c r="G293" s="733">
        <v>0</v>
      </c>
      <c r="H293" s="206"/>
      <c r="I293" s="733"/>
      <c r="J293" s="733"/>
      <c r="K293" s="733"/>
      <c r="L293" s="733"/>
      <c r="M293" s="733"/>
      <c r="N293" s="719"/>
      <c r="O293" s="216"/>
      <c r="P293" s="221"/>
      <c r="Q293" s="221"/>
      <c r="R293" s="221"/>
      <c r="S293" s="215"/>
      <c r="T293" s="229"/>
    </row>
    <row r="294" spans="1:147" hidden="1" outlineLevel="1">
      <c r="A294" s="213" t="s">
        <v>58</v>
      </c>
      <c r="B294" s="227" t="s">
        <v>94</v>
      </c>
      <c r="C294" s="732"/>
      <c r="D294" s="732"/>
      <c r="E294" s="732"/>
      <c r="F294" s="732"/>
      <c r="G294" s="733">
        <v>0</v>
      </c>
      <c r="H294" s="206"/>
      <c r="I294" s="733"/>
      <c r="J294" s="733"/>
      <c r="K294" s="733"/>
      <c r="L294" s="733"/>
      <c r="M294" s="733"/>
      <c r="N294" s="719"/>
      <c r="O294" s="216"/>
      <c r="P294" s="221"/>
      <c r="Q294" s="221"/>
      <c r="R294" s="221"/>
      <c r="S294" s="215"/>
      <c r="T294" s="229"/>
    </row>
    <row r="295" spans="1:147" hidden="1" outlineLevel="1">
      <c r="A295" s="213" t="s">
        <v>59</v>
      </c>
      <c r="B295" s="227" t="s">
        <v>94</v>
      </c>
      <c r="C295" s="732"/>
      <c r="D295" s="732"/>
      <c r="E295" s="732"/>
      <c r="F295" s="732"/>
      <c r="G295" s="733">
        <v>0</v>
      </c>
      <c r="H295" s="206"/>
      <c r="I295" s="733"/>
      <c r="J295" s="733"/>
      <c r="K295" s="733"/>
      <c r="L295" s="733"/>
      <c r="M295" s="733"/>
      <c r="N295" s="719"/>
      <c r="O295" s="216"/>
      <c r="P295" s="221"/>
      <c r="Q295" s="221"/>
      <c r="R295" s="221"/>
      <c r="S295" s="215"/>
      <c r="T295" s="229"/>
    </row>
    <row r="296" spans="1:147" hidden="1" outlineLevel="1">
      <c r="A296" s="213" t="s">
        <v>60</v>
      </c>
      <c r="B296" s="227" t="s">
        <v>94</v>
      </c>
      <c r="C296" s="732"/>
      <c r="D296" s="732"/>
      <c r="E296" s="732"/>
      <c r="F296" s="732"/>
      <c r="G296" s="733">
        <v>0</v>
      </c>
      <c r="H296" s="206"/>
      <c r="I296" s="733"/>
      <c r="J296" s="733"/>
      <c r="K296" s="733"/>
      <c r="L296" s="733"/>
      <c r="M296" s="733"/>
      <c r="N296" s="719"/>
      <c r="O296" s="216"/>
      <c r="P296" s="221"/>
      <c r="Q296" s="221"/>
      <c r="R296" s="221"/>
      <c r="S296" s="215"/>
      <c r="T296" s="229"/>
    </row>
    <row r="297" spans="1:147" hidden="1" outlineLevel="1">
      <c r="A297" s="211" t="s">
        <v>61</v>
      </c>
      <c r="B297" s="227" t="s">
        <v>94</v>
      </c>
      <c r="C297" s="730">
        <v>2487205</v>
      </c>
      <c r="D297" s="730">
        <v>2462144</v>
      </c>
      <c r="E297" s="730">
        <v>2499935</v>
      </c>
      <c r="F297" s="730">
        <v>2538498</v>
      </c>
      <c r="G297" s="731">
        <f>SUM(C297:F297)</f>
        <v>9987782</v>
      </c>
      <c r="H297" s="206"/>
      <c r="I297" s="731"/>
      <c r="J297" s="731"/>
      <c r="K297" s="731"/>
      <c r="L297" s="731"/>
      <c r="M297" s="731"/>
      <c r="N297" s="766"/>
      <c r="O297" s="216"/>
      <c r="P297" s="221"/>
      <c r="Q297" s="221"/>
      <c r="R297" s="221"/>
      <c r="S297" s="221"/>
      <c r="T297" s="229"/>
    </row>
    <row r="298" spans="1:147" hidden="1" outlineLevel="1">
      <c r="A298" s="213" t="s">
        <v>57</v>
      </c>
      <c r="B298" s="227" t="s">
        <v>94</v>
      </c>
      <c r="C298" s="734"/>
      <c r="D298" s="734"/>
      <c r="E298" s="734"/>
      <c r="F298" s="734"/>
      <c r="G298" s="733">
        <v>0</v>
      </c>
      <c r="H298" s="206"/>
      <c r="I298" s="733"/>
      <c r="J298" s="733"/>
      <c r="K298" s="733"/>
      <c r="L298" s="733"/>
      <c r="M298" s="733"/>
      <c r="N298" s="719"/>
      <c r="O298" s="216"/>
      <c r="P298" s="221"/>
      <c r="Q298" s="221"/>
      <c r="R298" s="221"/>
      <c r="S298" s="215"/>
      <c r="T298" s="229"/>
    </row>
    <row r="299" spans="1:147" hidden="1" outlineLevel="1">
      <c r="A299" s="213" t="s">
        <v>58</v>
      </c>
      <c r="B299" s="227" t="s">
        <v>94</v>
      </c>
      <c r="C299" s="732"/>
      <c r="D299" s="732"/>
      <c r="E299" s="732"/>
      <c r="F299" s="732"/>
      <c r="G299" s="733">
        <v>0</v>
      </c>
      <c r="H299" s="206"/>
      <c r="I299" s="733"/>
      <c r="J299" s="733"/>
      <c r="K299" s="733"/>
      <c r="L299" s="733"/>
      <c r="M299" s="733"/>
      <c r="N299" s="719"/>
      <c r="O299" s="216"/>
      <c r="P299" s="221"/>
      <c r="Q299" s="221"/>
      <c r="R299" s="221"/>
      <c r="S299" s="215"/>
      <c r="T299" s="229"/>
    </row>
    <row r="300" spans="1:147" hidden="1" outlineLevel="1">
      <c r="A300" s="217" t="s">
        <v>60</v>
      </c>
      <c r="B300" s="227" t="s">
        <v>94</v>
      </c>
      <c r="C300" s="732"/>
      <c r="D300" s="732"/>
      <c r="E300" s="732"/>
      <c r="F300" s="732"/>
      <c r="G300" s="733">
        <v>0</v>
      </c>
      <c r="H300" s="206"/>
      <c r="I300" s="733"/>
      <c r="J300" s="733"/>
      <c r="K300" s="733"/>
      <c r="L300" s="733"/>
      <c r="M300" s="733"/>
      <c r="N300" s="719"/>
      <c r="O300" s="216"/>
      <c r="P300" s="221"/>
      <c r="Q300" s="221"/>
      <c r="R300" s="221"/>
      <c r="S300" s="215"/>
      <c r="T300" s="229"/>
    </row>
    <row r="301" spans="1:147" collapsed="1">
      <c r="A301" s="745" t="s">
        <v>751</v>
      </c>
      <c r="B301" s="746"/>
      <c r="C301" s="747">
        <f>C261+C271+C281+C291</f>
        <v>133823771</v>
      </c>
      <c r="D301" s="747">
        <f t="shared" ref="D301:T301" si="58">D261+D271+D281+D291</f>
        <v>284091093</v>
      </c>
      <c r="E301" s="747">
        <f t="shared" si="58"/>
        <v>343942489.99999958</v>
      </c>
      <c r="F301" s="747">
        <f t="shared" si="58"/>
        <v>365252598.99999958</v>
      </c>
      <c r="G301" s="747">
        <f t="shared" si="58"/>
        <v>1127109952.9999993</v>
      </c>
      <c r="H301" s="206"/>
      <c r="I301" s="747">
        <f>I261+I271+I281+I291</f>
        <v>129456046</v>
      </c>
      <c r="J301" s="747">
        <f t="shared" ref="J301:M301" si="59">J261+J271+J281+J291</f>
        <v>256101868</v>
      </c>
      <c r="K301" s="747">
        <f t="shared" si="59"/>
        <v>305228264.99999988</v>
      </c>
      <c r="L301" s="747">
        <f t="shared" si="59"/>
        <v>319038373.99999988</v>
      </c>
      <c r="M301" s="747">
        <f t="shared" si="59"/>
        <v>1009824552.9999998</v>
      </c>
      <c r="N301" s="747"/>
      <c r="O301" s="747"/>
      <c r="P301" s="747">
        <f>P261+P271+P281+P291</f>
        <v>4367725</v>
      </c>
      <c r="Q301" s="747">
        <f>Q261+Q271+Q281+Q291</f>
        <v>27989225</v>
      </c>
      <c r="R301" s="747">
        <f t="shared" si="58"/>
        <v>38714224.999999747</v>
      </c>
      <c r="S301" s="747">
        <f t="shared" si="58"/>
        <v>46214224.999999747</v>
      </c>
      <c r="T301" s="747">
        <f t="shared" si="58"/>
        <v>117285399.99999949</v>
      </c>
    </row>
    <row r="302" spans="1:147" s="771" customFormat="1" ht="13.5" customHeight="1">
      <c r="A302" s="771" t="s">
        <v>56</v>
      </c>
      <c r="B302" s="741"/>
      <c r="C302" s="742">
        <f>C262+C272+C282+C292</f>
        <v>131264816</v>
      </c>
      <c r="D302" s="742">
        <f t="shared" ref="D302:T302" si="60">D262+D272+D282+D292</f>
        <v>281312199</v>
      </c>
      <c r="E302" s="742">
        <f t="shared" si="60"/>
        <v>340775804.99999958</v>
      </c>
      <c r="F302" s="742">
        <f t="shared" si="60"/>
        <v>362047350.99999958</v>
      </c>
      <c r="G302" s="742">
        <f t="shared" si="60"/>
        <v>1115400170.9999993</v>
      </c>
      <c r="H302" s="206"/>
      <c r="I302" s="742">
        <f>I262+I272+I282+I292</f>
        <v>126947316</v>
      </c>
      <c r="J302" s="742">
        <f t="shared" ref="J302:M302" si="61">J262+J272+J282+J292</f>
        <v>253544699</v>
      </c>
      <c r="K302" s="742">
        <f t="shared" si="61"/>
        <v>302528304.99999988</v>
      </c>
      <c r="L302" s="742">
        <f t="shared" si="61"/>
        <v>316299850.99999988</v>
      </c>
      <c r="M302" s="742">
        <f t="shared" si="61"/>
        <v>999320170.99999976</v>
      </c>
      <c r="N302" s="742"/>
      <c r="O302" s="742"/>
      <c r="P302" s="742">
        <f t="shared" si="60"/>
        <v>4317500</v>
      </c>
      <c r="Q302" s="742">
        <f t="shared" si="60"/>
        <v>27767500</v>
      </c>
      <c r="R302" s="742">
        <f t="shared" si="60"/>
        <v>38247499.999999747</v>
      </c>
      <c r="S302" s="742">
        <f t="shared" si="60"/>
        <v>45747499.999999747</v>
      </c>
      <c r="T302" s="742">
        <f t="shared" si="60"/>
        <v>116079999.99999949</v>
      </c>
      <c r="U302" s="206"/>
      <c r="V302" s="206"/>
      <c r="W302" s="206"/>
      <c r="X302" s="206"/>
      <c r="Y302" s="206"/>
      <c r="Z302" s="206"/>
      <c r="AA302" s="206"/>
      <c r="AB302" s="206"/>
      <c r="AC302" s="206"/>
      <c r="AD302" s="206"/>
      <c r="AE302" s="206"/>
      <c r="AF302" s="206"/>
      <c r="AG302" s="206"/>
      <c r="AH302" s="206"/>
      <c r="AI302" s="206"/>
      <c r="AJ302" s="206"/>
      <c r="AK302" s="206"/>
      <c r="AL302" s="206"/>
      <c r="AM302" s="206"/>
      <c r="AN302" s="206"/>
      <c r="AO302" s="206"/>
      <c r="AP302" s="206"/>
      <c r="AQ302" s="206"/>
      <c r="AR302" s="206"/>
      <c r="AS302" s="206"/>
      <c r="AT302" s="206"/>
      <c r="AU302" s="206"/>
      <c r="AV302" s="206"/>
      <c r="AW302" s="206"/>
      <c r="AX302" s="206"/>
      <c r="AY302" s="206"/>
      <c r="AZ302" s="206"/>
      <c r="BA302" s="206"/>
      <c r="BB302" s="206"/>
      <c r="BC302" s="206"/>
      <c r="BD302" s="206"/>
      <c r="BE302" s="206"/>
      <c r="BF302" s="206"/>
      <c r="BG302" s="206"/>
      <c r="BH302" s="206"/>
      <c r="BI302" s="206"/>
      <c r="BJ302" s="206"/>
      <c r="BK302" s="206"/>
      <c r="BL302" s="206"/>
      <c r="BM302" s="206"/>
      <c r="BN302" s="206"/>
      <c r="BO302" s="206"/>
      <c r="BP302" s="206"/>
      <c r="BQ302" s="206"/>
      <c r="BR302" s="206"/>
      <c r="BS302" s="206"/>
      <c r="BT302" s="206"/>
      <c r="BU302" s="206"/>
      <c r="BV302" s="206"/>
      <c r="BW302" s="206"/>
      <c r="BX302" s="206"/>
      <c r="BY302" s="206"/>
      <c r="BZ302" s="206"/>
      <c r="CA302" s="206"/>
      <c r="CB302" s="206"/>
      <c r="CC302" s="206"/>
      <c r="CD302" s="206"/>
      <c r="CE302" s="206"/>
      <c r="CF302" s="206"/>
      <c r="CG302" s="206"/>
      <c r="CH302" s="206"/>
      <c r="CI302" s="206"/>
      <c r="CJ302" s="206"/>
      <c r="CK302" s="206"/>
      <c r="CL302" s="206"/>
      <c r="CM302" s="206"/>
      <c r="CN302" s="206"/>
      <c r="CO302" s="206"/>
      <c r="CP302" s="206"/>
      <c r="CQ302" s="206"/>
      <c r="CR302" s="206"/>
      <c r="CS302" s="206"/>
      <c r="CT302" s="206"/>
      <c r="CU302" s="206"/>
      <c r="CV302" s="206"/>
      <c r="CW302" s="206"/>
      <c r="CX302" s="206"/>
      <c r="CY302" s="206"/>
      <c r="CZ302" s="206"/>
      <c r="DA302" s="206"/>
      <c r="DB302" s="206"/>
      <c r="DC302" s="206"/>
      <c r="DD302" s="206"/>
      <c r="DE302" s="206"/>
      <c r="DF302" s="206"/>
      <c r="DG302" s="206"/>
      <c r="DH302" s="206"/>
      <c r="DI302" s="206"/>
      <c r="DJ302" s="206"/>
      <c r="DK302" s="206"/>
      <c r="DL302" s="206"/>
      <c r="DM302" s="206"/>
      <c r="DN302" s="206"/>
      <c r="DO302" s="206"/>
      <c r="DP302" s="206"/>
      <c r="DQ302" s="206"/>
      <c r="DR302" s="206"/>
      <c r="DS302" s="206"/>
      <c r="DT302" s="206"/>
      <c r="DU302" s="206"/>
      <c r="DV302" s="206"/>
      <c r="DW302" s="206"/>
      <c r="DX302" s="206"/>
      <c r="DY302" s="206"/>
      <c r="DZ302" s="206"/>
      <c r="EA302" s="206"/>
      <c r="EB302" s="206"/>
      <c r="EC302" s="206"/>
      <c r="ED302" s="206"/>
      <c r="EE302" s="206"/>
      <c r="EF302" s="206"/>
      <c r="EG302" s="206"/>
      <c r="EH302" s="206"/>
      <c r="EI302" s="206"/>
      <c r="EJ302" s="206"/>
      <c r="EK302" s="206"/>
      <c r="EL302" s="206"/>
      <c r="EM302" s="206"/>
      <c r="EN302" s="206"/>
      <c r="EO302" s="206"/>
      <c r="EP302" s="206"/>
      <c r="EQ302" s="206"/>
    </row>
    <row r="303" spans="1:147" s="771" customFormat="1">
      <c r="A303" s="771" t="s">
        <v>61</v>
      </c>
      <c r="B303" s="741"/>
      <c r="C303" s="742">
        <f>C287</f>
        <v>71750</v>
      </c>
      <c r="D303" s="742">
        <f t="shared" ref="D303:T303" si="62">D287</f>
        <v>316750</v>
      </c>
      <c r="E303" s="742">
        <f t="shared" si="62"/>
        <v>666750</v>
      </c>
      <c r="F303" s="742">
        <f t="shared" si="62"/>
        <v>666750</v>
      </c>
      <c r="G303" s="742">
        <f t="shared" si="62"/>
        <v>1722000</v>
      </c>
      <c r="H303" s="206"/>
      <c r="I303" s="742">
        <f>I287</f>
        <v>21525.000000000004</v>
      </c>
      <c r="J303" s="742">
        <f t="shared" ref="J303:M303" si="63">J287</f>
        <v>95025.000000000015</v>
      </c>
      <c r="K303" s="742">
        <f t="shared" si="63"/>
        <v>200025.00000000003</v>
      </c>
      <c r="L303" s="742">
        <f t="shared" si="63"/>
        <v>200025.00000000003</v>
      </c>
      <c r="M303" s="742">
        <f t="shared" si="63"/>
        <v>516600.00000000012</v>
      </c>
      <c r="N303" s="742"/>
      <c r="O303" s="742"/>
      <c r="P303" s="742">
        <f t="shared" si="62"/>
        <v>50225</v>
      </c>
      <c r="Q303" s="742">
        <f t="shared" si="62"/>
        <v>221725</v>
      </c>
      <c r="R303" s="742">
        <f t="shared" si="62"/>
        <v>466724.99999999994</v>
      </c>
      <c r="S303" s="742">
        <f t="shared" si="62"/>
        <v>466724.99999999994</v>
      </c>
      <c r="T303" s="742">
        <f t="shared" si="62"/>
        <v>1205400</v>
      </c>
      <c r="U303" s="206"/>
      <c r="V303" s="206"/>
      <c r="W303" s="206"/>
      <c r="X303" s="206"/>
      <c r="Y303" s="206"/>
      <c r="Z303" s="206"/>
      <c r="AA303" s="206"/>
      <c r="AB303" s="206"/>
      <c r="AC303" s="206"/>
      <c r="AD303" s="206"/>
      <c r="AE303" s="206"/>
      <c r="AF303" s="206"/>
      <c r="AG303" s="206"/>
      <c r="AH303" s="206"/>
      <c r="AI303" s="206"/>
      <c r="AJ303" s="206"/>
      <c r="AK303" s="206"/>
      <c r="AL303" s="206"/>
      <c r="AM303" s="206"/>
      <c r="AN303" s="206"/>
      <c r="AO303" s="206"/>
      <c r="AP303" s="206"/>
      <c r="AQ303" s="206"/>
      <c r="AR303" s="206"/>
      <c r="AS303" s="206"/>
      <c r="AT303" s="206"/>
      <c r="AU303" s="206"/>
      <c r="AV303" s="206"/>
      <c r="AW303" s="206"/>
      <c r="AX303" s="206"/>
      <c r="AY303" s="206"/>
      <c r="AZ303" s="206"/>
      <c r="BA303" s="206"/>
      <c r="BB303" s="206"/>
      <c r="BC303" s="206"/>
      <c r="BD303" s="206"/>
      <c r="BE303" s="206"/>
      <c r="BF303" s="206"/>
      <c r="BG303" s="206"/>
      <c r="BH303" s="206"/>
      <c r="BI303" s="206"/>
      <c r="BJ303" s="206"/>
      <c r="BK303" s="206"/>
      <c r="BL303" s="206"/>
      <c r="BM303" s="206"/>
      <c r="BN303" s="206"/>
      <c r="BO303" s="206"/>
      <c r="BP303" s="206"/>
      <c r="BQ303" s="206"/>
      <c r="BR303" s="206"/>
      <c r="BS303" s="206"/>
      <c r="BT303" s="206"/>
      <c r="BU303" s="206"/>
      <c r="BV303" s="206"/>
      <c r="BW303" s="206"/>
      <c r="BX303" s="206"/>
      <c r="BY303" s="206"/>
      <c r="BZ303" s="206"/>
      <c r="CA303" s="206"/>
      <c r="CB303" s="206"/>
      <c r="CC303" s="206"/>
      <c r="CD303" s="206"/>
      <c r="CE303" s="206"/>
      <c r="CF303" s="206"/>
      <c r="CG303" s="206"/>
      <c r="CH303" s="206"/>
      <c r="CI303" s="206"/>
      <c r="CJ303" s="206"/>
      <c r="CK303" s="206"/>
      <c r="CL303" s="206"/>
      <c r="CM303" s="206"/>
      <c r="CN303" s="206"/>
      <c r="CO303" s="206"/>
      <c r="CP303" s="206"/>
      <c r="CQ303" s="206"/>
      <c r="CR303" s="206"/>
      <c r="CS303" s="206"/>
      <c r="CT303" s="206"/>
      <c r="CU303" s="206"/>
      <c r="CV303" s="206"/>
      <c r="CW303" s="206"/>
      <c r="CX303" s="206"/>
      <c r="CY303" s="206"/>
      <c r="CZ303" s="206"/>
      <c r="DA303" s="206"/>
      <c r="DB303" s="206"/>
      <c r="DC303" s="206"/>
      <c r="DD303" s="206"/>
      <c r="DE303" s="206"/>
      <c r="DF303" s="206"/>
      <c r="DG303" s="206"/>
      <c r="DH303" s="206"/>
      <c r="DI303" s="206"/>
      <c r="DJ303" s="206"/>
      <c r="DK303" s="206"/>
      <c r="DL303" s="206"/>
      <c r="DM303" s="206"/>
      <c r="DN303" s="206"/>
      <c r="DO303" s="206"/>
      <c r="DP303" s="206"/>
      <c r="DQ303" s="206"/>
      <c r="DR303" s="206"/>
      <c r="DS303" s="206"/>
      <c r="DT303" s="206"/>
      <c r="DU303" s="206"/>
      <c r="DV303" s="206"/>
      <c r="DW303" s="206"/>
      <c r="DX303" s="206"/>
      <c r="DY303" s="206"/>
      <c r="DZ303" s="206"/>
      <c r="EA303" s="206"/>
      <c r="EB303" s="206"/>
      <c r="EC303" s="206"/>
      <c r="ED303" s="206"/>
      <c r="EE303" s="206"/>
      <c r="EF303" s="206"/>
      <c r="EG303" s="206"/>
      <c r="EH303" s="206"/>
      <c r="EI303" s="206"/>
      <c r="EJ303" s="206"/>
      <c r="EK303" s="206"/>
      <c r="EL303" s="206"/>
      <c r="EM303" s="206"/>
      <c r="EN303" s="206"/>
      <c r="EO303" s="206"/>
      <c r="EP303" s="206"/>
      <c r="EQ303" s="206"/>
    </row>
    <row r="304" spans="1:147">
      <c r="A304" s="225"/>
      <c r="B304" s="225"/>
      <c r="C304" s="225"/>
      <c r="D304" s="225"/>
      <c r="E304" s="225"/>
      <c r="F304" s="225"/>
      <c r="G304" s="225"/>
      <c r="H304" s="206"/>
      <c r="I304" s="225"/>
      <c r="J304" s="225"/>
      <c r="K304" s="225"/>
      <c r="L304" s="225"/>
      <c r="M304" s="225"/>
      <c r="N304" s="137"/>
      <c r="O304" s="232"/>
      <c r="P304" s="225"/>
      <c r="Q304" s="225"/>
      <c r="R304" s="225"/>
      <c r="S304" s="225"/>
      <c r="T304" s="225"/>
    </row>
    <row r="305" spans="1:20">
      <c r="A305" s="214" t="s">
        <v>598</v>
      </c>
      <c r="B305" s="214"/>
      <c r="C305" s="774">
        <f>C255+C301</f>
        <v>146726483</v>
      </c>
      <c r="D305" s="774">
        <f t="shared" ref="D305:F305" si="64">D255+D301</f>
        <v>305044092</v>
      </c>
      <c r="E305" s="774">
        <f t="shared" si="64"/>
        <v>360169066.49999958</v>
      </c>
      <c r="F305" s="774">
        <f t="shared" si="64"/>
        <v>376746175.49999958</v>
      </c>
      <c r="G305" s="774">
        <f>G255+G301</f>
        <v>1188685816.9999993</v>
      </c>
      <c r="H305" s="214"/>
      <c r="I305" s="774">
        <f>I255+I301</f>
        <v>135957223</v>
      </c>
      <c r="J305" s="774">
        <f t="shared" ref="J305:L305" si="65">J255+J301</f>
        <v>258263790</v>
      </c>
      <c r="K305" s="774">
        <f t="shared" si="65"/>
        <v>309517482.99999988</v>
      </c>
      <c r="L305" s="774">
        <f t="shared" si="65"/>
        <v>321123591.99999988</v>
      </c>
      <c r="M305" s="774">
        <f>M255+M301</f>
        <v>1024862087.9999998</v>
      </c>
      <c r="N305" s="773"/>
      <c r="O305" s="773"/>
      <c r="P305" s="774">
        <f>P255+P301</f>
        <v>10769260</v>
      </c>
      <c r="Q305" s="774">
        <f t="shared" ref="Q305:S305" si="66">Q255+Q301</f>
        <v>46780302</v>
      </c>
      <c r="R305" s="774">
        <f t="shared" si="66"/>
        <v>50651583.499999747</v>
      </c>
      <c r="S305" s="774">
        <f t="shared" si="66"/>
        <v>55622583.499999747</v>
      </c>
      <c r="T305" s="774">
        <f>T255+T301</f>
        <v>163823728.99999949</v>
      </c>
    </row>
    <row r="306" spans="1:20">
      <c r="A306" s="225"/>
      <c r="B306" s="225"/>
      <c r="C306" s="225"/>
      <c r="D306" s="225"/>
      <c r="E306" s="225"/>
      <c r="F306" s="225"/>
      <c r="G306" s="225"/>
      <c r="H306" s="225"/>
      <c r="I306" s="225"/>
      <c r="J306" s="225"/>
      <c r="K306" s="225"/>
      <c r="L306" s="225"/>
      <c r="M306" s="225"/>
      <c r="N306" s="232"/>
      <c r="O306" s="232"/>
      <c r="P306" s="225"/>
      <c r="Q306" s="225"/>
      <c r="R306" s="225"/>
      <c r="S306" s="225"/>
      <c r="T306" s="225"/>
    </row>
    <row r="307" spans="1:20">
      <c r="A307" s="225"/>
      <c r="B307" s="225"/>
      <c r="C307" s="225"/>
      <c r="D307" s="225"/>
      <c r="E307" s="225"/>
      <c r="F307" s="225"/>
      <c r="G307" s="225"/>
      <c r="H307" s="225"/>
      <c r="I307" s="225"/>
      <c r="J307" s="225"/>
      <c r="K307" s="225"/>
      <c r="L307" s="225"/>
      <c r="M307" s="225"/>
      <c r="N307" s="232"/>
      <c r="O307" s="232"/>
      <c r="P307" s="225"/>
      <c r="Q307" s="225"/>
      <c r="R307" s="225"/>
      <c r="S307" s="225"/>
      <c r="T307" s="225"/>
    </row>
    <row r="308" spans="1:20">
      <c r="A308" s="225"/>
      <c r="B308" s="225"/>
      <c r="C308" s="225"/>
      <c r="D308" s="225"/>
      <c r="E308" s="225"/>
      <c r="F308" s="225"/>
      <c r="G308" s="225"/>
      <c r="H308" s="225"/>
      <c r="I308" s="225"/>
      <c r="J308" s="225"/>
      <c r="K308" s="225"/>
      <c r="L308" s="225"/>
      <c r="M308" s="225"/>
      <c r="N308" s="232"/>
      <c r="O308" s="232"/>
      <c r="P308" s="225"/>
      <c r="Q308" s="225"/>
      <c r="R308" s="225"/>
      <c r="S308" s="225"/>
      <c r="T308" s="225"/>
    </row>
    <row r="309" spans="1:20">
      <c r="A309" s="225"/>
      <c r="B309" s="225"/>
      <c r="C309" s="225"/>
      <c r="D309" s="225"/>
      <c r="E309" s="225"/>
      <c r="F309" s="225"/>
      <c r="G309" s="225"/>
      <c r="H309" s="225"/>
      <c r="I309" s="225"/>
      <c r="J309" s="225"/>
      <c r="K309" s="225"/>
      <c r="L309" s="225"/>
      <c r="M309" s="225"/>
      <c r="N309" s="232"/>
      <c r="O309" s="232"/>
      <c r="P309" s="225"/>
      <c r="Q309" s="225"/>
      <c r="R309" s="225"/>
      <c r="S309" s="225"/>
      <c r="T309" s="225"/>
    </row>
    <row r="310" spans="1:20">
      <c r="A310" s="225"/>
      <c r="B310" s="225"/>
      <c r="C310" s="225"/>
      <c r="D310" s="225"/>
      <c r="E310" s="225"/>
      <c r="F310" s="225"/>
      <c r="G310" s="225"/>
      <c r="H310" s="225"/>
      <c r="I310" s="225"/>
      <c r="J310" s="225"/>
      <c r="K310" s="225"/>
      <c r="L310" s="225"/>
      <c r="M310" s="225"/>
      <c r="N310" s="232"/>
      <c r="O310" s="232"/>
      <c r="P310" s="225"/>
      <c r="Q310" s="225"/>
      <c r="R310" s="225"/>
      <c r="S310" s="225"/>
      <c r="T310" s="225"/>
    </row>
    <row r="311" spans="1:20">
      <c r="A311" s="225"/>
      <c r="B311" s="225"/>
      <c r="C311" s="225"/>
      <c r="D311" s="225"/>
      <c r="E311" s="225"/>
      <c r="F311" s="225"/>
      <c r="G311" s="225"/>
      <c r="H311" s="225"/>
      <c r="I311" s="225"/>
      <c r="J311" s="225"/>
      <c r="K311" s="225"/>
      <c r="L311" s="225"/>
      <c r="M311" s="225"/>
      <c r="N311" s="232"/>
      <c r="O311" s="232"/>
      <c r="P311" s="225"/>
      <c r="Q311" s="225"/>
      <c r="R311" s="225"/>
      <c r="S311" s="225"/>
      <c r="T311" s="225"/>
    </row>
    <row r="312" spans="1:20">
      <c r="A312" s="225"/>
      <c r="B312" s="225"/>
      <c r="C312" s="225"/>
      <c r="D312" s="225"/>
      <c r="E312" s="225"/>
      <c r="F312" s="225"/>
      <c r="G312" s="225"/>
      <c r="H312" s="225"/>
      <c r="I312" s="225"/>
      <c r="J312" s="225"/>
      <c r="K312" s="225"/>
      <c r="L312" s="225"/>
      <c r="M312" s="225"/>
      <c r="N312" s="232"/>
      <c r="O312" s="232"/>
      <c r="P312" s="225"/>
      <c r="Q312" s="225"/>
      <c r="R312" s="225"/>
      <c r="S312" s="225"/>
      <c r="T312" s="225"/>
    </row>
    <row r="313" spans="1:20">
      <c r="A313" s="225"/>
      <c r="B313" s="225"/>
      <c r="C313" s="225"/>
      <c r="D313" s="225"/>
      <c r="E313" s="225"/>
      <c r="F313" s="225"/>
      <c r="G313" s="225"/>
      <c r="H313" s="225"/>
      <c r="I313" s="225"/>
      <c r="J313" s="225"/>
      <c r="K313" s="225"/>
      <c r="L313" s="225"/>
      <c r="M313" s="225"/>
      <c r="N313" s="232"/>
      <c r="O313" s="232"/>
      <c r="P313" s="225"/>
      <c r="Q313" s="225"/>
      <c r="R313" s="225"/>
      <c r="S313" s="225"/>
      <c r="T313" s="225"/>
    </row>
    <row r="314" spans="1:20">
      <c r="A314" s="225"/>
      <c r="B314" s="225"/>
      <c r="C314" s="225"/>
      <c r="D314" s="225"/>
      <c r="E314" s="225"/>
      <c r="F314" s="225"/>
      <c r="G314" s="225"/>
      <c r="H314" s="225"/>
      <c r="I314" s="225"/>
      <c r="J314" s="225"/>
      <c r="K314" s="225"/>
      <c r="L314" s="225"/>
      <c r="M314" s="225"/>
      <c r="N314" s="232"/>
      <c r="O314" s="232"/>
      <c r="P314" s="225"/>
      <c r="Q314" s="225"/>
      <c r="R314" s="225"/>
      <c r="S314" s="225"/>
      <c r="T314" s="225"/>
    </row>
    <row r="315" spans="1:20">
      <c r="A315" s="225"/>
      <c r="B315" s="225"/>
      <c r="C315" s="225"/>
      <c r="D315" s="225"/>
      <c r="E315" s="225"/>
      <c r="F315" s="225"/>
      <c r="G315" s="225"/>
      <c r="H315" s="225"/>
      <c r="I315" s="225"/>
      <c r="J315" s="225"/>
      <c r="K315" s="225"/>
      <c r="L315" s="225"/>
      <c r="M315" s="225"/>
      <c r="N315" s="232"/>
      <c r="O315" s="232"/>
      <c r="P315" s="225"/>
      <c r="Q315" s="225"/>
      <c r="R315" s="225"/>
      <c r="S315" s="225"/>
      <c r="T315" s="225"/>
    </row>
    <row r="316" spans="1:20">
      <c r="A316" s="225"/>
      <c r="B316" s="225"/>
      <c r="C316" s="225"/>
      <c r="D316" s="225"/>
      <c r="E316" s="225"/>
      <c r="F316" s="225"/>
      <c r="G316" s="225"/>
      <c r="H316" s="225"/>
      <c r="I316" s="225"/>
      <c r="J316" s="225"/>
      <c r="K316" s="225"/>
      <c r="L316" s="225"/>
      <c r="M316" s="225"/>
      <c r="N316" s="232"/>
      <c r="O316" s="232"/>
      <c r="P316" s="225"/>
      <c r="Q316" s="225"/>
      <c r="R316" s="225"/>
      <c r="S316" s="225"/>
      <c r="T316" s="225"/>
    </row>
    <row r="317" spans="1:20">
      <c r="A317" s="225"/>
      <c r="B317" s="225"/>
      <c r="C317" s="225"/>
      <c r="D317" s="225"/>
      <c r="E317" s="225"/>
      <c r="F317" s="225"/>
      <c r="G317" s="225"/>
      <c r="H317" s="225"/>
      <c r="I317" s="225"/>
      <c r="J317" s="225"/>
      <c r="K317" s="225"/>
      <c r="L317" s="225"/>
      <c r="M317" s="225"/>
      <c r="N317" s="232"/>
      <c r="O317" s="232"/>
      <c r="P317" s="225"/>
      <c r="Q317" s="225"/>
      <c r="R317" s="225"/>
      <c r="S317" s="225"/>
      <c r="T317" s="225"/>
    </row>
    <row r="318" spans="1:20">
      <c r="A318" s="225"/>
      <c r="B318" s="225"/>
      <c r="C318" s="225"/>
      <c r="D318" s="225"/>
      <c r="E318" s="225"/>
      <c r="F318" s="225"/>
      <c r="G318" s="225"/>
      <c r="H318" s="225"/>
      <c r="I318" s="225"/>
      <c r="J318" s="225"/>
      <c r="K318" s="225"/>
      <c r="L318" s="225"/>
      <c r="M318" s="225"/>
      <c r="N318" s="232"/>
      <c r="O318" s="232"/>
      <c r="P318" s="225"/>
      <c r="Q318" s="225"/>
      <c r="R318" s="225"/>
      <c r="S318" s="225"/>
      <c r="T318" s="225"/>
    </row>
    <row r="319" spans="1:20">
      <c r="A319" s="225"/>
      <c r="B319" s="225"/>
      <c r="C319" s="225"/>
      <c r="D319" s="225"/>
      <c r="E319" s="225"/>
      <c r="F319" s="225"/>
      <c r="G319" s="225"/>
      <c r="H319" s="225"/>
      <c r="I319" s="225"/>
      <c r="J319" s="225"/>
      <c r="K319" s="225"/>
      <c r="L319" s="225"/>
      <c r="M319" s="225"/>
      <c r="N319" s="232"/>
      <c r="O319" s="232"/>
      <c r="P319" s="225"/>
      <c r="Q319" s="225"/>
      <c r="R319" s="225"/>
      <c r="S319" s="225"/>
      <c r="T319" s="225"/>
    </row>
    <row r="320" spans="1:20">
      <c r="A320" s="225"/>
      <c r="B320" s="225"/>
      <c r="C320" s="225"/>
      <c r="D320" s="225"/>
      <c r="E320" s="225"/>
      <c r="F320" s="225"/>
      <c r="G320" s="225"/>
      <c r="H320" s="225"/>
      <c r="I320" s="225"/>
      <c r="J320" s="225"/>
      <c r="K320" s="225"/>
      <c r="L320" s="225"/>
      <c r="M320" s="225"/>
      <c r="N320" s="232"/>
      <c r="O320" s="232"/>
      <c r="P320" s="225"/>
      <c r="Q320" s="225"/>
      <c r="R320" s="225"/>
      <c r="S320" s="225"/>
      <c r="T320" s="225"/>
    </row>
    <row r="321" spans="1:20">
      <c r="A321" s="225"/>
      <c r="B321" s="225"/>
      <c r="C321" s="225"/>
      <c r="D321" s="225"/>
      <c r="E321" s="225"/>
      <c r="F321" s="225"/>
      <c r="G321" s="225"/>
      <c r="H321" s="225"/>
      <c r="I321" s="225"/>
      <c r="J321" s="225"/>
      <c r="K321" s="225"/>
      <c r="L321" s="225"/>
      <c r="M321" s="225"/>
      <c r="N321" s="232"/>
      <c r="O321" s="232"/>
      <c r="P321" s="225"/>
      <c r="Q321" s="225"/>
      <c r="R321" s="225"/>
      <c r="S321" s="225"/>
      <c r="T321" s="225"/>
    </row>
    <row r="322" spans="1:20">
      <c r="A322" s="225"/>
      <c r="B322" s="225"/>
      <c r="C322" s="225"/>
      <c r="D322" s="225"/>
      <c r="E322" s="225"/>
      <c r="F322" s="225"/>
      <c r="G322" s="225"/>
      <c r="H322" s="225"/>
      <c r="I322" s="225"/>
      <c r="J322" s="225"/>
      <c r="K322" s="225"/>
      <c r="L322" s="225"/>
      <c r="M322" s="225"/>
      <c r="N322" s="232"/>
      <c r="O322" s="232"/>
      <c r="P322" s="225"/>
      <c r="Q322" s="225"/>
      <c r="R322" s="225"/>
      <c r="S322" s="225"/>
      <c r="T322" s="225"/>
    </row>
    <row r="323" spans="1:20">
      <c r="A323" s="225"/>
      <c r="B323" s="225"/>
      <c r="C323" s="225"/>
      <c r="D323" s="225"/>
      <c r="E323" s="225"/>
      <c r="F323" s="225"/>
      <c r="G323" s="225"/>
      <c r="H323" s="225"/>
      <c r="I323" s="225"/>
      <c r="J323" s="225"/>
      <c r="K323" s="225"/>
      <c r="L323" s="225"/>
      <c r="M323" s="225"/>
      <c r="N323" s="232"/>
      <c r="O323" s="232"/>
      <c r="P323" s="225"/>
      <c r="Q323" s="225"/>
      <c r="R323" s="225"/>
      <c r="S323" s="225"/>
      <c r="T323" s="225"/>
    </row>
    <row r="324" spans="1:20">
      <c r="A324" s="225"/>
      <c r="B324" s="225"/>
      <c r="C324" s="225"/>
      <c r="D324" s="225"/>
      <c r="E324" s="225"/>
      <c r="F324" s="225"/>
      <c r="G324" s="225"/>
      <c r="H324" s="225"/>
      <c r="I324" s="225"/>
      <c r="J324" s="225"/>
      <c r="K324" s="225"/>
      <c r="L324" s="225"/>
      <c r="M324" s="225"/>
      <c r="N324" s="232"/>
      <c r="O324" s="232"/>
      <c r="P324" s="225"/>
      <c r="Q324" s="225"/>
      <c r="R324" s="225"/>
      <c r="S324" s="225"/>
      <c r="T324" s="225"/>
    </row>
    <row r="325" spans="1:20">
      <c r="A325" s="225"/>
      <c r="B325" s="225"/>
      <c r="C325" s="225"/>
      <c r="D325" s="225"/>
      <c r="E325" s="225"/>
      <c r="F325" s="225"/>
      <c r="G325" s="225"/>
      <c r="H325" s="225"/>
      <c r="I325" s="225"/>
      <c r="J325" s="225"/>
      <c r="K325" s="225"/>
      <c r="L325" s="225"/>
      <c r="M325" s="225"/>
      <c r="N325" s="232"/>
      <c r="O325" s="232"/>
      <c r="P325" s="225"/>
      <c r="Q325" s="225"/>
      <c r="R325" s="225"/>
      <c r="S325" s="225"/>
      <c r="T325" s="225"/>
    </row>
    <row r="326" spans="1:20">
      <c r="A326" s="225"/>
      <c r="B326" s="225"/>
      <c r="C326" s="225"/>
      <c r="D326" s="225"/>
      <c r="E326" s="225"/>
      <c r="F326" s="225"/>
      <c r="G326" s="225"/>
      <c r="H326" s="225"/>
      <c r="I326" s="225"/>
      <c r="J326" s="225"/>
      <c r="K326" s="225"/>
      <c r="L326" s="225"/>
      <c r="M326" s="225"/>
      <c r="N326" s="232"/>
      <c r="O326" s="232"/>
      <c r="P326" s="225"/>
      <c r="Q326" s="225"/>
      <c r="R326" s="225"/>
      <c r="S326" s="225"/>
      <c r="T326" s="225"/>
    </row>
    <row r="327" spans="1:20">
      <c r="A327" s="225"/>
      <c r="B327" s="225"/>
      <c r="C327" s="225"/>
      <c r="D327" s="225"/>
      <c r="E327" s="225"/>
      <c r="F327" s="225"/>
      <c r="G327" s="225"/>
      <c r="H327" s="225"/>
      <c r="I327" s="225"/>
      <c r="J327" s="225"/>
      <c r="K327" s="225"/>
      <c r="L327" s="225"/>
      <c r="M327" s="225"/>
      <c r="N327" s="232"/>
      <c r="O327" s="232"/>
      <c r="P327" s="225"/>
      <c r="Q327" s="225"/>
      <c r="R327" s="225"/>
      <c r="S327" s="225"/>
      <c r="T327" s="225"/>
    </row>
    <row r="328" spans="1:20">
      <c r="A328" s="225"/>
      <c r="B328" s="225"/>
      <c r="C328" s="225"/>
      <c r="D328" s="225"/>
      <c r="E328" s="225"/>
      <c r="F328" s="225"/>
      <c r="G328" s="225"/>
      <c r="H328" s="225"/>
      <c r="I328" s="225"/>
      <c r="J328" s="225"/>
      <c r="K328" s="225"/>
      <c r="L328" s="225"/>
      <c r="M328" s="225"/>
      <c r="N328" s="232"/>
      <c r="O328" s="232"/>
      <c r="P328" s="225"/>
      <c r="Q328" s="225"/>
      <c r="R328" s="225"/>
      <c r="S328" s="225"/>
      <c r="T328" s="225"/>
    </row>
    <row r="329" spans="1:20">
      <c r="A329" s="225"/>
      <c r="B329" s="225"/>
      <c r="C329" s="225"/>
      <c r="D329" s="225"/>
      <c r="E329" s="225"/>
      <c r="F329" s="225"/>
      <c r="G329" s="225"/>
      <c r="H329" s="225"/>
      <c r="I329" s="225"/>
      <c r="J329" s="225"/>
      <c r="K329" s="225"/>
      <c r="L329" s="225"/>
      <c r="M329" s="225"/>
      <c r="N329" s="232"/>
      <c r="O329" s="232"/>
      <c r="P329" s="225"/>
      <c r="Q329" s="225"/>
      <c r="R329" s="225"/>
      <c r="S329" s="225"/>
      <c r="T329" s="225"/>
    </row>
    <row r="330" spans="1:20">
      <c r="A330" s="225"/>
      <c r="B330" s="225"/>
      <c r="C330" s="225"/>
      <c r="D330" s="225"/>
      <c r="E330" s="225"/>
      <c r="F330" s="225"/>
      <c r="G330" s="225"/>
      <c r="H330" s="225"/>
      <c r="I330" s="225"/>
      <c r="J330" s="225"/>
      <c r="K330" s="225"/>
      <c r="L330" s="225"/>
      <c r="M330" s="225"/>
      <c r="N330" s="232"/>
      <c r="O330" s="232"/>
      <c r="P330" s="225"/>
      <c r="Q330" s="225"/>
      <c r="R330" s="225"/>
      <c r="S330" s="225"/>
      <c r="T330" s="225"/>
    </row>
    <row r="331" spans="1:20">
      <c r="A331" s="225"/>
      <c r="B331" s="225"/>
      <c r="C331" s="225"/>
      <c r="D331" s="225"/>
      <c r="E331" s="225"/>
      <c r="F331" s="225"/>
      <c r="G331" s="225"/>
      <c r="H331" s="225"/>
      <c r="I331" s="225"/>
      <c r="J331" s="225"/>
      <c r="K331" s="225"/>
      <c r="L331" s="225"/>
      <c r="M331" s="225"/>
      <c r="N331" s="232"/>
      <c r="O331" s="232"/>
      <c r="P331" s="225"/>
      <c r="Q331" s="225"/>
      <c r="R331" s="225"/>
      <c r="S331" s="225"/>
      <c r="T331" s="225"/>
    </row>
    <row r="332" spans="1:20">
      <c r="A332" s="225"/>
      <c r="B332" s="225"/>
      <c r="C332" s="225"/>
      <c r="D332" s="225"/>
      <c r="E332" s="225"/>
      <c r="F332" s="225"/>
      <c r="G332" s="225"/>
      <c r="H332" s="225"/>
      <c r="I332" s="225"/>
      <c r="J332" s="225"/>
      <c r="K332" s="225"/>
      <c r="L332" s="225"/>
      <c r="M332" s="225"/>
      <c r="N332" s="232"/>
      <c r="O332" s="232"/>
      <c r="P332" s="225"/>
      <c r="Q332" s="225"/>
      <c r="R332" s="225"/>
      <c r="S332" s="225"/>
      <c r="T332" s="225"/>
    </row>
    <row r="333" spans="1:20">
      <c r="A333" s="225"/>
      <c r="B333" s="225"/>
      <c r="C333" s="225"/>
      <c r="D333" s="225"/>
      <c r="E333" s="225"/>
      <c r="F333" s="225"/>
      <c r="G333" s="225"/>
      <c r="H333" s="225"/>
      <c r="I333" s="225"/>
      <c r="J333" s="225"/>
      <c r="K333" s="225"/>
      <c r="L333" s="225"/>
      <c r="M333" s="225"/>
      <c r="N333" s="232"/>
      <c r="O333" s="232"/>
      <c r="P333" s="225"/>
      <c r="Q333" s="225"/>
      <c r="R333" s="225"/>
      <c r="S333" s="225"/>
      <c r="T333" s="225"/>
    </row>
    <row r="334" spans="1:20">
      <c r="A334" s="225"/>
      <c r="B334" s="225"/>
      <c r="C334" s="225"/>
      <c r="D334" s="225"/>
      <c r="E334" s="225"/>
      <c r="F334" s="225"/>
      <c r="G334" s="225"/>
      <c r="H334" s="225"/>
      <c r="I334" s="225"/>
      <c r="J334" s="225"/>
      <c r="K334" s="225"/>
      <c r="L334" s="225"/>
      <c r="M334" s="225"/>
      <c r="N334" s="232"/>
      <c r="O334" s="232"/>
      <c r="P334" s="225"/>
      <c r="Q334" s="225"/>
      <c r="R334" s="225"/>
      <c r="S334" s="225"/>
      <c r="T334" s="225"/>
    </row>
    <row r="335" spans="1:20">
      <c r="A335" s="225"/>
      <c r="B335" s="225"/>
      <c r="C335" s="225"/>
      <c r="D335" s="225"/>
      <c r="E335" s="225"/>
      <c r="F335" s="225"/>
      <c r="G335" s="225"/>
      <c r="H335" s="225"/>
      <c r="I335" s="225"/>
      <c r="J335" s="225"/>
      <c r="K335" s="225"/>
      <c r="L335" s="225"/>
      <c r="M335" s="225"/>
      <c r="N335" s="232"/>
      <c r="O335" s="232"/>
      <c r="P335" s="225"/>
      <c r="Q335" s="225"/>
      <c r="R335" s="225"/>
      <c r="S335" s="225"/>
      <c r="T335" s="225"/>
    </row>
    <row r="336" spans="1:20">
      <c r="A336" s="225"/>
      <c r="B336" s="225"/>
      <c r="C336" s="225"/>
      <c r="D336" s="225"/>
      <c r="E336" s="225"/>
      <c r="F336" s="225"/>
      <c r="G336" s="225"/>
      <c r="H336" s="225"/>
      <c r="I336" s="225"/>
      <c r="J336" s="225"/>
      <c r="K336" s="225"/>
      <c r="L336" s="225"/>
      <c r="M336" s="225"/>
      <c r="N336" s="232"/>
      <c r="O336" s="232"/>
      <c r="P336" s="225"/>
      <c r="Q336" s="225"/>
      <c r="R336" s="225"/>
      <c r="S336" s="225"/>
      <c r="T336" s="225"/>
    </row>
    <row r="337" spans="1:20">
      <c r="A337" s="225"/>
      <c r="B337" s="225"/>
      <c r="C337" s="225"/>
      <c r="D337" s="225"/>
      <c r="E337" s="225"/>
      <c r="F337" s="225"/>
      <c r="G337" s="225"/>
      <c r="H337" s="225"/>
      <c r="I337" s="225"/>
      <c r="J337" s="225"/>
      <c r="K337" s="225"/>
      <c r="L337" s="225"/>
      <c r="M337" s="225"/>
      <c r="N337" s="232"/>
      <c r="O337" s="232"/>
      <c r="P337" s="225"/>
      <c r="Q337" s="225"/>
      <c r="R337" s="225"/>
      <c r="S337" s="225"/>
      <c r="T337" s="225"/>
    </row>
    <row r="338" spans="1:20">
      <c r="A338" s="225"/>
      <c r="B338" s="225"/>
      <c r="C338" s="225"/>
      <c r="D338" s="225"/>
      <c r="E338" s="225"/>
      <c r="F338" s="225"/>
      <c r="G338" s="225"/>
      <c r="H338" s="225"/>
      <c r="I338" s="225"/>
      <c r="J338" s="225"/>
      <c r="K338" s="225"/>
      <c r="L338" s="225"/>
      <c r="M338" s="225"/>
      <c r="N338" s="232"/>
      <c r="O338" s="232"/>
      <c r="P338" s="225"/>
      <c r="Q338" s="225"/>
      <c r="R338" s="225"/>
      <c r="S338" s="225"/>
      <c r="T338" s="225"/>
    </row>
    <row r="339" spans="1:20">
      <c r="A339" s="225"/>
      <c r="B339" s="225"/>
      <c r="C339" s="225"/>
      <c r="D339" s="225"/>
      <c r="E339" s="225"/>
      <c r="F339" s="225"/>
      <c r="G339" s="225"/>
      <c r="H339" s="225"/>
      <c r="I339" s="225"/>
      <c r="J339" s="225"/>
      <c r="K339" s="225"/>
      <c r="L339" s="225"/>
      <c r="M339" s="225"/>
      <c r="N339" s="232"/>
      <c r="O339" s="232"/>
      <c r="P339" s="225"/>
      <c r="Q339" s="225"/>
      <c r="R339" s="225"/>
      <c r="S339" s="225"/>
      <c r="T339" s="225"/>
    </row>
    <row r="340" spans="1:20">
      <c r="A340" s="225"/>
      <c r="B340" s="225"/>
      <c r="C340" s="225"/>
      <c r="D340" s="225"/>
      <c r="E340" s="225"/>
      <c r="F340" s="225"/>
      <c r="G340" s="225"/>
      <c r="H340" s="225"/>
      <c r="I340" s="225"/>
      <c r="J340" s="225"/>
      <c r="K340" s="225"/>
      <c r="L340" s="225"/>
      <c r="M340" s="225"/>
      <c r="N340" s="232"/>
      <c r="O340" s="232"/>
      <c r="P340" s="225"/>
      <c r="Q340" s="225"/>
      <c r="R340" s="225"/>
      <c r="S340" s="225"/>
      <c r="T340" s="225"/>
    </row>
    <row r="341" spans="1:20">
      <c r="A341" s="225"/>
      <c r="B341" s="225"/>
      <c r="C341" s="225"/>
      <c r="D341" s="225"/>
      <c r="E341" s="225"/>
      <c r="F341" s="225"/>
      <c r="G341" s="225"/>
      <c r="H341" s="225"/>
      <c r="I341" s="225"/>
      <c r="J341" s="225"/>
      <c r="K341" s="225"/>
      <c r="L341" s="225"/>
      <c r="M341" s="225"/>
      <c r="N341" s="232"/>
      <c r="O341" s="232"/>
      <c r="P341" s="225"/>
      <c r="Q341" s="225"/>
      <c r="R341" s="225"/>
      <c r="S341" s="225"/>
      <c r="T341" s="225"/>
    </row>
    <row r="342" spans="1:20">
      <c r="A342" s="225"/>
      <c r="B342" s="225"/>
      <c r="C342" s="225"/>
      <c r="D342" s="225"/>
      <c r="E342" s="225"/>
      <c r="F342" s="225"/>
      <c r="G342" s="225"/>
      <c r="H342" s="225"/>
      <c r="I342" s="225"/>
      <c r="J342" s="225"/>
      <c r="K342" s="225"/>
      <c r="L342" s="225"/>
      <c r="M342" s="225"/>
      <c r="N342" s="232"/>
      <c r="O342" s="232"/>
      <c r="P342" s="225"/>
      <c r="Q342" s="225"/>
      <c r="R342" s="225"/>
      <c r="S342" s="225"/>
      <c r="T342" s="225"/>
    </row>
    <row r="343" spans="1:20">
      <c r="A343" s="225"/>
      <c r="B343" s="225"/>
      <c r="C343" s="225"/>
      <c r="D343" s="225"/>
      <c r="E343" s="225"/>
      <c r="F343" s="225"/>
      <c r="G343" s="225"/>
      <c r="H343" s="225"/>
      <c r="I343" s="225"/>
      <c r="J343" s="225"/>
      <c r="K343" s="225"/>
      <c r="L343" s="225"/>
      <c r="M343" s="225"/>
      <c r="N343" s="232"/>
      <c r="O343" s="232"/>
      <c r="P343" s="225"/>
      <c r="Q343" s="225"/>
      <c r="R343" s="225"/>
      <c r="S343" s="225"/>
      <c r="T343" s="225"/>
    </row>
  </sheetData>
  <mergeCells count="3">
    <mergeCell ref="C1:G1"/>
    <mergeCell ref="P1:T1"/>
    <mergeCell ref="I1:M1"/>
  </mergeCells>
  <conditionalFormatting sqref="C195:G197 D198:G198 C5:G184 C199:G254 C261:G270 I246:M254 I237:M244 I233:M234 I229:M229 I227:M227 I216:M224 I5:M184 I263:M270 I195:M214">
    <cfRule type="expression" dxfId="32" priority="103">
      <formula>IF($G5=0,TRUE,FALSE)</formula>
    </cfRule>
  </conditionalFormatting>
  <conditionalFormatting sqref="C271:G280 I272:M280">
    <cfRule type="expression" dxfId="31" priority="51">
      <formula>IF($G271=0,TRUE,FALSE)</formula>
    </cfRule>
  </conditionalFormatting>
  <conditionalFormatting sqref="I293:M300 C292:G300">
    <cfRule type="expression" dxfId="30" priority="25">
      <formula>IF($G292=0,TRUE,FALSE)</formula>
    </cfRule>
  </conditionalFormatting>
  <conditionalFormatting sqref="C185:G194 I187:M194">
    <cfRule type="expression" dxfId="29" priority="20">
      <formula>IF($G185=0,TRUE,FALSE)</formula>
    </cfRule>
  </conditionalFormatting>
  <conditionalFormatting sqref="C281:G290 I288:M290 I283:M286">
    <cfRule type="expression" dxfId="28" priority="19">
      <formula>IF($G281=0,TRUE,FALSE)</formula>
    </cfRule>
  </conditionalFormatting>
  <conditionalFormatting sqref="I185:M186">
    <cfRule type="expression" dxfId="27" priority="18">
      <formula>IF($G185=0,TRUE,FALSE)</formula>
    </cfRule>
  </conditionalFormatting>
  <conditionalFormatting sqref="I215:M215">
    <cfRule type="expression" dxfId="26" priority="17">
      <formula>IF($G215=0,TRUE,FALSE)</formula>
    </cfRule>
  </conditionalFormatting>
  <conditionalFormatting sqref="I225:M225">
    <cfRule type="expression" dxfId="25" priority="16">
      <formula>IF($G225=0,TRUE,FALSE)</formula>
    </cfRule>
  </conditionalFormatting>
  <conditionalFormatting sqref="I226:M226">
    <cfRule type="expression" dxfId="24" priority="14">
      <formula>IF($G226=0,TRUE,FALSE)</formula>
    </cfRule>
  </conditionalFormatting>
  <conditionalFormatting sqref="I228:M228">
    <cfRule type="expression" dxfId="23" priority="13">
      <formula>IF($G228=0,TRUE,FALSE)</formula>
    </cfRule>
  </conditionalFormatting>
  <conditionalFormatting sqref="I230:M230">
    <cfRule type="expression" dxfId="22" priority="12">
      <formula>IF($G230=0,TRUE,FALSE)</formula>
    </cfRule>
  </conditionalFormatting>
  <conditionalFormatting sqref="I231:M231">
    <cfRule type="expression" dxfId="21" priority="11">
      <formula>IF($G231=0,TRUE,FALSE)</formula>
    </cfRule>
  </conditionalFormatting>
  <conditionalFormatting sqref="I232:M232">
    <cfRule type="expression" dxfId="20" priority="10">
      <formula>IF($G232=0,TRUE,FALSE)</formula>
    </cfRule>
  </conditionalFormatting>
  <conditionalFormatting sqref="I235:M236">
    <cfRule type="expression" dxfId="19" priority="9">
      <formula>IF($G235=0,TRUE,FALSE)</formula>
    </cfRule>
  </conditionalFormatting>
  <conditionalFormatting sqref="I245:M245">
    <cfRule type="expression" dxfId="18" priority="8">
      <formula>IF($G245=0,TRUE,FALSE)</formula>
    </cfRule>
  </conditionalFormatting>
  <conditionalFormatting sqref="I261:M262">
    <cfRule type="expression" dxfId="17" priority="7">
      <formula>IF($G261=0,TRUE,FALSE)</formula>
    </cfRule>
  </conditionalFormatting>
  <conditionalFormatting sqref="I271:M271">
    <cfRule type="expression" dxfId="16" priority="6">
      <formula>IF($G271=0,TRUE,FALSE)</formula>
    </cfRule>
  </conditionalFormatting>
  <conditionalFormatting sqref="I281:M282">
    <cfRule type="expression" dxfId="15" priority="5">
      <formula>IF($G281=0,TRUE,FALSE)</formula>
    </cfRule>
  </conditionalFormatting>
  <conditionalFormatting sqref="I287:M287">
    <cfRule type="expression" dxfId="14" priority="4">
      <formula>IF($G287=0,TRUE,FALSE)</formula>
    </cfRule>
  </conditionalFormatting>
  <conditionalFormatting sqref="I292:M292">
    <cfRule type="expression" dxfId="13" priority="3">
      <formula>IF($G292=0,TRUE,FALSE)</formula>
    </cfRule>
  </conditionalFormatting>
  <conditionalFormatting sqref="C291:G291">
    <cfRule type="expression" dxfId="12" priority="2">
      <formula>IF($G291=0,TRUE,FALSE)</formula>
    </cfRule>
  </conditionalFormatting>
  <conditionalFormatting sqref="I291:M291">
    <cfRule type="expression" dxfId="11" priority="1">
      <formula>IF($G291=0,TRUE,FALSE)</formula>
    </cfRule>
  </conditionalFormatting>
  <pageMargins left="0.7" right="0.7" top="0.75" bottom="0.75" header="0.3" footer="0.3"/>
  <pageSetup paperSize="119" orientation="landscape" r:id="rId1"/>
  <headerFooter>
    <oddHeader>&amp;LAppendix E-2: Incremental Cost Calculation&amp;RClean Energy Implementation Plan</oddHeader>
    <oddFooter>&amp;LDECEMBER 17, 2021&amp;C&amp;P of &amp;N&amp;RPuget Sound Energy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abSelected="1" workbookViewId="0">
      <selection activeCell="E17" sqref="E17"/>
    </sheetView>
  </sheetViews>
  <sheetFormatPr defaultColWidth="9.140625" defaultRowHeight="12.75"/>
  <cols>
    <col min="1" max="1" width="45.5703125" style="120" customWidth="1"/>
    <col min="2" max="2" width="15.85546875" style="120" customWidth="1"/>
    <col min="3" max="3" width="11.5703125" style="120" bestFit="1" customWidth="1"/>
    <col min="4" max="6" width="12.5703125" style="120" bestFit="1" customWidth="1"/>
    <col min="7" max="16384" width="9.140625" style="120"/>
  </cols>
  <sheetData>
    <row r="1" spans="1:6">
      <c r="A1" s="121" t="s">
        <v>621</v>
      </c>
    </row>
    <row r="3" spans="1:6">
      <c r="B3" s="120">
        <v>2022</v>
      </c>
      <c r="C3" s="120">
        <v>2023</v>
      </c>
      <c r="D3" s="120">
        <v>2024</v>
      </c>
      <c r="E3" s="120">
        <v>2025</v>
      </c>
    </row>
    <row r="4" spans="1:6">
      <c r="A4" s="120" t="s">
        <v>615</v>
      </c>
      <c r="B4" s="171">
        <v>250000</v>
      </c>
      <c r="C4" s="171">
        <v>8786297.5</v>
      </c>
      <c r="D4" s="171">
        <v>8945832.5</v>
      </c>
      <c r="E4" s="171">
        <v>9136902.5</v>
      </c>
      <c r="F4" s="171"/>
    </row>
    <row r="5" spans="1:6">
      <c r="A5" s="120" t="s">
        <v>616</v>
      </c>
      <c r="B5" s="171">
        <v>471340</v>
      </c>
      <c r="C5" s="171">
        <v>758840</v>
      </c>
      <c r="D5" s="170">
        <v>969340</v>
      </c>
      <c r="E5" s="170">
        <v>969340</v>
      </c>
      <c r="F5" s="170"/>
    </row>
    <row r="6" spans="1:6">
      <c r="A6" s="120" t="s">
        <v>617</v>
      </c>
      <c r="B6" s="171">
        <v>238300</v>
      </c>
      <c r="C6" s="171">
        <v>284500</v>
      </c>
      <c r="D6" s="171">
        <v>299900</v>
      </c>
      <c r="E6" s="171">
        <v>299900</v>
      </c>
      <c r="F6" s="171"/>
    </row>
    <row r="7" spans="1:6">
      <c r="B7" s="171"/>
      <c r="C7" s="171"/>
      <c r="D7" s="171"/>
      <c r="E7" s="171"/>
      <c r="F7" s="171"/>
    </row>
    <row r="8" spans="1:6">
      <c r="A8" s="120" t="s">
        <v>15</v>
      </c>
      <c r="B8" s="171">
        <v>959640</v>
      </c>
      <c r="C8" s="171">
        <v>9829637.5</v>
      </c>
      <c r="D8" s="171">
        <v>10215072.5</v>
      </c>
      <c r="E8" s="171">
        <v>10406142.5</v>
      </c>
      <c r="F8" s="171"/>
    </row>
  </sheetData>
  <pageMargins left="0.7" right="0.7" top="0.75" bottom="0.75" header="0.3" footer="0.3"/>
  <pageSetup paperSize="119" orientation="landscape" horizontalDpi="1200" verticalDpi="1200" r:id="rId1"/>
  <headerFooter>
    <oddHeader>&amp;LAppendix E-2: Incremental Cost Calculation&amp;RClean Energy Implementation Plan</oddHeader>
    <oddFooter>&amp;LDECEMBER 17, 2021&amp;C&amp;P of &amp;N&amp;RPuget Sound Energy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7"/>
  <sheetViews>
    <sheetView tabSelected="1" workbookViewId="0">
      <selection activeCell="E17" sqref="E17"/>
    </sheetView>
  </sheetViews>
  <sheetFormatPr defaultColWidth="9.140625" defaultRowHeight="12.75"/>
  <cols>
    <col min="1" max="1" width="47" style="120" bestFit="1" customWidth="1"/>
    <col min="2" max="2" width="6.140625" style="120" bestFit="1" customWidth="1"/>
    <col min="3" max="3" width="14.28515625" style="120" bestFit="1" customWidth="1"/>
    <col min="4" max="4" width="57.7109375" style="120" customWidth="1"/>
    <col min="5" max="5" width="62.42578125" style="120" bestFit="1" customWidth="1"/>
    <col min="6" max="16384" width="9.140625" style="120"/>
  </cols>
  <sheetData>
    <row r="2" spans="1:5">
      <c r="A2" s="186" t="s">
        <v>541</v>
      </c>
      <c r="B2" s="594">
        <v>2.5000000000000001E-2</v>
      </c>
    </row>
    <row r="4" spans="1:5">
      <c r="A4" s="186" t="s">
        <v>622</v>
      </c>
    </row>
    <row r="5" spans="1:5">
      <c r="A5" s="596"/>
      <c r="B5" s="597"/>
      <c r="C5" s="233"/>
      <c r="D5" s="595" t="s">
        <v>623</v>
      </c>
      <c r="E5" s="595" t="s">
        <v>624</v>
      </c>
    </row>
    <row r="6" spans="1:5" ht="89.25">
      <c r="A6" s="596" t="s">
        <v>121</v>
      </c>
      <c r="B6" s="597"/>
      <c r="C6" s="234">
        <v>1681835</v>
      </c>
      <c r="D6" s="235" t="s">
        <v>625</v>
      </c>
      <c r="E6" s="233" t="s">
        <v>626</v>
      </c>
    </row>
    <row r="7" spans="1:5">
      <c r="A7" s="596" t="s">
        <v>627</v>
      </c>
      <c r="B7" s="597"/>
      <c r="C7" s="234">
        <v>130000</v>
      </c>
      <c r="D7" s="235" t="s">
        <v>628</v>
      </c>
      <c r="E7" s="233" t="s">
        <v>629</v>
      </c>
    </row>
    <row r="8" spans="1:5">
      <c r="A8" s="596" t="s">
        <v>630</v>
      </c>
      <c r="B8" s="597"/>
      <c r="C8" s="234">
        <v>160000</v>
      </c>
      <c r="D8" s="235" t="s">
        <v>631</v>
      </c>
      <c r="E8" s="233" t="s">
        <v>632</v>
      </c>
    </row>
    <row r="9" spans="1:5">
      <c r="A9" s="596" t="s">
        <v>633</v>
      </c>
      <c r="B9" s="597"/>
      <c r="C9" s="234">
        <v>86400</v>
      </c>
      <c r="D9" s="235" t="s">
        <v>634</v>
      </c>
      <c r="E9" s="233"/>
    </row>
    <row r="10" spans="1:5">
      <c r="C10" s="171"/>
    </row>
    <row r="11" spans="1:5">
      <c r="A11" s="186" t="s">
        <v>635</v>
      </c>
      <c r="B11" s="186"/>
      <c r="C11" s="593">
        <v>2058235</v>
      </c>
    </row>
    <row r="13" spans="1:5">
      <c r="A13" s="186" t="s">
        <v>743</v>
      </c>
      <c r="C13" s="593">
        <f>C11*(1+$B$2)</f>
        <v>2109690.875</v>
      </c>
    </row>
    <row r="15" spans="1:5">
      <c r="A15" s="186" t="s">
        <v>744</v>
      </c>
      <c r="C15" s="593">
        <f>C13*(1+$B$2)</f>
        <v>2162433.1468749996</v>
      </c>
    </row>
    <row r="16" spans="1:5">
      <c r="C16" s="593"/>
    </row>
    <row r="17" spans="1:3">
      <c r="A17" s="186" t="s">
        <v>745</v>
      </c>
      <c r="C17" s="593">
        <f>C15*(1+$B$2)</f>
        <v>2216493.9755468746</v>
      </c>
    </row>
  </sheetData>
  <pageMargins left="0.7" right="0.7" top="0.75" bottom="0.75" header="0.3" footer="0.3"/>
  <pageSetup paperSize="119" orientation="landscape" r:id="rId1"/>
  <headerFooter>
    <oddHeader>&amp;LAppendix E-2: Incremental Cost Calculation&amp;RClean Energy Implementation Plan</oddHeader>
    <oddFooter>&amp;LDECEMBER 17, 2021&amp;C&amp;P of &amp;N&amp;RPuget Sound Energy</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0"/>
  <sheetViews>
    <sheetView tabSelected="1" zoomScaleNormal="100" workbookViewId="0">
      <pane xSplit="2" ySplit="3" topLeftCell="C4" activePane="bottomRight" state="frozen"/>
      <selection activeCell="E17" sqref="E17"/>
      <selection pane="topRight" activeCell="E17" sqref="E17"/>
      <selection pane="bottomLeft" activeCell="E17" sqref="E17"/>
      <selection pane="bottomRight" activeCell="E17" sqref="E17"/>
    </sheetView>
  </sheetViews>
  <sheetFormatPr defaultColWidth="9.140625" defaultRowHeight="12.75"/>
  <cols>
    <col min="1" max="1" width="24.28515625" style="120" customWidth="1"/>
    <col min="2" max="2" width="67.5703125" style="120" customWidth="1"/>
    <col min="3" max="3" width="14.28515625" style="120" bestFit="1" customWidth="1"/>
    <col min="4" max="4" width="11.5703125" style="120" bestFit="1" customWidth="1"/>
    <col min="5" max="5" width="16" style="120" bestFit="1" customWidth="1"/>
    <col min="6" max="6" width="15.28515625" style="120" bestFit="1" customWidth="1"/>
    <col min="7" max="8" width="16.28515625" style="120" bestFit="1" customWidth="1"/>
    <col min="9" max="9" width="12.140625" style="120" customWidth="1"/>
    <col min="10" max="11" width="16.5703125" style="120" customWidth="1"/>
    <col min="12" max="12" width="25.42578125" style="120" bestFit="1" customWidth="1"/>
    <col min="13" max="13" width="18.42578125" style="120" customWidth="1"/>
    <col min="14" max="16384" width="9.140625" style="120"/>
  </cols>
  <sheetData>
    <row r="1" spans="1:13" s="194" customFormat="1">
      <c r="A1" s="236" t="s">
        <v>836</v>
      </c>
    </row>
    <row r="3" spans="1:13">
      <c r="A3" s="120">
        <v>2020</v>
      </c>
      <c r="C3" s="186">
        <v>2020</v>
      </c>
      <c r="D3" s="186">
        <f>C3+1</f>
        <v>2021</v>
      </c>
      <c r="E3" s="186">
        <f t="shared" ref="E3" si="0">D3+1</f>
        <v>2022</v>
      </c>
      <c r="F3" s="186">
        <f t="shared" ref="F3" si="1">E3+1</f>
        <v>2023</v>
      </c>
      <c r="G3" s="186">
        <f t="shared" ref="G3" si="2">F3+1</f>
        <v>2024</v>
      </c>
      <c r="H3" s="186">
        <f t="shared" ref="H3" si="3">G3+1</f>
        <v>2025</v>
      </c>
    </row>
    <row r="4" spans="1:13">
      <c r="A4" s="171">
        <f>'8. 2020 CBR'!EH15</f>
        <v>1988341486.675221</v>
      </c>
      <c r="B4" s="120" t="s">
        <v>599</v>
      </c>
      <c r="C4" s="237">
        <f>A4/1000</f>
        <v>1988341.486675221</v>
      </c>
      <c r="D4" s="171">
        <f>C4*1.025</f>
        <v>2038050.0238421015</v>
      </c>
      <c r="E4" s="171">
        <f t="shared" ref="E4" si="4">D4*1.025</f>
        <v>2089001.2744381537</v>
      </c>
      <c r="F4" s="171">
        <f t="shared" ref="F4" si="5">E4*1.025</f>
        <v>2141226.3062991071</v>
      </c>
      <c r="G4" s="171">
        <f t="shared" ref="G4" si="6">F4*1.025</f>
        <v>2194756.9639565847</v>
      </c>
      <c r="H4" s="171">
        <f t="shared" ref="H4" si="7">G4*1.025</f>
        <v>2249625.8880554992</v>
      </c>
      <c r="I4" s="171"/>
    </row>
    <row r="5" spans="1:13">
      <c r="A5" s="171"/>
      <c r="B5" s="120" t="s">
        <v>135</v>
      </c>
      <c r="C5" s="171">
        <f>C4</f>
        <v>1988341.486675221</v>
      </c>
      <c r="D5" s="171">
        <f>D4</f>
        <v>2038050.0238421015</v>
      </c>
      <c r="E5" s="171">
        <f t="shared" ref="E5:H5" si="8">E4</f>
        <v>2089001.2744381537</v>
      </c>
      <c r="F5" s="171">
        <f t="shared" si="8"/>
        <v>2141226.3062991071</v>
      </c>
      <c r="G5" s="171">
        <f t="shared" si="8"/>
        <v>2194756.9639565847</v>
      </c>
      <c r="H5" s="171">
        <f t="shared" si="8"/>
        <v>2249625.8880554992</v>
      </c>
      <c r="I5" s="171"/>
    </row>
    <row r="6" spans="1:13">
      <c r="A6" s="171"/>
      <c r="C6" s="171"/>
      <c r="D6" s="238" t="s">
        <v>188</v>
      </c>
      <c r="E6" s="127">
        <f>E5/1000</f>
        <v>2089.0012744381538</v>
      </c>
      <c r="F6" s="127">
        <f t="shared" ref="F6" si="9">F5/1000</f>
        <v>2141.2263062991074</v>
      </c>
      <c r="G6" s="127">
        <f t="shared" ref="G6" si="10">G5/1000</f>
        <v>2194.7569639565845</v>
      </c>
      <c r="H6" s="127">
        <f t="shared" ref="H6" si="11">H5/1000</f>
        <v>2249.6258880554992</v>
      </c>
      <c r="I6" s="127"/>
    </row>
    <row r="7" spans="1:13">
      <c r="A7" s="171"/>
      <c r="C7" s="171"/>
      <c r="D7" s="171"/>
      <c r="E7" s="171"/>
      <c r="F7" s="171"/>
      <c r="G7" s="171"/>
      <c r="H7" s="171"/>
      <c r="I7" s="171"/>
    </row>
    <row r="8" spans="1:13">
      <c r="B8" s="120" t="s">
        <v>137</v>
      </c>
      <c r="C8" s="171"/>
      <c r="D8" s="171"/>
      <c r="E8" s="171">
        <f>D5*0.02</f>
        <v>40761.000476842033</v>
      </c>
      <c r="F8" s="171">
        <f>E8+((E5+E8)*0.02)</f>
        <v>83356.245975141952</v>
      </c>
      <c r="G8" s="171">
        <f>F8+((F5+F8)*0.02)</f>
        <v>127847.89702062693</v>
      </c>
      <c r="H8" s="171">
        <f t="shared" ref="H8" si="12">G8+((G5+G8)*0.02)</f>
        <v>174299.99424017116</v>
      </c>
      <c r="I8" s="171"/>
      <c r="J8" s="171"/>
      <c r="K8" s="171"/>
      <c r="L8" s="171"/>
    </row>
    <row r="9" spans="1:13">
      <c r="B9" s="120" t="s">
        <v>153</v>
      </c>
      <c r="C9" s="171"/>
      <c r="D9" s="171"/>
      <c r="E9" s="237">
        <f>E8*1000</f>
        <v>40761000.476842031</v>
      </c>
      <c r="F9" s="237">
        <f>F8*1000</f>
        <v>83356245.975141957</v>
      </c>
      <c r="G9" s="237">
        <f>G8*1000</f>
        <v>127847897.02062693</v>
      </c>
      <c r="H9" s="237">
        <f t="shared" ref="H9" si="13">H8*1000</f>
        <v>174299994.24017116</v>
      </c>
      <c r="I9" s="237"/>
      <c r="J9" s="171"/>
      <c r="K9" s="171"/>
      <c r="L9" s="171"/>
      <c r="M9" s="171"/>
    </row>
    <row r="10" spans="1:13">
      <c r="D10" s="238"/>
      <c r="E10" s="127"/>
      <c r="F10" s="127"/>
      <c r="G10" s="127"/>
      <c r="H10" s="127"/>
      <c r="I10" s="127"/>
    </row>
    <row r="11" spans="1:13">
      <c r="B11" s="239"/>
      <c r="J11" s="171"/>
      <c r="K11" s="171"/>
      <c r="L11" s="171"/>
      <c r="M11" s="171"/>
    </row>
    <row r="12" spans="1:13">
      <c r="B12" s="120" t="s">
        <v>138</v>
      </c>
      <c r="E12" s="170">
        <f>'3. Resource Incremental Cost'!B14</f>
        <v>37569842.465470493</v>
      </c>
      <c r="F12" s="170">
        <f>'3. Resource Incremental Cost'!C14</f>
        <v>37569842.465470493</v>
      </c>
      <c r="G12" s="170">
        <f>'3. Resource Incremental Cost'!D14</f>
        <v>37569842.465470493</v>
      </c>
      <c r="H12" s="170">
        <f>'3. Resource Incremental Cost'!E14</f>
        <v>37569842.465470493</v>
      </c>
      <c r="I12" s="171"/>
      <c r="J12" s="171"/>
      <c r="K12" s="171"/>
      <c r="L12" s="171"/>
      <c r="M12" s="171"/>
    </row>
    <row r="13" spans="1:13">
      <c r="B13" s="120" t="s">
        <v>139</v>
      </c>
      <c r="E13" s="170">
        <f>'2. Demand Response'!D123</f>
        <v>242453.90323864867</v>
      </c>
      <c r="F13" s="170">
        <f>'2. Demand Response'!E123</f>
        <v>721685.06538163242</v>
      </c>
      <c r="G13" s="170">
        <f>'2. Demand Response'!F123</f>
        <v>888225.85144293751</v>
      </c>
      <c r="H13" s="170">
        <f>'2. Demand Response'!G123</f>
        <v>2227638.4314282564</v>
      </c>
      <c r="I13" s="171"/>
      <c r="J13" s="171"/>
      <c r="K13" s="171"/>
      <c r="L13" s="171"/>
      <c r="M13" s="171"/>
    </row>
    <row r="14" spans="1:13">
      <c r="B14" s="120" t="s">
        <v>140</v>
      </c>
      <c r="E14" s="170">
        <f>'3. Resource Incremental Cost'!B13</f>
        <v>411594.20013427734</v>
      </c>
      <c r="F14" s="170">
        <f>'3. Resource Incremental Cost'!C13</f>
        <v>11165441.983222961</v>
      </c>
      <c r="G14" s="170">
        <f>'3. Resource Incremental Cost'!D13</f>
        <v>74805887.419223785</v>
      </c>
      <c r="H14" s="170">
        <f>'3. Resource Incremental Cost'!E13</f>
        <v>114457536.86761856</v>
      </c>
      <c r="I14" s="171"/>
      <c r="J14" s="171"/>
      <c r="K14" s="171"/>
      <c r="L14" s="171"/>
      <c r="M14" s="171"/>
    </row>
    <row r="15" spans="1:13">
      <c r="B15" s="120" t="s">
        <v>187</v>
      </c>
      <c r="E15" s="159"/>
      <c r="F15" s="159"/>
      <c r="G15" s="159"/>
      <c r="H15" s="159"/>
      <c r="I15" s="171"/>
      <c r="J15" s="171"/>
      <c r="K15" s="171"/>
      <c r="L15" s="171"/>
      <c r="M15" s="171"/>
    </row>
    <row r="16" spans="1:13">
      <c r="J16" s="171"/>
      <c r="K16" s="171"/>
      <c r="L16" s="171"/>
      <c r="M16" s="171"/>
    </row>
    <row r="17" spans="1:13">
      <c r="B17" s="120" t="s">
        <v>154</v>
      </c>
      <c r="E17" s="171">
        <f>'4A. Supp-DER Enab RR'!F24*1000</f>
        <v>3566749.8043382261</v>
      </c>
      <c r="F17" s="171">
        <f>'4A. Supp-DER Enab RR'!G24*1000</f>
        <v>8252920.3265129179</v>
      </c>
      <c r="G17" s="171">
        <f>'4A. Supp-DER Enab RR'!H24*1000</f>
        <v>10451352.662252689</v>
      </c>
      <c r="H17" s="171">
        <f>'4A. Supp-DER Enab RR'!I24*1000</f>
        <v>11888090.385633729</v>
      </c>
      <c r="I17" s="203"/>
      <c r="J17" s="171"/>
      <c r="K17" s="171"/>
      <c r="L17" s="171"/>
      <c r="M17" s="171"/>
    </row>
    <row r="18" spans="1:13">
      <c r="B18" s="120" t="s">
        <v>155</v>
      </c>
      <c r="E18" s="171">
        <f>'4B. Supp - GridMod RR'!F23*1000</f>
        <v>507985.71614253579</v>
      </c>
      <c r="F18" s="171">
        <f>'4B. Supp - GridMod RR'!G23*1000</f>
        <v>2532533.5638285675</v>
      </c>
      <c r="G18" s="171">
        <f>'4B. Supp - GridMod RR'!H23*1000</f>
        <v>6518133.1933899065</v>
      </c>
      <c r="H18" s="171">
        <f>'4B. Supp - GridMod RR'!I23*1000</f>
        <v>11432415.77200445</v>
      </c>
      <c r="I18" s="171"/>
      <c r="J18" s="171"/>
      <c r="K18" s="171"/>
      <c r="L18" s="171"/>
      <c r="M18" s="171"/>
    </row>
    <row r="19" spans="1:13">
      <c r="B19" s="120" t="s">
        <v>156</v>
      </c>
      <c r="E19" s="171">
        <f>'5. Comm and Education Costs'!B8</f>
        <v>959640</v>
      </c>
      <c r="F19" s="171">
        <f>'5. Comm and Education Costs'!C8</f>
        <v>9829637.5</v>
      </c>
      <c r="G19" s="171">
        <f>'5. Comm and Education Costs'!D8</f>
        <v>10215072.5</v>
      </c>
      <c r="H19" s="171">
        <f>'5. Comm and Education Costs'!E8</f>
        <v>10406142.5</v>
      </c>
      <c r="I19" s="145"/>
      <c r="J19" s="171"/>
      <c r="K19" s="171"/>
      <c r="L19" s="171"/>
      <c r="M19" s="171"/>
    </row>
    <row r="20" spans="1:13">
      <c r="B20" s="120" t="s">
        <v>157</v>
      </c>
      <c r="E20" s="171">
        <f>'6. Admin'!C11</f>
        <v>2058235</v>
      </c>
      <c r="F20" s="171">
        <f>E20*1.025</f>
        <v>2109690.875</v>
      </c>
      <c r="G20" s="171">
        <f>F20*1.025</f>
        <v>2162433.1468749996</v>
      </c>
      <c r="H20" s="171">
        <f>G20*1.025</f>
        <v>2216493.9755468746</v>
      </c>
      <c r="I20" s="145"/>
      <c r="J20" s="171"/>
      <c r="K20" s="171"/>
      <c r="L20" s="171"/>
      <c r="M20" s="171"/>
    </row>
    <row r="21" spans="1:13">
      <c r="J21" s="171"/>
      <c r="K21" s="171"/>
      <c r="L21" s="171"/>
      <c r="M21" s="171"/>
    </row>
    <row r="22" spans="1:13">
      <c r="B22" s="120" t="s">
        <v>176</v>
      </c>
      <c r="E22" s="159">
        <f>SUM(E12:E20)</f>
        <v>45316501.089324176</v>
      </c>
      <c r="F22" s="159">
        <f>SUM(F12:F20)</f>
        <v>72181751.779416561</v>
      </c>
      <c r="G22" s="159">
        <f>SUM(G12:G20)</f>
        <v>142610947.23865482</v>
      </c>
      <c r="H22" s="159">
        <f>SUM(H12:H20)</f>
        <v>190198160.39770237</v>
      </c>
      <c r="I22" s="159"/>
      <c r="J22" s="171"/>
      <c r="K22" s="171"/>
      <c r="L22" s="171"/>
      <c r="M22" s="171"/>
    </row>
    <row r="23" spans="1:13">
      <c r="D23" s="238" t="s">
        <v>188</v>
      </c>
      <c r="E23" s="169">
        <f>E22/1000</f>
        <v>45316.501089324178</v>
      </c>
      <c r="F23" s="159">
        <f t="shared" ref="F23:H23" si="14">F22/1000</f>
        <v>72181.751779416561</v>
      </c>
      <c r="G23" s="159">
        <f t="shared" si="14"/>
        <v>142610.94723865483</v>
      </c>
      <c r="H23" s="159">
        <f t="shared" si="14"/>
        <v>190198.16039770236</v>
      </c>
      <c r="I23" s="127"/>
      <c r="J23" s="171"/>
      <c r="K23" s="171"/>
      <c r="L23" s="171"/>
      <c r="M23" s="171"/>
    </row>
    <row r="24" spans="1:13" ht="20.25" customHeight="1">
      <c r="D24" s="120" t="s">
        <v>189</v>
      </c>
      <c r="E24" s="159">
        <f>E23-E8</f>
        <v>4555.5006124821448</v>
      </c>
      <c r="F24" s="159">
        <f t="shared" ref="F24:H24" si="15">F23-F8</f>
        <v>-11174.49419572539</v>
      </c>
      <c r="G24" s="159">
        <f t="shared" si="15"/>
        <v>14763.0502180279</v>
      </c>
      <c r="H24" s="159">
        <f t="shared" si="15"/>
        <v>15898.166157531203</v>
      </c>
      <c r="I24" s="128"/>
      <c r="J24" s="159"/>
      <c r="K24" s="159"/>
      <c r="L24" s="159"/>
      <c r="M24" s="159"/>
    </row>
    <row r="25" spans="1:13">
      <c r="E25" s="159"/>
      <c r="F25" s="159"/>
      <c r="G25" s="159"/>
      <c r="H25" s="159"/>
      <c r="J25" s="159"/>
      <c r="K25" s="159"/>
      <c r="L25" s="159"/>
      <c r="M25" s="159"/>
    </row>
    <row r="26" spans="1:13">
      <c r="A26" s="240"/>
      <c r="E26" s="159"/>
      <c r="F26" s="159"/>
      <c r="G26" s="159"/>
      <c r="H26" s="159"/>
      <c r="J26" s="191"/>
      <c r="K26" s="191"/>
      <c r="L26" s="191"/>
      <c r="M26" s="191"/>
    </row>
    <row r="28" spans="1:13">
      <c r="A28" s="171"/>
      <c r="C28" s="237"/>
      <c r="D28" s="171"/>
      <c r="E28" s="171"/>
      <c r="F28" s="171"/>
      <c r="G28" s="171"/>
      <c r="H28" s="171"/>
      <c r="I28" s="171"/>
    </row>
    <row r="29" spans="1:13">
      <c r="A29" s="171"/>
      <c r="C29" s="241"/>
      <c r="D29" s="241"/>
      <c r="E29" s="241"/>
      <c r="F29" s="241"/>
      <c r="G29" s="241"/>
      <c r="H29" s="241"/>
      <c r="I29" s="241"/>
    </row>
    <row r="30" spans="1:13">
      <c r="A30" s="171"/>
      <c r="C30" s="171"/>
      <c r="D30" s="171"/>
      <c r="E30" s="171"/>
      <c r="F30" s="171"/>
      <c r="G30" s="171"/>
      <c r="H30" s="171"/>
      <c r="I30" s="171"/>
    </row>
    <row r="31" spans="1:13">
      <c r="A31" s="171"/>
      <c r="C31" s="171"/>
      <c r="D31" s="238"/>
      <c r="E31" s="127"/>
      <c r="F31" s="127"/>
      <c r="G31" s="127"/>
      <c r="H31" s="127"/>
      <c r="I31" s="127"/>
    </row>
    <row r="32" spans="1:13">
      <c r="A32" s="171"/>
      <c r="C32" s="171"/>
      <c r="D32" s="171"/>
      <c r="E32" s="171"/>
      <c r="F32" s="171"/>
      <c r="G32" s="171"/>
      <c r="H32" s="171"/>
      <c r="I32" s="171"/>
    </row>
    <row r="33" spans="2:13">
      <c r="C33" s="171"/>
      <c r="D33" s="171"/>
      <c r="E33" s="171"/>
      <c r="F33" s="171"/>
      <c r="G33" s="171"/>
      <c r="H33" s="171"/>
      <c r="I33" s="171"/>
      <c r="J33" s="171"/>
      <c r="K33" s="171"/>
      <c r="L33" s="171"/>
    </row>
    <row r="34" spans="2:13">
      <c r="C34" s="171"/>
      <c r="D34" s="171"/>
      <c r="E34" s="237"/>
      <c r="F34" s="237"/>
      <c r="G34" s="237"/>
      <c r="H34" s="237"/>
      <c r="I34" s="237"/>
      <c r="J34" s="171"/>
      <c r="K34" s="171"/>
      <c r="L34" s="171"/>
      <c r="M34" s="171"/>
    </row>
    <row r="35" spans="2:13">
      <c r="D35" s="238"/>
      <c r="E35" s="127"/>
      <c r="F35" s="127"/>
      <c r="G35" s="127"/>
      <c r="H35" s="127"/>
      <c r="I35" s="127"/>
    </row>
    <row r="36" spans="2:13">
      <c r="B36" s="239"/>
      <c r="J36" s="171"/>
      <c r="K36" s="171"/>
      <c r="L36" s="171"/>
      <c r="M36" s="171"/>
    </row>
    <row r="37" spans="2:13">
      <c r="E37" s="170"/>
      <c r="F37" s="170"/>
      <c r="G37" s="170"/>
      <c r="H37" s="170"/>
      <c r="I37" s="171"/>
      <c r="J37" s="171"/>
      <c r="K37" s="171"/>
      <c r="L37" s="171"/>
      <c r="M37" s="171"/>
    </row>
    <row r="38" spans="2:13">
      <c r="E38" s="170"/>
      <c r="F38" s="170"/>
      <c r="G38" s="170"/>
      <c r="H38" s="170"/>
      <c r="I38" s="171"/>
      <c r="J38" s="171"/>
      <c r="K38" s="171"/>
      <c r="L38" s="171"/>
      <c r="M38" s="171"/>
    </row>
    <row r="39" spans="2:13">
      <c r="E39" s="170"/>
      <c r="F39" s="170"/>
      <c r="G39" s="170"/>
      <c r="H39" s="170"/>
      <c r="I39" s="171"/>
      <c r="J39" s="171"/>
      <c r="K39" s="171"/>
      <c r="L39" s="171"/>
      <c r="M39" s="171"/>
    </row>
    <row r="40" spans="2:13">
      <c r="E40" s="159"/>
      <c r="F40" s="159"/>
      <c r="G40" s="159"/>
      <c r="H40" s="159"/>
      <c r="I40" s="171"/>
      <c r="J40" s="171"/>
      <c r="K40" s="171"/>
      <c r="L40" s="171"/>
      <c r="M40" s="171"/>
    </row>
    <row r="41" spans="2:13">
      <c r="J41" s="171"/>
      <c r="K41" s="171"/>
      <c r="L41" s="171"/>
      <c r="M41" s="171"/>
    </row>
    <row r="42" spans="2:13">
      <c r="E42" s="171"/>
      <c r="F42" s="171"/>
      <c r="G42" s="171"/>
      <c r="H42" s="171"/>
      <c r="I42" s="203"/>
      <c r="J42" s="171"/>
      <c r="K42" s="171"/>
      <c r="L42" s="171"/>
      <c r="M42" s="171"/>
    </row>
    <row r="43" spans="2:13">
      <c r="E43" s="171"/>
      <c r="F43" s="171"/>
      <c r="G43" s="171"/>
      <c r="H43" s="171"/>
      <c r="I43" s="171"/>
      <c r="J43" s="171"/>
      <c r="K43" s="171"/>
      <c r="L43" s="171"/>
      <c r="M43" s="171"/>
    </row>
    <row r="44" spans="2:13">
      <c r="E44" s="171"/>
      <c r="F44" s="171"/>
      <c r="G44" s="171"/>
      <c r="H44" s="171"/>
      <c r="I44" s="145"/>
      <c r="J44" s="171"/>
      <c r="K44" s="171"/>
      <c r="L44" s="171"/>
      <c r="M44" s="171"/>
    </row>
    <row r="45" spans="2:13">
      <c r="E45" s="171"/>
      <c r="F45" s="171"/>
      <c r="G45" s="171"/>
      <c r="H45" s="171"/>
      <c r="I45" s="145"/>
      <c r="J45" s="171"/>
      <c r="K45" s="171"/>
      <c r="L45" s="171"/>
      <c r="M45" s="171"/>
    </row>
    <row r="46" spans="2:13">
      <c r="J46" s="171"/>
      <c r="K46" s="171"/>
      <c r="L46" s="171"/>
      <c r="M46" s="171"/>
    </row>
    <row r="47" spans="2:13">
      <c r="E47" s="159"/>
      <c r="F47" s="159"/>
      <c r="G47" s="159"/>
      <c r="H47" s="159"/>
      <c r="I47" s="159"/>
      <c r="J47" s="171"/>
      <c r="K47" s="171"/>
      <c r="L47" s="171"/>
      <c r="M47" s="171"/>
    </row>
    <row r="48" spans="2:13">
      <c r="D48" s="238"/>
      <c r="E48" s="159"/>
      <c r="F48" s="159"/>
      <c r="G48" s="159"/>
      <c r="H48" s="159"/>
      <c r="I48" s="127"/>
      <c r="J48" s="171"/>
      <c r="K48" s="171"/>
      <c r="L48" s="171"/>
      <c r="M48" s="171"/>
    </row>
    <row r="49" spans="1:13" ht="20.25" customHeight="1">
      <c r="E49" s="159"/>
      <c r="F49" s="159"/>
      <c r="G49" s="159"/>
      <c r="H49" s="159"/>
      <c r="I49" s="128"/>
      <c r="J49" s="159"/>
      <c r="K49" s="159"/>
      <c r="L49" s="159"/>
      <c r="M49" s="159"/>
    </row>
    <row r="50" spans="1:13" s="156" customFormat="1">
      <c r="J50" s="170"/>
      <c r="K50" s="170"/>
      <c r="L50" s="170"/>
      <c r="M50" s="170"/>
    </row>
    <row r="51" spans="1:13" s="156" customFormat="1">
      <c r="E51" s="170"/>
      <c r="F51" s="170"/>
      <c r="G51" s="170"/>
      <c r="H51" s="170"/>
      <c r="I51" s="242"/>
      <c r="J51" s="170"/>
      <c r="K51" s="170"/>
      <c r="L51" s="170"/>
      <c r="M51" s="170"/>
    </row>
    <row r="52" spans="1:13" s="156" customFormat="1">
      <c r="E52" s="170"/>
      <c r="F52" s="170"/>
      <c r="G52" s="170"/>
      <c r="H52" s="170"/>
      <c r="I52" s="170"/>
      <c r="J52" s="170"/>
      <c r="K52" s="170"/>
      <c r="L52" s="170"/>
      <c r="M52" s="170"/>
    </row>
    <row r="53" spans="1:13" s="156" customFormat="1">
      <c r="E53" s="170"/>
      <c r="F53" s="170"/>
      <c r="G53" s="170"/>
      <c r="H53" s="170"/>
      <c r="I53" s="243"/>
      <c r="J53" s="170"/>
      <c r="K53" s="170"/>
      <c r="L53" s="170"/>
      <c r="M53" s="170"/>
    </row>
    <row r="54" spans="1:13" s="156" customFormat="1">
      <c r="E54" s="170"/>
      <c r="F54" s="170"/>
      <c r="G54" s="170"/>
      <c r="H54" s="170"/>
      <c r="I54" s="243"/>
      <c r="J54" s="170"/>
      <c r="K54" s="170"/>
      <c r="L54" s="170"/>
      <c r="M54" s="170"/>
    </row>
    <row r="55" spans="1:13" s="156" customFormat="1">
      <c r="J55" s="170"/>
      <c r="K55" s="170"/>
      <c r="L55" s="170"/>
      <c r="M55" s="170"/>
    </row>
    <row r="56" spans="1:13" s="156" customFormat="1">
      <c r="E56" s="163"/>
      <c r="F56" s="163"/>
      <c r="G56" s="163"/>
      <c r="H56" s="163"/>
      <c r="I56" s="163"/>
      <c r="J56" s="170"/>
      <c r="K56" s="170"/>
      <c r="L56" s="170"/>
      <c r="M56" s="170"/>
    </row>
    <row r="57" spans="1:13" s="156" customFormat="1" ht="20.25" customHeight="1">
      <c r="D57" s="244"/>
      <c r="E57" s="165"/>
      <c r="F57" s="165"/>
      <c r="G57" s="165"/>
      <c r="H57" s="165"/>
      <c r="I57" s="165"/>
    </row>
    <row r="58" spans="1:13" s="156" customFormat="1" ht="20.25" customHeight="1">
      <c r="E58" s="245"/>
      <c r="F58" s="245"/>
      <c r="G58" s="245"/>
      <c r="H58" s="245"/>
      <c r="I58" s="245"/>
      <c r="J58" s="163"/>
      <c r="K58" s="163"/>
      <c r="L58" s="163"/>
      <c r="M58" s="163"/>
    </row>
    <row r="59" spans="1:13" s="156" customFormat="1">
      <c r="E59" s="163"/>
      <c r="F59" s="163"/>
      <c r="G59" s="163"/>
      <c r="H59" s="163"/>
      <c r="J59" s="246"/>
      <c r="K59" s="246"/>
      <c r="L59" s="246"/>
      <c r="M59" s="246"/>
    </row>
    <row r="60" spans="1:13" s="156" customFormat="1">
      <c r="E60" s="163"/>
      <c r="F60" s="163"/>
      <c r="G60" s="163"/>
      <c r="H60" s="163"/>
      <c r="J60" s="246"/>
      <c r="K60" s="246"/>
      <c r="L60" s="246"/>
      <c r="M60" s="246"/>
    </row>
    <row r="61" spans="1:13" s="156" customFormat="1">
      <c r="J61" s="246"/>
      <c r="K61" s="246"/>
      <c r="L61" s="246"/>
      <c r="M61" s="246"/>
    </row>
    <row r="62" spans="1:13" s="156" customFormat="1"/>
    <row r="63" spans="1:13" s="156" customFormat="1">
      <c r="A63" s="240"/>
    </row>
    <row r="64" spans="1:13" s="156" customFormat="1"/>
    <row r="65" spans="1:13" s="156" customFormat="1"/>
    <row r="66" spans="1:13" s="156" customFormat="1">
      <c r="A66" s="170"/>
      <c r="C66" s="247"/>
      <c r="D66" s="170"/>
      <c r="E66" s="170"/>
      <c r="F66" s="170"/>
      <c r="G66" s="170"/>
      <c r="H66" s="170"/>
      <c r="I66" s="170"/>
    </row>
    <row r="67" spans="1:13" s="156" customFormat="1">
      <c r="A67" s="170"/>
      <c r="C67" s="248"/>
      <c r="D67" s="248"/>
      <c r="E67" s="248"/>
      <c r="F67" s="248"/>
      <c r="G67" s="248"/>
      <c r="H67" s="248"/>
      <c r="I67" s="248"/>
    </row>
    <row r="68" spans="1:13" s="156" customFormat="1">
      <c r="A68" s="170"/>
      <c r="C68" s="170"/>
      <c r="D68" s="170"/>
      <c r="E68" s="170"/>
      <c r="F68" s="170"/>
      <c r="G68" s="170"/>
      <c r="H68" s="170"/>
      <c r="I68" s="170"/>
    </row>
    <row r="69" spans="1:13" s="156" customFormat="1">
      <c r="A69" s="170"/>
      <c r="C69" s="170"/>
      <c r="D69" s="170"/>
      <c r="E69" s="170"/>
      <c r="F69" s="170"/>
      <c r="G69" s="170"/>
      <c r="H69" s="170"/>
      <c r="I69" s="170"/>
    </row>
    <row r="70" spans="1:13" s="156" customFormat="1">
      <c r="A70" s="170"/>
      <c r="C70" s="170"/>
      <c r="D70" s="170"/>
      <c r="E70" s="170"/>
      <c r="F70" s="170"/>
      <c r="G70" s="170"/>
      <c r="H70" s="170"/>
      <c r="I70" s="170"/>
    </row>
    <row r="71" spans="1:13" s="156" customFormat="1">
      <c r="C71" s="170"/>
      <c r="D71" s="170"/>
      <c r="E71" s="170"/>
      <c r="F71" s="170"/>
      <c r="G71" s="170"/>
      <c r="H71" s="170"/>
      <c r="I71" s="170"/>
    </row>
    <row r="72" spans="1:13" s="156" customFormat="1">
      <c r="C72" s="170"/>
      <c r="D72" s="170"/>
      <c r="E72" s="247"/>
      <c r="F72" s="247"/>
      <c r="G72" s="247"/>
      <c r="H72" s="247"/>
      <c r="I72" s="247"/>
      <c r="J72" s="170"/>
      <c r="K72" s="170"/>
      <c r="L72" s="170"/>
      <c r="M72" s="170"/>
    </row>
    <row r="73" spans="1:13" s="156" customFormat="1"/>
    <row r="74" spans="1:13" s="156" customFormat="1">
      <c r="B74" s="249"/>
      <c r="J74" s="170"/>
      <c r="K74" s="170"/>
      <c r="L74" s="170"/>
      <c r="M74" s="170"/>
    </row>
    <row r="75" spans="1:13" s="156" customFormat="1">
      <c r="E75" s="170"/>
      <c r="F75" s="170"/>
      <c r="G75" s="170"/>
      <c r="H75" s="170"/>
      <c r="I75" s="170"/>
      <c r="J75" s="170"/>
      <c r="K75" s="170"/>
      <c r="L75" s="170"/>
      <c r="M75" s="170"/>
    </row>
    <row r="76" spans="1:13" s="156" customFormat="1">
      <c r="E76" s="170"/>
      <c r="F76" s="170"/>
      <c r="G76" s="170"/>
      <c r="H76" s="170"/>
      <c r="I76" s="170"/>
      <c r="J76" s="170"/>
      <c r="K76" s="170"/>
      <c r="L76" s="170"/>
      <c r="M76" s="170"/>
    </row>
    <row r="77" spans="1:13" s="156" customFormat="1">
      <c r="E77" s="170"/>
      <c r="F77" s="170"/>
      <c r="G77" s="170"/>
      <c r="H77" s="170"/>
      <c r="I77" s="170"/>
      <c r="J77" s="170"/>
      <c r="K77" s="170"/>
      <c r="L77" s="170"/>
      <c r="M77" s="170"/>
    </row>
    <row r="78" spans="1:13" s="156" customFormat="1">
      <c r="E78" s="170"/>
      <c r="F78" s="170"/>
      <c r="G78" s="170"/>
      <c r="H78" s="170"/>
      <c r="I78" s="170"/>
      <c r="J78" s="170"/>
      <c r="K78" s="170"/>
      <c r="L78" s="170"/>
      <c r="M78" s="170"/>
    </row>
    <row r="79" spans="1:13" s="156" customFormat="1">
      <c r="G79" s="163"/>
      <c r="J79" s="170"/>
      <c r="K79" s="170"/>
      <c r="L79" s="170"/>
      <c r="M79" s="170"/>
    </row>
    <row r="80" spans="1:13" s="156" customFormat="1">
      <c r="E80" s="170"/>
      <c r="F80" s="170"/>
      <c r="G80" s="170"/>
      <c r="H80" s="170"/>
      <c r="I80" s="242"/>
      <c r="J80" s="170"/>
      <c r="K80" s="170"/>
      <c r="L80" s="170"/>
      <c r="M80" s="170"/>
    </row>
    <row r="81" spans="1:13" s="156" customFormat="1">
      <c r="E81" s="170"/>
      <c r="F81" s="170"/>
      <c r="G81" s="170"/>
      <c r="H81" s="170"/>
      <c r="I81" s="170"/>
      <c r="J81" s="170"/>
      <c r="K81" s="170"/>
      <c r="L81" s="170"/>
      <c r="M81" s="170"/>
    </row>
    <row r="82" spans="1:13" s="156" customFormat="1">
      <c r="E82" s="170"/>
      <c r="F82" s="170"/>
      <c r="G82" s="170"/>
      <c r="H82" s="170"/>
      <c r="I82" s="243"/>
      <c r="J82" s="170"/>
      <c r="K82" s="170"/>
      <c r="L82" s="170"/>
      <c r="M82" s="170"/>
    </row>
    <row r="83" spans="1:13" s="156" customFormat="1">
      <c r="E83" s="170"/>
      <c r="F83" s="170"/>
      <c r="G83" s="170"/>
      <c r="H83" s="170"/>
      <c r="I83" s="243"/>
      <c r="J83" s="170"/>
      <c r="K83" s="170"/>
      <c r="L83" s="170"/>
      <c r="M83" s="170"/>
    </row>
    <row r="84" spans="1:13" s="156" customFormat="1">
      <c r="J84" s="170"/>
      <c r="K84" s="170"/>
      <c r="L84" s="170"/>
      <c r="M84" s="170"/>
    </row>
    <row r="85" spans="1:13" s="156" customFormat="1">
      <c r="E85" s="163"/>
      <c r="F85" s="163"/>
      <c r="G85" s="163"/>
      <c r="H85" s="163"/>
      <c r="I85" s="163"/>
      <c r="J85" s="170"/>
      <c r="K85" s="170"/>
      <c r="L85" s="170"/>
      <c r="M85" s="170"/>
    </row>
    <row r="86" spans="1:13" s="156" customFormat="1">
      <c r="D86" s="244"/>
      <c r="E86" s="165"/>
      <c r="F86" s="165"/>
      <c r="G86" s="165"/>
      <c r="H86" s="165"/>
      <c r="I86" s="165"/>
    </row>
    <row r="87" spans="1:13" s="156" customFormat="1">
      <c r="E87" s="245"/>
      <c r="F87" s="245"/>
      <c r="G87" s="245"/>
      <c r="H87" s="245"/>
      <c r="I87" s="245"/>
      <c r="J87" s="163"/>
      <c r="K87" s="163"/>
      <c r="L87" s="163"/>
      <c r="M87" s="163"/>
    </row>
    <row r="88" spans="1:13" s="156" customFormat="1">
      <c r="E88" s="163"/>
      <c r="F88" s="163"/>
      <c r="G88" s="163"/>
      <c r="H88" s="163"/>
      <c r="J88" s="246"/>
      <c r="K88" s="246"/>
      <c r="L88" s="246"/>
      <c r="M88" s="246"/>
    </row>
    <row r="89" spans="1:13" s="156" customFormat="1">
      <c r="E89" s="163"/>
      <c r="F89" s="163"/>
      <c r="G89" s="163"/>
      <c r="H89" s="163"/>
    </row>
    <row r="90" spans="1:13" s="156" customFormat="1"/>
    <row r="91" spans="1:13" s="156" customFormat="1">
      <c r="A91" s="240"/>
    </row>
    <row r="92" spans="1:13" s="156" customFormat="1" ht="13.5" thickBot="1">
      <c r="J92" s="250"/>
      <c r="K92" s="250"/>
      <c r="L92" s="250"/>
      <c r="M92" s="250"/>
    </row>
    <row r="93" spans="1:13" s="156" customFormat="1" ht="13.5" thickBot="1">
      <c r="J93" s="251"/>
      <c r="K93" s="251"/>
      <c r="L93" s="251"/>
      <c r="M93" s="251"/>
    </row>
    <row r="94" spans="1:13" s="156" customFormat="1" ht="21.6" customHeight="1" thickBot="1">
      <c r="A94" s="170"/>
      <c r="C94" s="247"/>
      <c r="D94" s="170"/>
      <c r="E94" s="170"/>
      <c r="F94" s="170"/>
      <c r="G94" s="170"/>
      <c r="H94" s="170"/>
      <c r="J94" s="163"/>
      <c r="K94" s="163"/>
      <c r="L94" s="163"/>
      <c r="M94" s="163"/>
    </row>
    <row r="95" spans="1:13" s="156" customFormat="1">
      <c r="A95" s="170"/>
      <c r="C95" s="248"/>
      <c r="D95" s="248"/>
      <c r="E95" s="248"/>
      <c r="F95" s="248"/>
      <c r="G95" s="248"/>
      <c r="H95" s="248"/>
      <c r="J95" s="252"/>
      <c r="K95" s="252"/>
      <c r="L95" s="252"/>
      <c r="M95" s="252"/>
    </row>
    <row r="96" spans="1:13" s="156" customFormat="1" ht="13.5" thickBot="1">
      <c r="A96" s="170"/>
      <c r="C96" s="170"/>
      <c r="D96" s="170"/>
      <c r="E96" s="170"/>
      <c r="F96" s="170"/>
      <c r="G96" s="170"/>
      <c r="H96" s="170"/>
      <c r="J96" s="253"/>
      <c r="K96" s="253"/>
      <c r="L96" s="253"/>
      <c r="M96" s="253"/>
    </row>
    <row r="97" spans="1:13" s="156" customFormat="1" ht="13.5" customHeight="1" thickBot="1">
      <c r="A97" s="170"/>
      <c r="C97" s="170"/>
      <c r="D97" s="170"/>
      <c r="E97" s="170"/>
      <c r="F97" s="170"/>
      <c r="G97" s="170"/>
      <c r="H97" s="170"/>
      <c r="J97" s="246"/>
      <c r="K97" s="246"/>
      <c r="L97" s="246"/>
      <c r="M97" s="246"/>
    </row>
    <row r="98" spans="1:13" s="156" customFormat="1">
      <c r="A98" s="170"/>
      <c r="C98" s="170"/>
      <c r="D98" s="170"/>
      <c r="E98" s="170"/>
      <c r="F98" s="170"/>
      <c r="G98" s="170"/>
      <c r="H98" s="170"/>
      <c r="J98" s="252"/>
      <c r="K98" s="252"/>
      <c r="L98" s="252"/>
      <c r="M98" s="252"/>
    </row>
    <row r="99" spans="1:13" s="156" customFormat="1" ht="13.5" thickBot="1">
      <c r="C99" s="170"/>
      <c r="D99" s="170"/>
      <c r="E99" s="170"/>
      <c r="F99" s="170"/>
      <c r="G99" s="170"/>
      <c r="H99" s="170"/>
      <c r="J99" s="253"/>
      <c r="K99" s="253"/>
      <c r="L99" s="253"/>
      <c r="M99" s="253"/>
    </row>
    <row r="100" spans="1:13" s="156" customFormat="1" ht="15" customHeight="1" thickBot="1">
      <c r="C100" s="170"/>
      <c r="D100" s="170"/>
      <c r="E100" s="247"/>
      <c r="F100" s="247"/>
      <c r="G100" s="247"/>
      <c r="H100" s="247"/>
    </row>
    <row r="101" spans="1:13" s="156" customFormat="1">
      <c r="J101" s="252"/>
      <c r="K101" s="252"/>
      <c r="L101" s="252"/>
      <c r="M101" s="252"/>
    </row>
    <row r="102" spans="1:13" s="156" customFormat="1" ht="13.5" thickBot="1">
      <c r="B102" s="249"/>
      <c r="J102" s="253"/>
      <c r="K102" s="253"/>
      <c r="L102" s="253"/>
      <c r="M102" s="253"/>
    </row>
    <row r="103" spans="1:13" s="156" customFormat="1">
      <c r="E103" s="170"/>
      <c r="F103" s="170"/>
      <c r="G103" s="170"/>
      <c r="H103" s="170"/>
    </row>
    <row r="104" spans="1:13" s="156" customFormat="1">
      <c r="E104" s="170"/>
      <c r="F104" s="170"/>
      <c r="G104" s="170"/>
      <c r="H104" s="170"/>
      <c r="J104" s="200"/>
      <c r="K104" s="200"/>
    </row>
    <row r="105" spans="1:13" s="156" customFormat="1">
      <c r="E105" s="170"/>
      <c r="F105" s="170"/>
      <c r="G105" s="170"/>
      <c r="H105" s="170"/>
    </row>
    <row r="106" spans="1:13" s="156" customFormat="1">
      <c r="E106" s="170"/>
      <c r="F106" s="170"/>
      <c r="G106" s="170"/>
      <c r="H106" s="170"/>
    </row>
    <row r="107" spans="1:13" s="156" customFormat="1">
      <c r="G107" s="163"/>
    </row>
    <row r="108" spans="1:13" s="156" customFormat="1">
      <c r="E108" s="170"/>
      <c r="F108" s="170"/>
      <c r="G108" s="170"/>
      <c r="H108" s="170"/>
    </row>
    <row r="109" spans="1:13" s="156" customFormat="1">
      <c r="E109" s="170"/>
      <c r="F109" s="170"/>
      <c r="G109" s="170"/>
      <c r="H109" s="170"/>
    </row>
    <row r="110" spans="1:13" s="156" customFormat="1">
      <c r="E110" s="170"/>
      <c r="F110" s="170"/>
      <c r="G110" s="170"/>
      <c r="H110" s="170"/>
    </row>
    <row r="111" spans="1:13" s="156" customFormat="1">
      <c r="E111" s="170"/>
      <c r="F111" s="170"/>
      <c r="G111" s="170"/>
      <c r="H111" s="170"/>
    </row>
    <row r="112" spans="1:13" s="156" customFormat="1"/>
    <row r="113" spans="1:13" s="156" customFormat="1">
      <c r="E113" s="163"/>
      <c r="F113" s="163"/>
      <c r="G113" s="163"/>
      <c r="H113" s="163"/>
    </row>
    <row r="114" spans="1:13" s="156" customFormat="1">
      <c r="D114" s="244"/>
      <c r="E114" s="165"/>
      <c r="F114" s="165"/>
      <c r="G114" s="165"/>
      <c r="H114" s="165"/>
    </row>
    <row r="115" spans="1:13" s="156" customFormat="1">
      <c r="E115" s="245"/>
      <c r="F115" s="245"/>
      <c r="G115" s="245"/>
      <c r="H115" s="245"/>
    </row>
    <row r="116" spans="1:13" s="156" customFormat="1">
      <c r="E116" s="163"/>
      <c r="F116" s="163"/>
      <c r="G116" s="163"/>
      <c r="H116" s="163"/>
    </row>
    <row r="117" spans="1:13" s="156" customFormat="1">
      <c r="E117" s="163"/>
      <c r="F117" s="163"/>
      <c r="G117" s="163"/>
      <c r="H117" s="163"/>
    </row>
    <row r="118" spans="1:13" s="156" customFormat="1"/>
    <row r="119" spans="1:13" s="156" customFormat="1">
      <c r="A119" s="240"/>
    </row>
    <row r="120" spans="1:13" s="156" customFormat="1" ht="13.5" thickBot="1">
      <c r="J120" s="250"/>
      <c r="K120" s="250"/>
      <c r="L120" s="250"/>
      <c r="M120" s="250"/>
    </row>
    <row r="121" spans="1:13" s="156" customFormat="1" ht="13.5" thickBot="1">
      <c r="J121" s="251"/>
      <c r="K121" s="251"/>
      <c r="L121" s="251"/>
      <c r="M121" s="251"/>
    </row>
    <row r="122" spans="1:13" s="156" customFormat="1" ht="21.6" customHeight="1" thickBot="1">
      <c r="A122" s="170"/>
      <c r="C122" s="247"/>
      <c r="D122" s="170"/>
      <c r="E122" s="170"/>
      <c r="F122" s="170"/>
      <c r="G122" s="170"/>
      <c r="H122" s="170"/>
      <c r="J122" s="163"/>
      <c r="K122" s="163"/>
      <c r="L122" s="163"/>
      <c r="M122" s="163"/>
    </row>
    <row r="123" spans="1:13" s="156" customFormat="1">
      <c r="A123" s="170"/>
      <c r="C123" s="248"/>
      <c r="D123" s="248"/>
      <c r="E123" s="248"/>
      <c r="F123" s="248"/>
      <c r="G123" s="248"/>
      <c r="H123" s="248"/>
      <c r="J123" s="252"/>
      <c r="K123" s="252"/>
      <c r="L123" s="252"/>
      <c r="M123" s="252"/>
    </row>
    <row r="124" spans="1:13" s="156" customFormat="1" ht="13.5" thickBot="1">
      <c r="A124" s="170"/>
      <c r="C124" s="170"/>
      <c r="D124" s="170"/>
      <c r="E124" s="170"/>
      <c r="F124" s="170"/>
      <c r="G124" s="170"/>
      <c r="H124" s="170"/>
      <c r="J124" s="253"/>
      <c r="K124" s="253"/>
      <c r="L124" s="253"/>
      <c r="M124" s="253"/>
    </row>
    <row r="125" spans="1:13" s="156" customFormat="1" ht="20.100000000000001" customHeight="1" thickBot="1">
      <c r="A125" s="170"/>
      <c r="C125" s="170"/>
      <c r="D125" s="170"/>
      <c r="E125" s="170"/>
      <c r="F125" s="170"/>
      <c r="G125" s="170"/>
      <c r="H125" s="170"/>
      <c r="J125" s="246"/>
      <c r="K125" s="246"/>
      <c r="L125" s="246"/>
      <c r="M125" s="246"/>
    </row>
    <row r="126" spans="1:13" s="156" customFormat="1">
      <c r="A126" s="170"/>
      <c r="C126" s="170"/>
      <c r="D126" s="170"/>
      <c r="E126" s="170"/>
      <c r="F126" s="170"/>
      <c r="G126" s="170"/>
      <c r="H126" s="170"/>
      <c r="J126" s="252"/>
      <c r="K126" s="252"/>
      <c r="L126" s="252"/>
      <c r="M126" s="252"/>
    </row>
    <row r="127" spans="1:13" s="156" customFormat="1" ht="13.5" thickBot="1">
      <c r="C127" s="170"/>
      <c r="D127" s="170"/>
      <c r="E127" s="170"/>
      <c r="F127" s="170"/>
      <c r="G127" s="170"/>
      <c r="H127" s="170"/>
      <c r="J127" s="253"/>
      <c r="K127" s="253"/>
      <c r="L127" s="253"/>
      <c r="M127" s="253"/>
    </row>
    <row r="128" spans="1:13" s="156" customFormat="1" ht="15" customHeight="1" thickBot="1">
      <c r="C128" s="170"/>
      <c r="D128" s="170"/>
      <c r="E128" s="247"/>
      <c r="F128" s="247"/>
      <c r="G128" s="247"/>
      <c r="H128" s="247"/>
    </row>
    <row r="129" spans="2:13" s="156" customFormat="1">
      <c r="J129" s="252"/>
      <c r="K129" s="252"/>
      <c r="L129" s="252"/>
      <c r="M129" s="252"/>
    </row>
    <row r="130" spans="2:13" s="156" customFormat="1" ht="13.5" thickBot="1">
      <c r="B130" s="249"/>
      <c r="J130" s="253"/>
      <c r="K130" s="253"/>
      <c r="L130" s="253"/>
      <c r="M130" s="253"/>
    </row>
    <row r="131" spans="2:13" s="156" customFormat="1">
      <c r="E131" s="170"/>
      <c r="F131" s="170"/>
      <c r="G131" s="170"/>
      <c r="H131" s="170"/>
    </row>
    <row r="132" spans="2:13" s="156" customFormat="1">
      <c r="E132" s="170"/>
      <c r="F132" s="170"/>
      <c r="G132" s="170"/>
      <c r="H132" s="170"/>
      <c r="J132" s="200"/>
      <c r="K132" s="200"/>
    </row>
    <row r="133" spans="2:13" s="156" customFormat="1">
      <c r="E133" s="170"/>
      <c r="F133" s="170"/>
      <c r="G133" s="170"/>
      <c r="H133" s="170"/>
    </row>
    <row r="134" spans="2:13" s="156" customFormat="1">
      <c r="E134" s="170"/>
      <c r="F134" s="170"/>
      <c r="G134" s="170"/>
      <c r="H134" s="170"/>
    </row>
    <row r="135" spans="2:13" s="156" customFormat="1">
      <c r="G135" s="163"/>
    </row>
    <row r="136" spans="2:13" s="156" customFormat="1">
      <c r="E136" s="170"/>
      <c r="F136" s="170"/>
      <c r="G136" s="170"/>
      <c r="H136" s="170"/>
    </row>
    <row r="137" spans="2:13" s="156" customFormat="1">
      <c r="E137" s="170"/>
      <c r="F137" s="170"/>
      <c r="G137" s="170"/>
      <c r="H137" s="170"/>
    </row>
    <row r="138" spans="2:13" s="156" customFormat="1">
      <c r="E138" s="170"/>
      <c r="F138" s="170"/>
      <c r="G138" s="170"/>
      <c r="H138" s="170"/>
    </row>
    <row r="139" spans="2:13" s="156" customFormat="1">
      <c r="E139" s="170"/>
      <c r="F139" s="170"/>
      <c r="G139" s="170"/>
      <c r="H139" s="170"/>
    </row>
    <row r="140" spans="2:13" s="156" customFormat="1"/>
    <row r="141" spans="2:13" s="156" customFormat="1">
      <c r="E141" s="163"/>
      <c r="F141" s="163"/>
      <c r="G141" s="163"/>
      <c r="H141" s="163"/>
    </row>
    <row r="142" spans="2:13" s="156" customFormat="1">
      <c r="D142" s="244"/>
      <c r="E142" s="165"/>
      <c r="F142" s="165"/>
      <c r="G142" s="165"/>
      <c r="H142" s="165"/>
    </row>
    <row r="143" spans="2:13" s="156" customFormat="1">
      <c r="E143" s="245"/>
      <c r="F143" s="245"/>
      <c r="G143" s="245"/>
      <c r="H143" s="245"/>
    </row>
    <row r="144" spans="2:13" s="156" customFormat="1">
      <c r="E144" s="163"/>
      <c r="F144" s="163"/>
      <c r="G144" s="163"/>
      <c r="H144" s="163"/>
    </row>
    <row r="145" spans="1:8" s="156" customFormat="1">
      <c r="E145" s="163"/>
      <c r="F145" s="163"/>
      <c r="G145" s="163"/>
      <c r="H145" s="163"/>
    </row>
    <row r="146" spans="1:8" s="156" customFormat="1">
      <c r="A146" s="240"/>
    </row>
    <row r="147" spans="1:8" s="156" customFormat="1"/>
    <row r="148" spans="1:8" s="156" customFormat="1"/>
    <row r="149" spans="1:8" s="156" customFormat="1">
      <c r="A149" s="170"/>
      <c r="C149" s="247"/>
      <c r="D149" s="170"/>
      <c r="E149" s="170"/>
      <c r="F149" s="170"/>
      <c r="G149" s="170"/>
      <c r="H149" s="170"/>
    </row>
    <row r="150" spans="1:8" s="156" customFormat="1">
      <c r="A150" s="170"/>
      <c r="C150" s="248"/>
      <c r="D150" s="248"/>
      <c r="E150" s="248"/>
      <c r="F150" s="248"/>
      <c r="G150" s="248"/>
      <c r="H150" s="248"/>
    </row>
    <row r="151" spans="1:8" s="156" customFormat="1">
      <c r="A151" s="170"/>
      <c r="C151" s="170"/>
      <c r="D151" s="170"/>
      <c r="E151" s="170"/>
      <c r="F151" s="170"/>
      <c r="G151" s="170"/>
      <c r="H151" s="170"/>
    </row>
    <row r="152" spans="1:8" s="156" customFormat="1">
      <c r="A152" s="170"/>
      <c r="C152" s="170"/>
      <c r="D152" s="170"/>
      <c r="E152" s="170"/>
      <c r="F152" s="170"/>
      <c r="G152" s="170"/>
      <c r="H152" s="170"/>
    </row>
    <row r="153" spans="1:8" s="156" customFormat="1">
      <c r="A153" s="170"/>
      <c r="C153" s="170"/>
      <c r="D153" s="170"/>
      <c r="E153" s="170"/>
      <c r="F153" s="170"/>
      <c r="G153" s="170"/>
      <c r="H153" s="170"/>
    </row>
    <row r="154" spans="1:8" s="156" customFormat="1">
      <c r="C154" s="170"/>
      <c r="D154" s="170"/>
      <c r="E154" s="170"/>
      <c r="F154" s="170"/>
      <c r="G154" s="170"/>
      <c r="H154" s="170"/>
    </row>
    <row r="155" spans="1:8" s="156" customFormat="1">
      <c r="C155" s="170"/>
      <c r="D155" s="170"/>
      <c r="E155" s="247"/>
      <c r="F155" s="247"/>
      <c r="G155" s="247"/>
      <c r="H155" s="247"/>
    </row>
    <row r="156" spans="1:8" s="156" customFormat="1"/>
    <row r="157" spans="1:8" s="156" customFormat="1">
      <c r="B157" s="249"/>
    </row>
    <row r="158" spans="1:8" s="156" customFormat="1">
      <c r="E158" s="170"/>
      <c r="F158" s="170"/>
      <c r="G158" s="170"/>
      <c r="H158" s="170"/>
    </row>
    <row r="159" spans="1:8" s="156" customFormat="1">
      <c r="E159" s="170"/>
      <c r="F159" s="170"/>
      <c r="G159" s="170"/>
      <c r="H159" s="170"/>
    </row>
    <row r="160" spans="1:8" s="156" customFormat="1">
      <c r="E160" s="170"/>
      <c r="F160" s="170"/>
      <c r="G160" s="170"/>
      <c r="H160" s="170"/>
    </row>
    <row r="161" spans="1:8" s="156" customFormat="1">
      <c r="E161" s="170"/>
      <c r="F161" s="170"/>
      <c r="G161" s="170"/>
      <c r="H161" s="170"/>
    </row>
    <row r="162" spans="1:8" s="156" customFormat="1">
      <c r="G162" s="163"/>
    </row>
    <row r="163" spans="1:8" s="156" customFormat="1">
      <c r="E163" s="170"/>
      <c r="F163" s="170"/>
      <c r="G163" s="170"/>
      <c r="H163" s="170"/>
    </row>
    <row r="164" spans="1:8" s="156" customFormat="1">
      <c r="E164" s="170"/>
      <c r="F164" s="170"/>
      <c r="G164" s="170"/>
      <c r="H164" s="170"/>
    </row>
    <row r="165" spans="1:8" s="156" customFormat="1">
      <c r="E165" s="170"/>
      <c r="F165" s="170"/>
      <c r="G165" s="170"/>
      <c r="H165" s="170"/>
    </row>
    <row r="166" spans="1:8" s="156" customFormat="1">
      <c r="E166" s="170"/>
      <c r="F166" s="170"/>
      <c r="G166" s="170"/>
      <c r="H166" s="170"/>
    </row>
    <row r="167" spans="1:8" s="156" customFormat="1"/>
    <row r="168" spans="1:8" s="156" customFormat="1">
      <c r="E168" s="163"/>
      <c r="F168" s="163"/>
      <c r="G168" s="163"/>
      <c r="H168" s="163"/>
    </row>
    <row r="169" spans="1:8" s="156" customFormat="1">
      <c r="D169" s="244"/>
      <c r="E169" s="165"/>
      <c r="F169" s="165"/>
      <c r="G169" s="165"/>
      <c r="H169" s="165"/>
    </row>
    <row r="170" spans="1:8" s="156" customFormat="1">
      <c r="E170" s="245"/>
      <c r="F170" s="245"/>
      <c r="G170" s="245"/>
      <c r="H170" s="245"/>
    </row>
    <row r="171" spans="1:8" s="156" customFormat="1">
      <c r="E171" s="163"/>
      <c r="F171" s="163"/>
      <c r="G171" s="163"/>
      <c r="H171" s="163"/>
    </row>
    <row r="172" spans="1:8" s="156" customFormat="1">
      <c r="E172" s="163"/>
      <c r="F172" s="163"/>
      <c r="G172" s="163"/>
      <c r="H172" s="163"/>
    </row>
    <row r="173" spans="1:8" s="156" customFormat="1">
      <c r="A173" s="240"/>
    </row>
    <row r="174" spans="1:8" s="156" customFormat="1"/>
    <row r="175" spans="1:8" s="156" customFormat="1"/>
    <row r="176" spans="1:8" s="156" customFormat="1">
      <c r="A176" s="170"/>
      <c r="C176" s="247"/>
      <c r="D176" s="170"/>
      <c r="E176" s="170"/>
      <c r="F176" s="170"/>
      <c r="G176" s="170"/>
      <c r="H176" s="170"/>
    </row>
    <row r="177" spans="1:8" s="156" customFormat="1">
      <c r="A177" s="170"/>
      <c r="C177" s="248"/>
      <c r="D177" s="248"/>
      <c r="E177" s="248"/>
      <c r="F177" s="248"/>
      <c r="G177" s="248"/>
      <c r="H177" s="248"/>
    </row>
    <row r="178" spans="1:8" s="156" customFormat="1">
      <c r="A178" s="170"/>
      <c r="C178" s="170"/>
      <c r="D178" s="170"/>
      <c r="E178" s="170"/>
      <c r="F178" s="170"/>
      <c r="G178" s="170"/>
      <c r="H178" s="170"/>
    </row>
    <row r="179" spans="1:8" s="156" customFormat="1">
      <c r="A179" s="170"/>
      <c r="C179" s="170"/>
      <c r="D179" s="170"/>
      <c r="E179" s="170"/>
      <c r="F179" s="170"/>
      <c r="G179" s="170"/>
      <c r="H179" s="170"/>
    </row>
    <row r="180" spans="1:8" s="156" customFormat="1">
      <c r="A180" s="170"/>
      <c r="C180" s="170"/>
      <c r="D180" s="170"/>
      <c r="E180" s="170"/>
      <c r="F180" s="170"/>
      <c r="G180" s="170"/>
      <c r="H180" s="170"/>
    </row>
    <row r="181" spans="1:8" s="156" customFormat="1">
      <c r="C181" s="170"/>
      <c r="D181" s="170"/>
      <c r="E181" s="170"/>
      <c r="F181" s="170"/>
      <c r="G181" s="170"/>
      <c r="H181" s="170"/>
    </row>
    <row r="182" spans="1:8" s="156" customFormat="1">
      <c r="C182" s="170"/>
      <c r="D182" s="170"/>
      <c r="E182" s="247"/>
      <c r="F182" s="247"/>
      <c r="G182" s="247"/>
      <c r="H182" s="247"/>
    </row>
    <row r="183" spans="1:8" s="156" customFormat="1"/>
    <row r="184" spans="1:8" s="156" customFormat="1">
      <c r="B184" s="249"/>
    </row>
    <row r="185" spans="1:8" s="156" customFormat="1">
      <c r="E185" s="170"/>
      <c r="F185" s="170"/>
      <c r="G185" s="170"/>
      <c r="H185" s="170"/>
    </row>
    <row r="186" spans="1:8" s="156" customFormat="1">
      <c r="E186" s="170"/>
      <c r="F186" s="170"/>
      <c r="G186" s="170"/>
      <c r="H186" s="170"/>
    </row>
    <row r="187" spans="1:8" s="156" customFormat="1">
      <c r="E187" s="170"/>
      <c r="F187" s="170"/>
      <c r="G187" s="170"/>
      <c r="H187" s="170"/>
    </row>
    <row r="188" spans="1:8" s="156" customFormat="1">
      <c r="E188" s="170"/>
      <c r="F188" s="170"/>
      <c r="G188" s="170"/>
      <c r="H188" s="170"/>
    </row>
    <row r="189" spans="1:8" s="156" customFormat="1">
      <c r="G189" s="163"/>
    </row>
    <row r="190" spans="1:8" s="156" customFormat="1">
      <c r="E190" s="170"/>
      <c r="F190" s="170"/>
      <c r="G190" s="170"/>
      <c r="H190" s="170"/>
    </row>
    <row r="191" spans="1:8" s="156" customFormat="1">
      <c r="E191" s="170"/>
      <c r="F191" s="170"/>
      <c r="G191" s="170"/>
      <c r="H191" s="170"/>
    </row>
    <row r="192" spans="1:8" s="156" customFormat="1">
      <c r="E192" s="170"/>
      <c r="F192" s="170"/>
      <c r="G192" s="170"/>
      <c r="H192" s="170"/>
    </row>
    <row r="193" spans="1:8" s="156" customFormat="1">
      <c r="E193" s="170"/>
      <c r="F193" s="170"/>
      <c r="G193" s="170"/>
      <c r="H193" s="170"/>
    </row>
    <row r="194" spans="1:8" s="156" customFormat="1"/>
    <row r="195" spans="1:8" s="156" customFormat="1">
      <c r="E195" s="163"/>
      <c r="F195" s="163"/>
      <c r="G195" s="163"/>
      <c r="H195" s="163"/>
    </row>
    <row r="196" spans="1:8" s="156" customFormat="1">
      <c r="D196" s="244"/>
      <c r="E196" s="165"/>
      <c r="F196" s="165"/>
      <c r="G196" s="165"/>
      <c r="H196" s="165"/>
    </row>
    <row r="197" spans="1:8" s="156" customFormat="1">
      <c r="E197" s="245"/>
      <c r="F197" s="245"/>
      <c r="G197" s="245"/>
      <c r="H197" s="245"/>
    </row>
    <row r="198" spans="1:8" s="156" customFormat="1">
      <c r="E198" s="163"/>
      <c r="F198" s="163"/>
      <c r="G198" s="163"/>
      <c r="H198" s="163"/>
    </row>
    <row r="199" spans="1:8" s="156" customFormat="1">
      <c r="E199" s="163"/>
      <c r="F199" s="163"/>
      <c r="G199" s="163"/>
      <c r="H199" s="163"/>
    </row>
    <row r="200" spans="1:8" s="156" customFormat="1">
      <c r="A200" s="240"/>
    </row>
    <row r="201" spans="1:8" s="156" customFormat="1"/>
    <row r="202" spans="1:8" s="156" customFormat="1"/>
    <row r="203" spans="1:8" s="156" customFormat="1">
      <c r="A203" s="170"/>
      <c r="C203" s="247"/>
      <c r="D203" s="170"/>
      <c r="E203" s="170"/>
      <c r="F203" s="170"/>
      <c r="G203" s="170"/>
      <c r="H203" s="170"/>
    </row>
    <row r="204" spans="1:8" s="156" customFormat="1">
      <c r="A204" s="170"/>
      <c r="C204" s="248"/>
      <c r="D204" s="248"/>
      <c r="E204" s="248"/>
      <c r="F204" s="248"/>
      <c r="G204" s="248"/>
      <c r="H204" s="248"/>
    </row>
    <row r="205" spans="1:8" s="156" customFormat="1">
      <c r="A205" s="170"/>
      <c r="C205" s="170"/>
      <c r="D205" s="170"/>
      <c r="E205" s="170"/>
      <c r="F205" s="170"/>
      <c r="G205" s="170"/>
      <c r="H205" s="170"/>
    </row>
    <row r="206" spans="1:8" s="156" customFormat="1">
      <c r="A206" s="170"/>
      <c r="C206" s="170"/>
      <c r="D206" s="170"/>
      <c r="E206" s="170"/>
      <c r="F206" s="170"/>
      <c r="G206" s="170"/>
      <c r="H206" s="170"/>
    </row>
    <row r="207" spans="1:8" s="156" customFormat="1">
      <c r="A207" s="170"/>
      <c r="C207" s="170"/>
      <c r="D207" s="170"/>
      <c r="E207" s="170"/>
      <c r="F207" s="170"/>
      <c r="G207" s="170"/>
      <c r="H207" s="170"/>
    </row>
    <row r="208" spans="1:8" s="156" customFormat="1">
      <c r="C208" s="170"/>
      <c r="D208" s="170"/>
      <c r="E208" s="170"/>
      <c r="F208" s="170"/>
      <c r="G208" s="170"/>
      <c r="H208" s="170"/>
    </row>
    <row r="209" spans="2:8" s="156" customFormat="1">
      <c r="C209" s="170"/>
      <c r="D209" s="170"/>
      <c r="E209" s="247"/>
      <c r="F209" s="247"/>
      <c r="G209" s="247"/>
      <c r="H209" s="247"/>
    </row>
    <row r="210" spans="2:8" s="156" customFormat="1"/>
    <row r="211" spans="2:8" s="156" customFormat="1">
      <c r="B211" s="249"/>
    </row>
    <row r="212" spans="2:8" s="156" customFormat="1">
      <c r="E212" s="170"/>
      <c r="F212" s="170"/>
      <c r="G212" s="170"/>
      <c r="H212" s="170"/>
    </row>
    <row r="213" spans="2:8" s="156" customFormat="1">
      <c r="E213" s="170"/>
      <c r="F213" s="170"/>
      <c r="G213" s="170"/>
      <c r="H213" s="170"/>
    </row>
    <row r="214" spans="2:8" s="156" customFormat="1">
      <c r="E214" s="170"/>
      <c r="F214" s="170"/>
      <c r="G214" s="170"/>
      <c r="H214" s="170"/>
    </row>
    <row r="215" spans="2:8" s="156" customFormat="1">
      <c r="E215" s="170"/>
      <c r="F215" s="170"/>
      <c r="G215" s="170"/>
      <c r="H215" s="170"/>
    </row>
    <row r="216" spans="2:8" s="156" customFormat="1">
      <c r="G216" s="163"/>
    </row>
    <row r="217" spans="2:8" s="156" customFormat="1">
      <c r="E217" s="170"/>
      <c r="F217" s="170"/>
      <c r="G217" s="170"/>
      <c r="H217" s="170"/>
    </row>
    <row r="218" spans="2:8" s="156" customFormat="1">
      <c r="E218" s="170"/>
      <c r="F218" s="170"/>
      <c r="G218" s="170"/>
      <c r="H218" s="170"/>
    </row>
    <row r="219" spans="2:8" s="156" customFormat="1">
      <c r="E219" s="170"/>
      <c r="F219" s="170"/>
      <c r="G219" s="170"/>
      <c r="H219" s="170"/>
    </row>
    <row r="220" spans="2:8" s="156" customFormat="1">
      <c r="E220" s="170"/>
      <c r="F220" s="170"/>
      <c r="G220" s="170"/>
      <c r="H220" s="170"/>
    </row>
    <row r="221" spans="2:8" s="156" customFormat="1"/>
    <row r="222" spans="2:8" s="156" customFormat="1">
      <c r="E222" s="163"/>
      <c r="F222" s="163"/>
      <c r="G222" s="163"/>
      <c r="H222" s="163"/>
    </row>
    <row r="223" spans="2:8" s="156" customFormat="1">
      <c r="D223" s="244"/>
      <c r="E223" s="165"/>
      <c r="F223" s="165"/>
      <c r="G223" s="165"/>
      <c r="H223" s="165"/>
    </row>
    <row r="224" spans="2:8" s="156" customFormat="1">
      <c r="E224" s="245"/>
      <c r="F224" s="245"/>
      <c r="G224" s="245"/>
      <c r="H224" s="245"/>
    </row>
    <row r="225" spans="1:8" s="156" customFormat="1">
      <c r="E225" s="163"/>
      <c r="F225" s="163"/>
      <c r="G225" s="163"/>
      <c r="H225" s="163"/>
    </row>
    <row r="226" spans="1:8" s="156" customFormat="1">
      <c r="E226" s="163"/>
      <c r="F226" s="163"/>
      <c r="G226" s="163"/>
      <c r="H226" s="163"/>
    </row>
    <row r="227" spans="1:8" s="156" customFormat="1">
      <c r="A227" s="240"/>
    </row>
    <row r="228" spans="1:8" s="156" customFormat="1"/>
    <row r="229" spans="1:8" s="156" customFormat="1"/>
    <row r="230" spans="1:8" s="156" customFormat="1">
      <c r="A230" s="170"/>
      <c r="C230" s="247"/>
      <c r="D230" s="170"/>
      <c r="E230" s="170"/>
      <c r="F230" s="170"/>
      <c r="G230" s="170"/>
      <c r="H230" s="170"/>
    </row>
    <row r="231" spans="1:8" s="156" customFormat="1">
      <c r="A231" s="170"/>
      <c r="C231" s="248"/>
      <c r="D231" s="248"/>
      <c r="E231" s="248"/>
      <c r="F231" s="248"/>
      <c r="G231" s="248"/>
      <c r="H231" s="248"/>
    </row>
    <row r="232" spans="1:8" s="156" customFormat="1">
      <c r="A232" s="170"/>
      <c r="C232" s="170"/>
      <c r="D232" s="170"/>
      <c r="E232" s="170"/>
      <c r="F232" s="170"/>
      <c r="G232" s="170"/>
      <c r="H232" s="170"/>
    </row>
    <row r="233" spans="1:8" s="156" customFormat="1">
      <c r="A233" s="170"/>
      <c r="C233" s="170"/>
      <c r="D233" s="170"/>
      <c r="E233" s="170"/>
      <c r="F233" s="170"/>
      <c r="G233" s="170"/>
      <c r="H233" s="170"/>
    </row>
    <row r="234" spans="1:8" s="156" customFormat="1">
      <c r="A234" s="170"/>
      <c r="C234" s="170"/>
      <c r="D234" s="170"/>
      <c r="E234" s="170"/>
      <c r="F234" s="170"/>
      <c r="G234" s="170"/>
      <c r="H234" s="170"/>
    </row>
    <row r="235" spans="1:8" s="156" customFormat="1">
      <c r="C235" s="170"/>
      <c r="D235" s="170"/>
      <c r="E235" s="170"/>
      <c r="F235" s="170"/>
      <c r="G235" s="170"/>
      <c r="H235" s="170"/>
    </row>
    <row r="236" spans="1:8" s="156" customFormat="1">
      <c r="C236" s="170"/>
      <c r="D236" s="170"/>
      <c r="E236" s="247"/>
      <c r="F236" s="247"/>
      <c r="G236" s="247"/>
      <c r="H236" s="247"/>
    </row>
    <row r="237" spans="1:8" s="156" customFormat="1"/>
    <row r="238" spans="1:8" s="156" customFormat="1">
      <c r="B238" s="249"/>
    </row>
    <row r="239" spans="1:8" s="156" customFormat="1">
      <c r="E239" s="170"/>
      <c r="F239" s="170"/>
      <c r="G239" s="170"/>
      <c r="H239" s="170"/>
    </row>
    <row r="240" spans="1:8" s="156" customFormat="1">
      <c r="E240" s="170"/>
      <c r="F240" s="170"/>
      <c r="G240" s="170"/>
      <c r="H240" s="170"/>
    </row>
    <row r="241" spans="1:8" s="156" customFormat="1">
      <c r="E241" s="170"/>
      <c r="F241" s="170"/>
      <c r="G241" s="170"/>
      <c r="H241" s="170"/>
    </row>
    <row r="242" spans="1:8" s="156" customFormat="1">
      <c r="E242" s="170"/>
      <c r="F242" s="170"/>
      <c r="G242" s="170"/>
      <c r="H242" s="170"/>
    </row>
    <row r="243" spans="1:8" s="156" customFormat="1">
      <c r="G243" s="163"/>
    </row>
    <row r="244" spans="1:8" s="156" customFormat="1">
      <c r="E244" s="170"/>
      <c r="F244" s="170"/>
      <c r="G244" s="170"/>
      <c r="H244" s="170"/>
    </row>
    <row r="245" spans="1:8" s="156" customFormat="1">
      <c r="E245" s="170"/>
      <c r="F245" s="170"/>
      <c r="G245" s="170"/>
      <c r="H245" s="170"/>
    </row>
    <row r="246" spans="1:8" s="156" customFormat="1">
      <c r="E246" s="170"/>
      <c r="F246" s="170"/>
      <c r="G246" s="170"/>
      <c r="H246" s="170"/>
    </row>
    <row r="247" spans="1:8" s="156" customFormat="1">
      <c r="E247" s="170"/>
      <c r="F247" s="170"/>
      <c r="G247" s="170"/>
      <c r="H247" s="170"/>
    </row>
    <row r="248" spans="1:8" s="156" customFormat="1"/>
    <row r="249" spans="1:8" s="156" customFormat="1">
      <c r="E249" s="163"/>
      <c r="F249" s="163"/>
      <c r="G249" s="163"/>
      <c r="H249" s="163"/>
    </row>
    <row r="250" spans="1:8" s="156" customFormat="1">
      <c r="D250" s="244"/>
      <c r="E250" s="165"/>
      <c r="F250" s="165"/>
      <c r="G250" s="165"/>
      <c r="H250" s="165"/>
    </row>
    <row r="251" spans="1:8" s="156" customFormat="1">
      <c r="E251" s="245"/>
      <c r="F251" s="245"/>
      <c r="G251" s="245"/>
      <c r="H251" s="245"/>
    </row>
    <row r="252" spans="1:8" s="156" customFormat="1">
      <c r="E252" s="163"/>
      <c r="F252" s="163"/>
      <c r="G252" s="163"/>
      <c r="H252" s="163"/>
    </row>
    <row r="253" spans="1:8" s="156" customFormat="1">
      <c r="E253" s="163"/>
      <c r="F253" s="163"/>
      <c r="G253" s="163"/>
      <c r="H253" s="163"/>
    </row>
    <row r="254" spans="1:8" s="156" customFormat="1">
      <c r="A254" s="240"/>
    </row>
    <row r="255" spans="1:8" s="156" customFormat="1"/>
    <row r="256" spans="1:8" s="156" customFormat="1"/>
    <row r="257" spans="1:8" s="156" customFormat="1">
      <c r="A257" s="170"/>
      <c r="C257" s="247"/>
      <c r="D257" s="170"/>
      <c r="E257" s="170"/>
      <c r="F257" s="170"/>
      <c r="G257" s="170"/>
      <c r="H257" s="170"/>
    </row>
    <row r="258" spans="1:8" s="156" customFormat="1">
      <c r="A258" s="170"/>
      <c r="C258" s="248"/>
      <c r="D258" s="248"/>
      <c r="E258" s="248"/>
      <c r="F258" s="248"/>
      <c r="G258" s="248"/>
      <c r="H258" s="248"/>
    </row>
    <row r="259" spans="1:8" s="156" customFormat="1">
      <c r="A259" s="170"/>
      <c r="C259" s="170"/>
      <c r="D259" s="170"/>
      <c r="E259" s="170"/>
      <c r="F259" s="170"/>
      <c r="G259" s="170"/>
      <c r="H259" s="170"/>
    </row>
    <row r="260" spans="1:8" s="156" customFormat="1">
      <c r="A260" s="170"/>
      <c r="C260" s="170"/>
      <c r="D260" s="170"/>
      <c r="E260" s="170"/>
      <c r="F260" s="170"/>
      <c r="G260" s="170"/>
      <c r="H260" s="170"/>
    </row>
    <row r="261" spans="1:8" s="156" customFormat="1">
      <c r="A261" s="170"/>
      <c r="C261" s="170"/>
      <c r="D261" s="170"/>
      <c r="E261" s="170"/>
      <c r="F261" s="170"/>
      <c r="G261" s="170"/>
      <c r="H261" s="170"/>
    </row>
    <row r="262" spans="1:8" s="156" customFormat="1">
      <c r="C262" s="170"/>
      <c r="D262" s="170"/>
      <c r="E262" s="170"/>
      <c r="F262" s="170"/>
      <c r="G262" s="170"/>
      <c r="H262" s="170"/>
    </row>
    <row r="263" spans="1:8" s="156" customFormat="1">
      <c r="C263" s="170"/>
      <c r="D263" s="170"/>
      <c r="E263" s="247"/>
      <c r="F263" s="247"/>
      <c r="G263" s="247"/>
      <c r="H263" s="247"/>
    </row>
    <row r="264" spans="1:8" s="156" customFormat="1"/>
    <row r="265" spans="1:8" s="156" customFormat="1">
      <c r="B265" s="249"/>
    </row>
    <row r="266" spans="1:8" s="156" customFormat="1">
      <c r="E266" s="170"/>
      <c r="F266" s="170"/>
      <c r="G266" s="170"/>
      <c r="H266" s="170"/>
    </row>
    <row r="267" spans="1:8" s="156" customFormat="1">
      <c r="E267" s="170"/>
      <c r="F267" s="170"/>
      <c r="G267" s="170"/>
      <c r="H267" s="170"/>
    </row>
    <row r="268" spans="1:8" s="156" customFormat="1">
      <c r="E268" s="170"/>
      <c r="F268" s="170"/>
      <c r="G268" s="170"/>
      <c r="H268" s="170"/>
    </row>
    <row r="269" spans="1:8" s="156" customFormat="1">
      <c r="E269" s="170"/>
      <c r="F269" s="170"/>
      <c r="G269" s="170"/>
      <c r="H269" s="170"/>
    </row>
    <row r="270" spans="1:8" s="156" customFormat="1">
      <c r="G270" s="163"/>
    </row>
    <row r="271" spans="1:8" s="156" customFormat="1">
      <c r="E271" s="170"/>
      <c r="F271" s="170"/>
      <c r="G271" s="170"/>
      <c r="H271" s="170"/>
    </row>
    <row r="272" spans="1:8" s="156" customFormat="1">
      <c r="E272" s="170"/>
      <c r="F272" s="170"/>
      <c r="G272" s="170"/>
      <c r="H272" s="170"/>
    </row>
    <row r="273" spans="4:8" s="156" customFormat="1">
      <c r="E273" s="170"/>
      <c r="F273" s="170"/>
      <c r="G273" s="170"/>
      <c r="H273" s="170"/>
    </row>
    <row r="274" spans="4:8" s="156" customFormat="1">
      <c r="E274" s="170"/>
      <c r="F274" s="170"/>
      <c r="G274" s="170"/>
      <c r="H274" s="170"/>
    </row>
    <row r="275" spans="4:8" s="156" customFormat="1"/>
    <row r="276" spans="4:8" s="156" customFormat="1">
      <c r="E276" s="163"/>
      <c r="F276" s="163"/>
      <c r="G276" s="163"/>
      <c r="H276" s="163"/>
    </row>
    <row r="277" spans="4:8" s="156" customFormat="1">
      <c r="D277" s="244"/>
      <c r="E277" s="165"/>
      <c r="F277" s="165"/>
      <c r="G277" s="165"/>
      <c r="H277" s="165"/>
    </row>
    <row r="278" spans="4:8" s="156" customFormat="1">
      <c r="E278" s="245"/>
      <c r="F278" s="245"/>
      <c r="G278" s="245"/>
      <c r="H278" s="245"/>
    </row>
    <row r="279" spans="4:8" s="156" customFormat="1">
      <c r="E279" s="163"/>
      <c r="F279" s="163"/>
      <c r="G279" s="163"/>
      <c r="H279" s="163"/>
    </row>
    <row r="280" spans="4:8" s="156" customFormat="1">
      <c r="E280" s="163"/>
      <c r="F280" s="163"/>
      <c r="G280" s="163"/>
      <c r="H280" s="163"/>
    </row>
  </sheetData>
  <pageMargins left="0.7" right="0.7" top="0.75" bottom="0.75" header="0.3" footer="0.3"/>
  <pageSetup paperSize="119" orientation="landscape" r:id="rId1"/>
  <headerFooter>
    <oddHeader>&amp;LAppendix E-2: Incremental Cost Calculation&amp;RClean Energy Implementation Plan</oddHeader>
    <oddFooter>&amp;LDECEMBER 17, 2021&amp;C&amp;P of &amp;N&amp;RPuget Sound Energy</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128"/>
  <sheetViews>
    <sheetView tabSelected="1" workbookViewId="0">
      <pane ySplit="10" topLeftCell="A11" activePane="bottomLeft" state="frozen"/>
      <selection activeCell="E17" sqref="E17"/>
      <selection pane="bottomLeft" activeCell="E17" sqref="E17"/>
    </sheetView>
  </sheetViews>
  <sheetFormatPr defaultColWidth="18.140625" defaultRowHeight="14.25" outlineLevelCol="1"/>
  <cols>
    <col min="1" max="1" width="5.5703125" style="111" bestFit="1" customWidth="1"/>
    <col min="2" max="2" width="17.140625" style="111" customWidth="1"/>
    <col min="3" max="3" width="15" style="111" customWidth="1"/>
    <col min="4" max="4" width="16.28515625" style="111" bestFit="1" customWidth="1"/>
    <col min="5" max="5" width="16.140625" style="111" bestFit="1" customWidth="1"/>
    <col min="6" max="6" width="16.7109375" style="111" bestFit="1" customWidth="1"/>
    <col min="7" max="7" width="13.5703125" style="111" bestFit="1" customWidth="1"/>
    <col min="8" max="8" width="5.28515625" style="111" bestFit="1" customWidth="1"/>
    <col min="9" max="9" width="58.140625" style="111" customWidth="1"/>
    <col min="10" max="10" width="14.28515625" style="111" customWidth="1"/>
    <col min="11" max="11" width="15.42578125" style="111" bestFit="1" customWidth="1"/>
    <col min="12" max="12" width="16.28515625" style="111" bestFit="1" customWidth="1"/>
    <col min="13" max="13" width="5.85546875" style="111" customWidth="1"/>
    <col min="14" max="14" width="49.140625" style="111" customWidth="1"/>
    <col min="15" max="15" width="15.140625" style="111" customWidth="1"/>
    <col min="16" max="16" width="5.85546875" style="111" customWidth="1"/>
    <col min="17" max="17" width="31.85546875" style="111" bestFit="1" customWidth="1"/>
    <col min="18" max="18" width="18.42578125" style="111" customWidth="1"/>
    <col min="19" max="19" width="15.5703125" style="111" bestFit="1" customWidth="1"/>
    <col min="20" max="20" width="5.85546875" style="111" customWidth="1"/>
    <col min="21" max="21" width="47.5703125" style="111" customWidth="1"/>
    <col min="22" max="22" width="6" style="111" customWidth="1"/>
    <col min="23" max="23" width="14.7109375" style="111" customWidth="1"/>
    <col min="24" max="24" width="15.85546875" style="111" customWidth="1"/>
    <col min="25" max="25" width="5.5703125" style="111" customWidth="1"/>
    <col min="26" max="26" width="53.140625" style="111" customWidth="1"/>
    <col min="27" max="28" width="13.42578125" style="111" customWidth="1"/>
    <col min="29" max="29" width="5.85546875" style="111" customWidth="1"/>
    <col min="30" max="30" width="30.5703125" style="111" customWidth="1"/>
    <col min="31" max="31" width="14.5703125" style="111" customWidth="1"/>
    <col min="32" max="32" width="16.42578125" style="111" customWidth="1" outlineLevel="1"/>
    <col min="33" max="34" width="15.85546875" style="111" customWidth="1" outlineLevel="1"/>
    <col min="35" max="35" width="14.140625" style="111" customWidth="1" outlineLevel="1"/>
    <col min="36" max="36" width="16.7109375" style="111" customWidth="1"/>
    <col min="37" max="37" width="17.140625" style="111" bestFit="1" customWidth="1"/>
    <col min="38" max="38" width="5.85546875" style="111" customWidth="1"/>
    <col min="39" max="39" width="42.7109375" style="111" customWidth="1"/>
    <col min="40" max="40" width="17.7109375" style="111" customWidth="1"/>
    <col min="41" max="41" width="16.5703125" style="111" customWidth="1"/>
    <col min="42" max="42" width="15.85546875" style="111" customWidth="1"/>
    <col min="43" max="43" width="5" style="259" customWidth="1"/>
    <col min="44" max="44" width="41.140625" style="259" customWidth="1"/>
    <col min="45" max="45" width="5.5703125" style="259" customWidth="1"/>
    <col min="46" max="46" width="19.42578125" style="259" customWidth="1"/>
    <col min="47" max="47" width="5" style="259" customWidth="1"/>
    <col min="48" max="48" width="47.28515625" style="259" customWidth="1"/>
    <col min="49" max="51" width="14.5703125" style="259" customWidth="1"/>
    <col min="52" max="52" width="5.85546875" style="111" customWidth="1"/>
    <col min="53" max="53" width="32" style="111" customWidth="1"/>
    <col min="54" max="54" width="5.5703125" style="111" customWidth="1"/>
    <col min="55" max="55" width="15.42578125" style="111" customWidth="1"/>
    <col min="56" max="56" width="5.140625" style="111" customWidth="1"/>
    <col min="57" max="57" width="30.42578125" style="111" customWidth="1"/>
    <col min="58" max="58" width="12.42578125" style="111" customWidth="1"/>
    <col min="59" max="59" width="13.85546875" style="111" customWidth="1"/>
    <col min="60" max="60" width="16.140625" style="111" customWidth="1"/>
    <col min="61" max="61" width="5.85546875" style="111" customWidth="1"/>
    <col min="62" max="62" width="59.140625" style="111" customWidth="1"/>
    <col min="63" max="65" width="17" style="111" customWidth="1"/>
    <col min="66" max="66" width="4.7109375" style="256" customWidth="1"/>
    <col min="67" max="67" width="37.85546875" style="256" customWidth="1"/>
    <col min="68" max="68" width="18.140625" style="111" customWidth="1"/>
    <col min="69" max="69" width="9.85546875" style="111" customWidth="1"/>
    <col min="70" max="70" width="18.140625" style="111" customWidth="1"/>
    <col min="71" max="71" width="5.85546875" style="111" customWidth="1"/>
    <col min="72" max="72" width="72.140625" style="111" bestFit="1" customWidth="1"/>
    <col min="73" max="77" width="14.140625" style="111" customWidth="1"/>
    <col min="78" max="78" width="5.5703125" style="111" customWidth="1"/>
    <col min="79" max="79" width="60.85546875" style="111" customWidth="1"/>
    <col min="80" max="80" width="16" style="111" bestFit="1" customWidth="1"/>
    <col min="81" max="81" width="24.85546875" style="111" customWidth="1"/>
    <col min="82" max="82" width="14.140625" style="111" customWidth="1"/>
    <col min="83" max="83" width="4.7109375" style="111" customWidth="1"/>
    <col min="84" max="84" width="33.85546875" style="111" customWidth="1"/>
    <col min="85" max="85" width="5" style="111" customWidth="1"/>
    <col min="86" max="86" width="5.5703125" style="111" customWidth="1"/>
    <col min="87" max="87" width="14.140625" style="111" customWidth="1"/>
    <col min="88" max="88" width="6.7109375" style="111" customWidth="1"/>
    <col min="89" max="89" width="42.140625" style="111" customWidth="1"/>
    <col min="90" max="92" width="14.140625" style="111" customWidth="1"/>
    <col min="93" max="93" width="6.7109375" style="111" customWidth="1"/>
    <col min="94" max="94" width="42.140625" style="111" customWidth="1"/>
    <col min="95" max="95" width="14.7109375" style="111" bestFit="1" customWidth="1"/>
    <col min="96" max="96" width="14.140625" style="111" customWidth="1"/>
    <col min="97" max="97" width="15.5703125" style="111" bestFit="1" customWidth="1"/>
    <col min="98" max="98" width="6.7109375" style="111" customWidth="1"/>
    <col min="99" max="99" width="42.140625" style="111" customWidth="1"/>
    <col min="100" max="102" width="14.140625" style="111" customWidth="1"/>
    <col min="103" max="103" width="5" style="111" customWidth="1"/>
    <col min="104" max="104" width="44.85546875" style="111" customWidth="1"/>
    <col min="105" max="106" width="11.42578125" style="111" customWidth="1"/>
    <col min="107" max="107" width="15.28515625" style="111" customWidth="1"/>
    <col min="108" max="108" width="5.85546875" style="260" customWidth="1"/>
    <col min="109" max="109" width="39.28515625" style="111" customWidth="1"/>
    <col min="110" max="110" width="20.28515625" style="111" bestFit="1" customWidth="1"/>
    <col min="111" max="111" width="20" style="111" customWidth="1"/>
    <col min="112" max="115" width="20.42578125" style="111" customWidth="1"/>
    <col min="116" max="116" width="14.5703125" style="111" customWidth="1"/>
    <col min="117" max="117" width="15.85546875" style="111" customWidth="1"/>
    <col min="118" max="118" width="21.28515625" style="111" customWidth="1"/>
    <col min="119" max="119" width="18.140625" style="111" bestFit="1" customWidth="1"/>
    <col min="120" max="120" width="13.140625" style="111" bestFit="1" customWidth="1"/>
    <col min="121" max="121" width="15.42578125" style="111" customWidth="1"/>
    <col min="122" max="122" width="5" style="111" customWidth="1"/>
    <col min="123" max="123" width="33" style="111" customWidth="1"/>
    <col min="124" max="124" width="12.85546875" style="111" bestFit="1" customWidth="1"/>
    <col min="125" max="125" width="13.28515625" style="111" bestFit="1" customWidth="1"/>
    <col min="126" max="126" width="16.42578125" style="111" customWidth="1"/>
    <col min="127" max="132" width="19.7109375" style="111" customWidth="1"/>
    <col min="133" max="133" width="16.85546875" style="111" bestFit="1" customWidth="1"/>
    <col min="134" max="134" width="5" style="111" customWidth="1"/>
    <col min="135" max="135" width="39.85546875" style="111" bestFit="1" customWidth="1"/>
    <col min="136" max="136" width="17" style="111" bestFit="1" customWidth="1"/>
    <col min="137" max="137" width="16.85546875" style="111" bestFit="1" customWidth="1"/>
    <col min="138" max="138" width="17" style="111" bestFit="1" customWidth="1"/>
    <col min="139" max="139" width="12" style="256" customWidth="1"/>
    <col min="140" max="140" width="32.28515625" style="256" customWidth="1"/>
    <col min="141" max="141" width="25" style="256" customWidth="1"/>
    <col min="142" max="146" width="18.140625" style="256"/>
    <col min="147" max="148" width="18.140625" style="111"/>
    <col min="149" max="149" width="5.28515625" style="111" customWidth="1"/>
    <col min="150" max="150" width="52.140625" style="111" bestFit="1" customWidth="1"/>
    <col min="151" max="151" width="17" style="111" customWidth="1"/>
    <col min="152" max="152" width="16.7109375" style="111" customWidth="1"/>
    <col min="153" max="153" width="14" style="111" bestFit="1" customWidth="1"/>
    <col min="154" max="16384" width="18.140625" style="111"/>
  </cols>
  <sheetData>
    <row r="1" spans="1:141" s="254" customFormat="1" ht="15" customHeight="1">
      <c r="G1" s="255">
        <f>ROUND(-DG47+G49,0)</f>
        <v>0</v>
      </c>
      <c r="L1" s="255">
        <f>ROUND(-DH47+L41,0)</f>
        <v>0</v>
      </c>
      <c r="O1" s="255">
        <f>ROUND(-DI47+O29,0)</f>
        <v>0</v>
      </c>
      <c r="S1" s="255">
        <f>ROUND(-DJ47-S27+S24,0)</f>
        <v>0</v>
      </c>
      <c r="X1" s="255">
        <f>ROUND(-DK47+X52,0)</f>
        <v>0</v>
      </c>
      <c r="AB1" s="255">
        <f>ROUND(-DL47+AB31,0)</f>
        <v>0</v>
      </c>
      <c r="AK1" s="255">
        <f>ROUND(-DM47+AK29,0)</f>
        <v>0</v>
      </c>
      <c r="AP1" s="255">
        <f>ROUND(-DN47+AP20,0)</f>
        <v>0</v>
      </c>
      <c r="AT1" s="255">
        <f>ROUND(-DO47+AT26,0)</f>
        <v>0</v>
      </c>
      <c r="AY1" s="255">
        <f>ROUND(-DP47+AY20,0)</f>
        <v>0</v>
      </c>
      <c r="BC1" s="255">
        <f>ROUND(-DQ47+BC15,0)</f>
        <v>0</v>
      </c>
      <c r="BH1" s="255">
        <f>ROUND(-DT47+BH19,0)</f>
        <v>0</v>
      </c>
      <c r="BM1" s="255">
        <f>ROUND(-DU47+BM19,0)</f>
        <v>0</v>
      </c>
      <c r="BR1" s="255">
        <f>ROUND(-DV47+BR20,0)</f>
        <v>0</v>
      </c>
      <c r="BY1" s="255">
        <f>ROUND(-DW47+BY30,0)</f>
        <v>0</v>
      </c>
      <c r="CD1" s="255">
        <f>ROUND(-DX47+CD24,0)</f>
        <v>0</v>
      </c>
      <c r="CI1" s="255">
        <f>ROUND(-DY47+CI25,0)</f>
        <v>0</v>
      </c>
      <c r="CN1" s="255">
        <f>ROUND(-DZ47+CN24,0)</f>
        <v>0</v>
      </c>
      <c r="CS1" s="255">
        <f>ROUND(-EA47+CS24,0)</f>
        <v>0</v>
      </c>
      <c r="CX1" s="255">
        <f>ROUND(-EB47+CX24,0)</f>
        <v>0</v>
      </c>
      <c r="EI1" s="256"/>
      <c r="EJ1" s="256"/>
      <c r="EK1" s="256"/>
    </row>
    <row r="2" spans="1:141" ht="15" customHeight="1" thickBot="1">
      <c r="A2" s="257"/>
      <c r="B2" s="257"/>
      <c r="C2" s="257"/>
      <c r="D2" s="257"/>
      <c r="E2" s="257"/>
      <c r="F2" s="257"/>
      <c r="G2" s="258"/>
      <c r="L2" s="258"/>
      <c r="O2" s="258"/>
      <c r="S2" s="258"/>
      <c r="X2" s="258"/>
      <c r="AP2" s="258"/>
      <c r="AT2" s="258"/>
      <c r="AY2" s="258"/>
      <c r="BC2" s="258"/>
      <c r="BH2" s="258"/>
      <c r="BI2" s="258"/>
      <c r="BJ2" s="258"/>
      <c r="BK2" s="258"/>
      <c r="BL2" s="258"/>
      <c r="BM2" s="258"/>
      <c r="BN2" s="111"/>
      <c r="BO2" s="111"/>
      <c r="BR2" s="258"/>
      <c r="BS2" s="258"/>
      <c r="BT2" s="258"/>
      <c r="BU2" s="258"/>
      <c r="BV2" s="258"/>
      <c r="BW2" s="258"/>
      <c r="BX2" s="258"/>
      <c r="BY2" s="258"/>
      <c r="CD2" s="258"/>
      <c r="CI2" s="258"/>
      <c r="CJ2" s="258"/>
      <c r="CK2" s="258"/>
      <c r="CL2" s="258"/>
      <c r="CM2" s="258"/>
      <c r="CN2" s="258"/>
      <c r="CO2" s="258"/>
      <c r="CP2" s="258"/>
      <c r="CQ2" s="258"/>
      <c r="CR2" s="258"/>
      <c r="CS2" s="258"/>
      <c r="CT2" s="258"/>
      <c r="CU2" s="258"/>
      <c r="CV2" s="258"/>
      <c r="CW2" s="258"/>
      <c r="CX2" s="258"/>
      <c r="CY2" s="257"/>
      <c r="CZ2" s="257"/>
      <c r="DA2" s="257"/>
      <c r="DB2" s="257"/>
      <c r="DC2" s="258"/>
      <c r="DG2" s="261"/>
      <c r="DH2" s="261"/>
      <c r="DI2" s="261"/>
      <c r="DJ2" s="261"/>
      <c r="DK2" s="261"/>
      <c r="DL2" s="261"/>
      <c r="DM2" s="261"/>
      <c r="DN2" s="261"/>
      <c r="DO2" s="261"/>
      <c r="DP2" s="261"/>
      <c r="DQ2" s="261"/>
      <c r="DR2" s="261"/>
      <c r="DS2" s="261"/>
      <c r="DT2" s="261"/>
      <c r="DU2" s="261"/>
      <c r="DV2" s="261"/>
      <c r="DW2" s="261"/>
      <c r="DX2" s="261"/>
      <c r="DY2" s="261"/>
      <c r="DZ2" s="261"/>
      <c r="EA2" s="261"/>
      <c r="EB2" s="261"/>
      <c r="EC2" s="261"/>
    </row>
    <row r="3" spans="1:141" s="257" customFormat="1" ht="15" customHeight="1" thickTop="1" thickBot="1">
      <c r="G3" s="262">
        <f>DG12</f>
        <v>3.01</v>
      </c>
      <c r="H3" s="263"/>
      <c r="I3" s="263"/>
      <c r="J3" s="263"/>
      <c r="K3" s="263"/>
      <c r="L3" s="262">
        <f>DH12</f>
        <v>3.0199999999999996</v>
      </c>
      <c r="M3" s="264"/>
      <c r="N3" s="264"/>
      <c r="O3" s="262">
        <f>DI12</f>
        <v>3.0299999999999994</v>
      </c>
      <c r="P3" s="264"/>
      <c r="Q3" s="264"/>
      <c r="R3" s="264"/>
      <c r="S3" s="262">
        <f>DJ12</f>
        <v>3.0399999999999991</v>
      </c>
      <c r="T3" s="264"/>
      <c r="U3" s="264"/>
      <c r="V3" s="264"/>
      <c r="X3" s="262">
        <f>DK12</f>
        <v>3.0499999999999989</v>
      </c>
      <c r="Z3" s="111"/>
      <c r="AB3" s="262">
        <f>DL12</f>
        <v>3.0599999999999987</v>
      </c>
      <c r="AK3" s="262">
        <f>DM12</f>
        <v>3.0699999999999985</v>
      </c>
      <c r="AN3" s="265"/>
      <c r="AP3" s="262">
        <f>DN12</f>
        <v>3.0799999999999983</v>
      </c>
      <c r="AQ3" s="257" t="s">
        <v>203</v>
      </c>
      <c r="AT3" s="262">
        <f>DO12</f>
        <v>3.0899999999999981</v>
      </c>
      <c r="AU3" s="266"/>
      <c r="AV3" s="266"/>
      <c r="AW3" s="266"/>
      <c r="AX3" s="266"/>
      <c r="AY3" s="262">
        <f>DP12</f>
        <v>3.0999999999999979</v>
      </c>
      <c r="BC3" s="262">
        <f>DQ12</f>
        <v>3.1099999999999977</v>
      </c>
      <c r="BF3" s="265"/>
      <c r="BH3" s="262">
        <f>DT12</f>
        <v>3.1199999999999974</v>
      </c>
      <c r="BK3" s="265"/>
      <c r="BM3" s="262">
        <f>DU12</f>
        <v>3.1299999999999972</v>
      </c>
      <c r="BN3" s="263"/>
      <c r="BO3" s="258"/>
      <c r="BP3" s="258"/>
      <c r="BQ3" s="258"/>
      <c r="BR3" s="262">
        <f>DV12</f>
        <v>3.139999999999997</v>
      </c>
      <c r="BT3" s="267"/>
      <c r="BU3" s="267"/>
      <c r="BV3" s="267"/>
      <c r="BW3" s="267"/>
      <c r="BX3" s="267"/>
      <c r="BY3" s="262">
        <f>DW12</f>
        <v>3.1499999999999968</v>
      </c>
      <c r="CA3" s="268"/>
      <c r="CC3" s="269"/>
      <c r="CD3" s="262">
        <f>DX12</f>
        <v>3.1599999999999966</v>
      </c>
      <c r="CI3" s="262">
        <f>DY12</f>
        <v>3.1699999999999964</v>
      </c>
      <c r="CK3" s="267"/>
      <c r="CL3" s="267"/>
      <c r="CM3" s="267"/>
      <c r="CN3" s="262">
        <f>DZ12</f>
        <v>3.1799999999999962</v>
      </c>
      <c r="CP3" s="267"/>
      <c r="CQ3" s="267"/>
      <c r="CR3" s="267"/>
      <c r="CS3" s="262">
        <f>EA12</f>
        <v>3.1899999999999959</v>
      </c>
      <c r="CU3" s="267"/>
      <c r="CV3" s="267"/>
      <c r="CW3" s="267"/>
      <c r="CX3" s="262">
        <f>EB12</f>
        <v>3.1999999999999957</v>
      </c>
      <c r="DC3" s="270" t="s">
        <v>205</v>
      </c>
      <c r="DQ3" s="271" t="s">
        <v>206</v>
      </c>
      <c r="EC3" s="271" t="s">
        <v>207</v>
      </c>
      <c r="EH3" s="272" t="s">
        <v>208</v>
      </c>
      <c r="EI3" s="256"/>
      <c r="EJ3" s="256"/>
      <c r="EK3" s="256"/>
    </row>
    <row r="4" spans="1:141" s="257" customFormat="1" ht="15" customHeight="1">
      <c r="A4" s="273" t="s">
        <v>209</v>
      </c>
      <c r="B4" s="274"/>
      <c r="C4" s="274"/>
      <c r="D4" s="274"/>
      <c r="E4" s="275"/>
      <c r="F4" s="276"/>
      <c r="G4" s="277"/>
      <c r="H4" s="274" t="s">
        <v>209</v>
      </c>
      <c r="I4" s="275"/>
      <c r="J4" s="275"/>
      <c r="K4" s="275"/>
      <c r="L4" s="275"/>
      <c r="M4" s="274" t="str">
        <f>PSPL</f>
        <v>PUGET SOUND ENERGY-ELECTRIC</v>
      </c>
      <c r="N4" s="275"/>
      <c r="O4" s="278"/>
      <c r="P4" s="274" t="str">
        <f>PSPL</f>
        <v>PUGET SOUND ENERGY-ELECTRIC</v>
      </c>
      <c r="Q4" s="275"/>
      <c r="R4" s="275"/>
      <c r="S4" s="275"/>
      <c r="T4" s="274" t="str">
        <f>PSPL</f>
        <v>PUGET SOUND ENERGY-ELECTRIC</v>
      </c>
      <c r="U4" s="275"/>
      <c r="V4" s="275"/>
      <c r="W4" s="275"/>
      <c r="X4" s="275"/>
      <c r="Y4" s="274" t="str">
        <f>PSPL</f>
        <v>PUGET SOUND ENERGY-ELECTRIC</v>
      </c>
      <c r="Z4" s="275"/>
      <c r="AA4" s="275"/>
      <c r="AB4" s="275"/>
      <c r="AC4" s="274" t="str">
        <f>PSPL</f>
        <v>PUGET SOUND ENERGY-ELECTRIC</v>
      </c>
      <c r="AD4" s="275"/>
      <c r="AE4" s="275"/>
      <c r="AF4" s="275"/>
      <c r="AG4" s="275"/>
      <c r="AH4" s="275"/>
      <c r="AI4" s="275"/>
      <c r="AJ4" s="275"/>
      <c r="AK4" s="275"/>
      <c r="AL4" s="274" t="str">
        <f>PSPL</f>
        <v>PUGET SOUND ENERGY-ELECTRIC</v>
      </c>
      <c r="AM4" s="279"/>
      <c r="AN4" s="280"/>
      <c r="AO4" s="275"/>
      <c r="AP4" s="275"/>
      <c r="AQ4" s="281" t="str">
        <f>PSPL</f>
        <v>PUGET SOUND ENERGY-ELECTRIC</v>
      </c>
      <c r="AR4" s="281"/>
      <c r="AS4" s="281"/>
      <c r="AT4" s="281"/>
      <c r="AU4" s="274" t="str">
        <f>PSPL</f>
        <v>PUGET SOUND ENERGY-ELECTRIC</v>
      </c>
      <c r="AV4" s="275"/>
      <c r="AW4" s="275"/>
      <c r="AX4" s="275"/>
      <c r="AY4" s="282"/>
      <c r="AZ4" s="275" t="str">
        <f>PSPL</f>
        <v>PUGET SOUND ENERGY-ELECTRIC</v>
      </c>
      <c r="BA4" s="275"/>
      <c r="BB4" s="275"/>
      <c r="BC4" s="275"/>
      <c r="BD4" s="274" t="str">
        <f>PSPL</f>
        <v>PUGET SOUND ENERGY-ELECTRIC</v>
      </c>
      <c r="BE4" s="279"/>
      <c r="BF4" s="280"/>
      <c r="BG4" s="275"/>
      <c r="BH4" s="275"/>
      <c r="BI4" s="274" t="str">
        <f>PSPL</f>
        <v>PUGET SOUND ENERGY-ELECTRIC</v>
      </c>
      <c r="BJ4" s="279"/>
      <c r="BK4" s="280"/>
      <c r="BL4" s="275"/>
      <c r="BM4" s="275"/>
      <c r="BN4" s="274" t="str">
        <f>PSPL</f>
        <v>PUGET SOUND ENERGY-ELECTRIC</v>
      </c>
      <c r="BO4" s="275"/>
      <c r="BP4" s="275"/>
      <c r="BQ4" s="275"/>
      <c r="BR4" s="275"/>
      <c r="BS4" s="274" t="str">
        <f>PSPL</f>
        <v>PUGET SOUND ENERGY-ELECTRIC</v>
      </c>
      <c r="BT4" s="275"/>
      <c r="BU4" s="275"/>
      <c r="BV4" s="275"/>
      <c r="BW4" s="275"/>
      <c r="BX4" s="275"/>
      <c r="BY4" s="275"/>
      <c r="BZ4" s="274" t="str">
        <f>PSPL</f>
        <v>PUGET SOUND ENERGY-ELECTRIC</v>
      </c>
      <c r="CA4" s="274"/>
      <c r="CB4" s="274"/>
      <c r="CC4" s="274"/>
      <c r="CD4" s="274"/>
      <c r="CE4" s="274" t="str">
        <f>PSPL</f>
        <v>PUGET SOUND ENERGY-ELECTRIC</v>
      </c>
      <c r="CF4" s="275"/>
      <c r="CG4" s="275"/>
      <c r="CH4" s="275"/>
      <c r="CI4" s="275"/>
      <c r="CJ4" s="274" t="str">
        <f>PSPL</f>
        <v>PUGET SOUND ENERGY-ELECTRIC</v>
      </c>
      <c r="CK4" s="275"/>
      <c r="CL4" s="275"/>
      <c r="CM4" s="275"/>
      <c r="CN4" s="275"/>
      <c r="CO4" s="274" t="str">
        <f>PSPL</f>
        <v>PUGET SOUND ENERGY-ELECTRIC</v>
      </c>
      <c r="CP4" s="275"/>
      <c r="CQ4" s="275"/>
      <c r="CR4" s="275"/>
      <c r="CS4" s="275"/>
      <c r="CT4" s="274" t="str">
        <f>PSPL</f>
        <v>PUGET SOUND ENERGY-ELECTRIC</v>
      </c>
      <c r="CU4" s="275"/>
      <c r="CV4" s="275"/>
      <c r="CW4" s="275"/>
      <c r="CX4" s="275"/>
      <c r="CY4" s="274" t="str">
        <f>PSPL</f>
        <v>PUGET SOUND ENERGY-ELECTRIC</v>
      </c>
      <c r="CZ4" s="275"/>
      <c r="DA4" s="275"/>
      <c r="DB4" s="275"/>
      <c r="DC4" s="282"/>
      <c r="DD4" s="274" t="str">
        <f>PSPL</f>
        <v>PUGET SOUND ENERGY-ELECTRIC</v>
      </c>
      <c r="DE4" s="279"/>
      <c r="DF4" s="279"/>
      <c r="DG4" s="275"/>
      <c r="DH4" s="275"/>
      <c r="DI4" s="275"/>
      <c r="DJ4" s="275"/>
      <c r="DK4" s="275"/>
      <c r="DL4" s="279"/>
      <c r="DM4" s="279"/>
      <c r="DN4" s="279"/>
      <c r="DO4" s="279"/>
      <c r="DP4" s="279"/>
      <c r="DQ4" s="279"/>
      <c r="DR4" s="274" t="str">
        <f>PSPL</f>
        <v>PUGET SOUND ENERGY-ELECTRIC</v>
      </c>
      <c r="DS4" s="279"/>
      <c r="DT4" s="279"/>
      <c r="DU4" s="279"/>
      <c r="DV4" s="279"/>
      <c r="DW4" s="279"/>
      <c r="DX4" s="279"/>
      <c r="DY4" s="279"/>
      <c r="DZ4" s="279"/>
      <c r="EA4" s="279"/>
      <c r="EB4" s="279"/>
      <c r="EC4" s="279"/>
      <c r="ED4" s="283" t="s">
        <v>210</v>
      </c>
      <c r="EE4" s="275"/>
      <c r="EF4" s="275"/>
      <c r="EI4" s="256"/>
      <c r="EJ4" s="256"/>
      <c r="EK4" s="256"/>
    </row>
    <row r="5" spans="1:141" s="257" customFormat="1" ht="15" customHeight="1">
      <c r="A5" s="284" t="s">
        <v>211</v>
      </c>
      <c r="B5" s="285"/>
      <c r="C5" s="285"/>
      <c r="D5" s="285"/>
      <c r="E5" s="286"/>
      <c r="F5" s="287"/>
      <c r="G5" s="288"/>
      <c r="H5" s="285" t="s">
        <v>212</v>
      </c>
      <c r="I5" s="288"/>
      <c r="J5" s="288"/>
      <c r="K5" s="288"/>
      <c r="L5" s="288"/>
      <c r="M5" s="286" t="s">
        <v>213</v>
      </c>
      <c r="N5" s="286"/>
      <c r="O5" s="289"/>
      <c r="P5" s="286" t="s">
        <v>214</v>
      </c>
      <c r="Q5" s="286"/>
      <c r="R5" s="286"/>
      <c r="S5" s="288"/>
      <c r="T5" s="286" t="s">
        <v>215</v>
      </c>
      <c r="U5" s="275"/>
      <c r="V5" s="286"/>
      <c r="W5" s="288"/>
      <c r="X5" s="285"/>
      <c r="Y5" s="285" t="s">
        <v>216</v>
      </c>
      <c r="Z5" s="286"/>
      <c r="AA5" s="286"/>
      <c r="AB5" s="288"/>
      <c r="AC5" s="286" t="s">
        <v>217</v>
      </c>
      <c r="AD5" s="286"/>
      <c r="AE5" s="286"/>
      <c r="AF5" s="286"/>
      <c r="AG5" s="275"/>
      <c r="AH5" s="286"/>
      <c r="AI5" s="286"/>
      <c r="AJ5" s="288"/>
      <c r="AK5" s="288"/>
      <c r="AL5" s="286" t="s">
        <v>218</v>
      </c>
      <c r="AM5" s="290"/>
      <c r="AN5" s="291"/>
      <c r="AO5" s="286"/>
      <c r="AP5" s="288"/>
      <c r="AQ5" s="292" t="s">
        <v>219</v>
      </c>
      <c r="AR5" s="292"/>
      <c r="AS5" s="292"/>
      <c r="AT5" s="292"/>
      <c r="AU5" s="286" t="s">
        <v>220</v>
      </c>
      <c r="AV5" s="286"/>
      <c r="AW5" s="286"/>
      <c r="AX5" s="286"/>
      <c r="AY5" s="288"/>
      <c r="AZ5" s="285" t="s">
        <v>221</v>
      </c>
      <c r="BA5" s="286"/>
      <c r="BB5" s="286"/>
      <c r="BC5" s="286"/>
      <c r="BD5" s="286" t="s">
        <v>222</v>
      </c>
      <c r="BE5" s="290"/>
      <c r="BF5" s="291"/>
      <c r="BG5" s="286"/>
      <c r="BH5" s="288"/>
      <c r="BI5" s="286" t="s">
        <v>223</v>
      </c>
      <c r="BJ5" s="290"/>
      <c r="BK5" s="291"/>
      <c r="BL5" s="286"/>
      <c r="BM5" s="288"/>
      <c r="BN5" s="286" t="s">
        <v>224</v>
      </c>
      <c r="BO5" s="288"/>
      <c r="BP5" s="288"/>
      <c r="BQ5" s="288"/>
      <c r="BR5" s="288"/>
      <c r="BS5" s="286" t="s">
        <v>225</v>
      </c>
      <c r="BT5" s="288"/>
      <c r="BU5" s="288"/>
      <c r="BV5" s="288"/>
      <c r="BW5" s="288"/>
      <c r="BX5" s="288"/>
      <c r="BY5" s="288"/>
      <c r="BZ5" s="285" t="s">
        <v>226</v>
      </c>
      <c r="CA5" s="285"/>
      <c r="CB5" s="285"/>
      <c r="CC5" s="285"/>
      <c r="CD5" s="285"/>
      <c r="CE5" s="286" t="s">
        <v>227</v>
      </c>
      <c r="CF5" s="286"/>
      <c r="CG5" s="286"/>
      <c r="CH5" s="286"/>
      <c r="CI5" s="288"/>
      <c r="CJ5" s="286" t="s">
        <v>228</v>
      </c>
      <c r="CK5" s="288"/>
      <c r="CL5" s="288"/>
      <c r="CM5" s="288"/>
      <c r="CN5" s="288"/>
      <c r="CO5" s="286" t="s">
        <v>229</v>
      </c>
      <c r="CP5" s="288"/>
      <c r="CQ5" s="288"/>
      <c r="CR5" s="288"/>
      <c r="CS5" s="288"/>
      <c r="CT5" s="286" t="s">
        <v>230</v>
      </c>
      <c r="CU5" s="288"/>
      <c r="CV5" s="288"/>
      <c r="CW5" s="288"/>
      <c r="CX5" s="288"/>
      <c r="CY5" s="286" t="s">
        <v>231</v>
      </c>
      <c r="CZ5" s="286"/>
      <c r="DA5" s="286"/>
      <c r="DB5" s="286"/>
      <c r="DC5" s="286"/>
      <c r="DD5" s="274" t="s">
        <v>232</v>
      </c>
      <c r="DE5" s="279"/>
      <c r="DF5" s="279"/>
      <c r="DG5" s="275"/>
      <c r="DH5" s="275"/>
      <c r="DI5" s="275"/>
      <c r="DJ5" s="275"/>
      <c r="DK5" s="275"/>
      <c r="DL5" s="279"/>
      <c r="DM5" s="279"/>
      <c r="DN5" s="279"/>
      <c r="DO5" s="279"/>
      <c r="DP5" s="279"/>
      <c r="DQ5" s="279"/>
      <c r="DR5" s="274" t="s">
        <v>232</v>
      </c>
      <c r="DS5" s="279"/>
      <c r="DT5" s="279"/>
      <c r="DU5" s="279"/>
      <c r="DV5" s="279"/>
      <c r="DW5" s="279"/>
      <c r="DX5" s="279"/>
      <c r="DY5" s="279"/>
      <c r="DZ5" s="279"/>
      <c r="EA5" s="279"/>
      <c r="EB5" s="279"/>
      <c r="EC5" s="279"/>
      <c r="ED5" s="274" t="str">
        <f>PSPL</f>
        <v>PUGET SOUND ENERGY-ELECTRIC</v>
      </c>
      <c r="EE5" s="275"/>
      <c r="EF5" s="277"/>
      <c r="EG5" s="275"/>
      <c r="EH5" s="275"/>
      <c r="EI5" s="256"/>
      <c r="EJ5" s="256"/>
      <c r="EK5" s="256"/>
    </row>
    <row r="6" spans="1:141" s="257" customFormat="1" ht="15" customHeight="1">
      <c r="A6" s="275" t="s">
        <v>233</v>
      </c>
      <c r="B6" s="274"/>
      <c r="C6" s="274"/>
      <c r="D6" s="274"/>
      <c r="E6" s="275"/>
      <c r="F6" s="293"/>
      <c r="G6" s="293"/>
      <c r="H6" s="275" t="str">
        <f>TESTYEAR</f>
        <v>FOR THE TWELVE MONTHS ENDED DECEMBER 31, 2020</v>
      </c>
      <c r="I6" s="293"/>
      <c r="J6" s="293"/>
      <c r="K6" s="293"/>
      <c r="L6" s="293"/>
      <c r="M6" s="275" t="str">
        <f>TESTYEAR</f>
        <v>FOR THE TWELVE MONTHS ENDED DECEMBER 31, 2020</v>
      </c>
      <c r="N6" s="275"/>
      <c r="O6" s="278"/>
      <c r="P6" s="275" t="str">
        <f>TESTYEAR</f>
        <v>FOR THE TWELVE MONTHS ENDED DECEMBER 31, 2020</v>
      </c>
      <c r="Q6" s="275"/>
      <c r="R6" s="275"/>
      <c r="S6" s="293"/>
      <c r="T6" s="275" t="str">
        <f>TESTYEAR</f>
        <v>FOR THE TWELVE MONTHS ENDED DECEMBER 31, 2020</v>
      </c>
      <c r="U6" s="275"/>
      <c r="V6" s="274"/>
      <c r="W6" s="274"/>
      <c r="X6" s="274"/>
      <c r="Y6" s="275" t="str">
        <f>TESTYEAR</f>
        <v>FOR THE TWELVE MONTHS ENDED DECEMBER 31, 2020</v>
      </c>
      <c r="Z6" s="274"/>
      <c r="AA6" s="275"/>
      <c r="AB6" s="293"/>
      <c r="AC6" s="275" t="str">
        <f>TESTYEAR</f>
        <v>FOR THE TWELVE MONTHS ENDED DECEMBER 31, 2020</v>
      </c>
      <c r="AD6" s="275"/>
      <c r="AE6" s="275"/>
      <c r="AF6" s="275"/>
      <c r="AG6" s="275"/>
      <c r="AH6" s="275"/>
      <c r="AI6" s="275"/>
      <c r="AJ6" s="293"/>
      <c r="AK6" s="293"/>
      <c r="AL6" s="275" t="str">
        <f>TESTYEAR</f>
        <v>FOR THE TWELVE MONTHS ENDED DECEMBER 31, 2020</v>
      </c>
      <c r="AM6" s="279"/>
      <c r="AN6" s="280"/>
      <c r="AO6" s="275"/>
      <c r="AP6" s="293"/>
      <c r="AQ6" s="294" t="str">
        <f>TESTYEAR</f>
        <v>FOR THE TWELVE MONTHS ENDED DECEMBER 31, 2020</v>
      </c>
      <c r="AR6" s="294"/>
      <c r="AS6" s="294"/>
      <c r="AT6" s="294"/>
      <c r="AU6" s="275" t="str">
        <f>TESTYEAR</f>
        <v>FOR THE TWELVE MONTHS ENDED DECEMBER 31, 2020</v>
      </c>
      <c r="AV6" s="275"/>
      <c r="AW6" s="275"/>
      <c r="AX6" s="275"/>
      <c r="AY6" s="293"/>
      <c r="AZ6" s="274" t="str">
        <f>TESTYEAR</f>
        <v>FOR THE TWELVE MONTHS ENDED DECEMBER 31, 2020</v>
      </c>
      <c r="BA6" s="275"/>
      <c r="BB6" s="275"/>
      <c r="BC6" s="275"/>
      <c r="BD6" s="275" t="str">
        <f>TESTYEAR</f>
        <v>FOR THE TWELVE MONTHS ENDED DECEMBER 31, 2020</v>
      </c>
      <c r="BE6" s="279"/>
      <c r="BF6" s="280"/>
      <c r="BG6" s="275"/>
      <c r="BH6" s="293"/>
      <c r="BI6" s="275" t="str">
        <f>TESTYEAR</f>
        <v>FOR THE TWELVE MONTHS ENDED DECEMBER 31, 2020</v>
      </c>
      <c r="BJ6" s="279"/>
      <c r="BK6" s="280"/>
      <c r="BL6" s="275"/>
      <c r="BM6" s="293"/>
      <c r="BN6" s="275" t="str">
        <f>TESTYEAR</f>
        <v>FOR THE TWELVE MONTHS ENDED DECEMBER 31, 2020</v>
      </c>
      <c r="BO6" s="293"/>
      <c r="BP6" s="293"/>
      <c r="BQ6" s="293"/>
      <c r="BR6" s="293"/>
      <c r="BS6" s="275" t="str">
        <f>TESTYEAR</f>
        <v>FOR THE TWELVE MONTHS ENDED DECEMBER 31, 2020</v>
      </c>
      <c r="BT6" s="293"/>
      <c r="BU6" s="293"/>
      <c r="BV6" s="293"/>
      <c r="BW6" s="293"/>
      <c r="BX6" s="293"/>
      <c r="BY6" s="293"/>
      <c r="BZ6" s="275" t="str">
        <f>TESTYEAR</f>
        <v>FOR THE TWELVE MONTHS ENDED DECEMBER 31, 2020</v>
      </c>
      <c r="CA6" s="275"/>
      <c r="CB6" s="275"/>
      <c r="CC6" s="275"/>
      <c r="CD6" s="275"/>
      <c r="CE6" s="275" t="str">
        <f>TESTYEAR</f>
        <v>FOR THE TWELVE MONTHS ENDED DECEMBER 31, 2020</v>
      </c>
      <c r="CF6" s="275"/>
      <c r="CG6" s="275"/>
      <c r="CH6" s="275"/>
      <c r="CI6" s="293"/>
      <c r="CJ6" s="275" t="str">
        <f>TESTYEAR</f>
        <v>FOR THE TWELVE MONTHS ENDED DECEMBER 31, 2020</v>
      </c>
      <c r="CK6" s="293"/>
      <c r="CL6" s="293"/>
      <c r="CM6" s="293"/>
      <c r="CN6" s="293"/>
      <c r="CO6" s="275" t="str">
        <f>TESTYEAR</f>
        <v>FOR THE TWELVE MONTHS ENDED DECEMBER 31, 2020</v>
      </c>
      <c r="CP6" s="293"/>
      <c r="CQ6" s="293"/>
      <c r="CR6" s="293"/>
      <c r="CS6" s="293"/>
      <c r="CT6" s="275" t="str">
        <f>TESTYEAR</f>
        <v>FOR THE TWELVE MONTHS ENDED DECEMBER 31, 2020</v>
      </c>
      <c r="CU6" s="293"/>
      <c r="CV6" s="293"/>
      <c r="CW6" s="293"/>
      <c r="CX6" s="293"/>
      <c r="CY6" s="275" t="str">
        <f>TESTYEAR</f>
        <v>FOR THE TWELVE MONTHS ENDED DECEMBER 31, 2020</v>
      </c>
      <c r="CZ6" s="275"/>
      <c r="DA6" s="275"/>
      <c r="DB6" s="275"/>
      <c r="DC6" s="275"/>
      <c r="DD6" s="275" t="str">
        <f>TESTYEAR</f>
        <v>FOR THE TWELVE MONTHS ENDED DECEMBER 31, 2020</v>
      </c>
      <c r="DE6" s="279"/>
      <c r="DF6" s="279"/>
      <c r="DG6" s="275"/>
      <c r="DH6" s="275"/>
      <c r="DI6" s="275"/>
      <c r="DJ6" s="275"/>
      <c r="DK6" s="275"/>
      <c r="DL6" s="279"/>
      <c r="DM6" s="279"/>
      <c r="DN6" s="279"/>
      <c r="DO6" s="279"/>
      <c r="DP6" s="279"/>
      <c r="DQ6" s="279"/>
      <c r="DR6" s="275" t="str">
        <f>TESTYEAR</f>
        <v>FOR THE TWELVE MONTHS ENDED DECEMBER 31, 2020</v>
      </c>
      <c r="DS6" s="279"/>
      <c r="DT6" s="279"/>
      <c r="DU6" s="279"/>
      <c r="DV6" s="279"/>
      <c r="DW6" s="279"/>
      <c r="DX6" s="279"/>
      <c r="DY6" s="279"/>
      <c r="DZ6" s="279"/>
      <c r="EA6" s="279"/>
      <c r="EB6" s="279"/>
      <c r="EC6" s="279"/>
      <c r="ED6" s="274" t="s">
        <v>234</v>
      </c>
      <c r="EE6" s="275"/>
      <c r="EF6" s="293"/>
      <c r="EG6" s="282"/>
      <c r="EH6" s="275"/>
      <c r="EI6" s="256"/>
      <c r="EJ6" s="256"/>
      <c r="EK6" s="256"/>
    </row>
    <row r="7" spans="1:141" s="257" customFormat="1" ht="15" customHeight="1">
      <c r="A7" s="274" t="s">
        <v>235</v>
      </c>
      <c r="B7" s="274"/>
      <c r="C7" s="274"/>
      <c r="D7" s="274"/>
      <c r="E7" s="275"/>
      <c r="F7" s="275"/>
      <c r="G7" s="275"/>
      <c r="H7" s="274" t="s">
        <v>235</v>
      </c>
      <c r="I7" s="275"/>
      <c r="J7" s="275"/>
      <c r="K7" s="275"/>
      <c r="L7" s="275"/>
      <c r="M7" s="275" t="str">
        <f>DOCKET</f>
        <v>COMMISSION BASIS REPORT</v>
      </c>
      <c r="N7" s="274"/>
      <c r="O7" s="278"/>
      <c r="P7" s="274" t="str">
        <f>DOCKET</f>
        <v>COMMISSION BASIS REPORT</v>
      </c>
      <c r="Q7" s="275"/>
      <c r="R7" s="275"/>
      <c r="S7" s="293"/>
      <c r="T7" s="274" t="str">
        <f>DOCKET</f>
        <v>COMMISSION BASIS REPORT</v>
      </c>
      <c r="U7" s="275"/>
      <c r="V7" s="274"/>
      <c r="W7" s="274"/>
      <c r="X7" s="274"/>
      <c r="Y7" s="275" t="str">
        <f>DOCKET</f>
        <v>COMMISSION BASIS REPORT</v>
      </c>
      <c r="Z7" s="274"/>
      <c r="AA7" s="275"/>
      <c r="AB7" s="275"/>
      <c r="AC7" s="275" t="str">
        <f>DOCKET</f>
        <v>COMMISSION BASIS REPORT</v>
      </c>
      <c r="AD7" s="275"/>
      <c r="AE7" s="275"/>
      <c r="AF7" s="275"/>
      <c r="AG7" s="275"/>
      <c r="AH7" s="275"/>
      <c r="AI7" s="275"/>
      <c r="AJ7" s="293"/>
      <c r="AK7" s="293"/>
      <c r="AL7" s="275" t="str">
        <f>DOCKET</f>
        <v>COMMISSION BASIS REPORT</v>
      </c>
      <c r="AM7" s="279"/>
      <c r="AN7" s="280"/>
      <c r="AO7" s="275"/>
      <c r="AP7" s="275"/>
      <c r="AQ7" s="294" t="str">
        <f>DOCKET</f>
        <v>COMMISSION BASIS REPORT</v>
      </c>
      <c r="AR7" s="294"/>
      <c r="AS7" s="294"/>
      <c r="AT7" s="294"/>
      <c r="AU7" s="274" t="str">
        <f>DOCKET</f>
        <v>COMMISSION BASIS REPORT</v>
      </c>
      <c r="AV7" s="275"/>
      <c r="AW7" s="275"/>
      <c r="AX7" s="274"/>
      <c r="AY7" s="293"/>
      <c r="AZ7" s="274" t="str">
        <f>DOCKET</f>
        <v>COMMISSION BASIS REPORT</v>
      </c>
      <c r="BA7" s="275"/>
      <c r="BB7" s="275"/>
      <c r="BC7" s="275"/>
      <c r="BD7" s="275" t="str">
        <f>DOCKET</f>
        <v>COMMISSION BASIS REPORT</v>
      </c>
      <c r="BE7" s="279"/>
      <c r="BF7" s="280"/>
      <c r="BG7" s="275"/>
      <c r="BH7" s="275"/>
      <c r="BI7" s="275" t="str">
        <f>DOCKET</f>
        <v>COMMISSION BASIS REPORT</v>
      </c>
      <c r="BJ7" s="279"/>
      <c r="BK7" s="280"/>
      <c r="BL7" s="275"/>
      <c r="BM7" s="275"/>
      <c r="BN7" s="275" t="str">
        <f>DOCKET</f>
        <v>COMMISSION BASIS REPORT</v>
      </c>
      <c r="BO7" s="275"/>
      <c r="BP7" s="275"/>
      <c r="BQ7" s="275"/>
      <c r="BR7" s="275"/>
      <c r="BS7" s="275" t="str">
        <f>DOCKET</f>
        <v>COMMISSION BASIS REPORT</v>
      </c>
      <c r="BT7" s="275"/>
      <c r="BU7" s="275"/>
      <c r="BV7" s="275"/>
      <c r="BW7" s="275"/>
      <c r="BX7" s="275"/>
      <c r="BY7" s="275"/>
      <c r="BZ7" s="274" t="str">
        <f>DOCKET</f>
        <v>COMMISSION BASIS REPORT</v>
      </c>
      <c r="CA7" s="274"/>
      <c r="CB7" s="274"/>
      <c r="CC7" s="274"/>
      <c r="CD7" s="274"/>
      <c r="CE7" s="275" t="str">
        <f>DOCKET</f>
        <v>COMMISSION BASIS REPORT</v>
      </c>
      <c r="CF7" s="275"/>
      <c r="CG7" s="275"/>
      <c r="CH7" s="275"/>
      <c r="CI7" s="275"/>
      <c r="CJ7" s="275" t="str">
        <f>DOCKET</f>
        <v>COMMISSION BASIS REPORT</v>
      </c>
      <c r="CK7" s="275"/>
      <c r="CL7" s="275"/>
      <c r="CM7" s="275"/>
      <c r="CN7" s="275"/>
      <c r="CO7" s="275" t="str">
        <f>DOCKET</f>
        <v>COMMISSION BASIS REPORT</v>
      </c>
      <c r="CP7" s="275"/>
      <c r="CQ7" s="275"/>
      <c r="CR7" s="275"/>
      <c r="CS7" s="275"/>
      <c r="CT7" s="275" t="str">
        <f>DOCKET</f>
        <v>COMMISSION BASIS REPORT</v>
      </c>
      <c r="CU7" s="275"/>
      <c r="CV7" s="275"/>
      <c r="CW7" s="275"/>
      <c r="CX7" s="275"/>
      <c r="CY7" s="274" t="str">
        <f>DOCKET</f>
        <v>COMMISSION BASIS REPORT</v>
      </c>
      <c r="CZ7" s="275"/>
      <c r="DA7" s="275"/>
      <c r="DB7" s="275"/>
      <c r="DC7" s="275"/>
      <c r="DD7" s="275" t="str">
        <f>DOCKET</f>
        <v>COMMISSION BASIS REPORT</v>
      </c>
      <c r="DE7" s="279"/>
      <c r="DF7" s="279"/>
      <c r="DG7" s="275"/>
      <c r="DH7" s="275"/>
      <c r="DI7" s="275"/>
      <c r="DJ7" s="275"/>
      <c r="DK7" s="275"/>
      <c r="DL7" s="279"/>
      <c r="DM7" s="279"/>
      <c r="DN7" s="279"/>
      <c r="DO7" s="279"/>
      <c r="DP7" s="279"/>
      <c r="DQ7" s="279"/>
      <c r="DR7" s="275" t="str">
        <f>DOCKET</f>
        <v>COMMISSION BASIS REPORT</v>
      </c>
      <c r="DS7" s="279"/>
      <c r="DT7" s="279"/>
      <c r="DU7" s="279"/>
      <c r="DV7" s="279"/>
      <c r="DW7" s="279"/>
      <c r="DX7" s="279"/>
      <c r="DY7" s="279"/>
      <c r="DZ7" s="279"/>
      <c r="EA7" s="279"/>
      <c r="EB7" s="279"/>
      <c r="EC7" s="279"/>
      <c r="ED7" s="275" t="str">
        <f>TESTYEAR</f>
        <v>FOR THE TWELVE MONTHS ENDED DECEMBER 31, 2020</v>
      </c>
      <c r="EE7" s="275"/>
      <c r="EF7" s="275"/>
      <c r="EG7" s="282"/>
      <c r="EH7" s="275"/>
      <c r="EI7" s="256"/>
      <c r="EJ7" s="256"/>
      <c r="EK7" s="256"/>
    </row>
    <row r="8" spans="1:141" s="257" customFormat="1" ht="15" customHeight="1">
      <c r="F8" s="295"/>
      <c r="N8" s="296"/>
      <c r="O8" s="297"/>
      <c r="Q8" s="296"/>
      <c r="R8" s="298"/>
      <c r="S8" s="298"/>
      <c r="V8" s="296"/>
      <c r="W8" s="296"/>
      <c r="X8" s="296"/>
      <c r="AE8" s="299"/>
      <c r="AF8" s="299"/>
      <c r="AG8" s="299"/>
      <c r="AH8" s="299" t="s">
        <v>236</v>
      </c>
      <c r="AI8" s="299"/>
      <c r="AJ8" s="299"/>
      <c r="AK8" s="299" t="s">
        <v>237</v>
      </c>
      <c r="AL8" s="300"/>
      <c r="AN8" s="265"/>
      <c r="AP8" s="301"/>
      <c r="AR8" s="296"/>
      <c r="AU8" s="266"/>
      <c r="AV8" s="269"/>
      <c r="AW8" s="269"/>
      <c r="AX8" s="266"/>
      <c r="AY8" s="266"/>
      <c r="BD8" s="300"/>
      <c r="BF8" s="265" t="s">
        <v>203</v>
      </c>
      <c r="BH8" s="301"/>
      <c r="BI8" s="300"/>
      <c r="BK8" s="265"/>
      <c r="BM8" s="301"/>
      <c r="BN8" s="298"/>
      <c r="BO8" s="298"/>
      <c r="BP8" s="298"/>
      <c r="BQ8" s="298"/>
      <c r="BR8" s="298"/>
      <c r="BS8" s="301"/>
      <c r="BT8" s="301"/>
      <c r="BU8" s="301"/>
      <c r="BV8" s="301"/>
      <c r="BW8" s="301"/>
      <c r="BX8" s="301"/>
      <c r="BY8" s="301"/>
      <c r="CC8" s="302"/>
      <c r="CF8" s="296"/>
      <c r="CG8" s="296"/>
      <c r="CJ8" s="303"/>
      <c r="CK8" s="304"/>
      <c r="CL8" s="304"/>
      <c r="CM8" s="304"/>
      <c r="CN8" s="304"/>
      <c r="CO8" s="303"/>
      <c r="CP8" s="304"/>
      <c r="CQ8" s="304"/>
      <c r="CR8" s="304"/>
      <c r="CS8" s="304"/>
      <c r="CT8" s="303"/>
      <c r="CU8" s="304"/>
      <c r="CV8" s="304"/>
      <c r="CW8" s="304"/>
      <c r="CX8" s="304"/>
      <c r="DD8" s="305"/>
      <c r="DG8" s="306"/>
      <c r="DH8" s="306"/>
      <c r="DI8" s="306"/>
      <c r="DJ8" s="306"/>
      <c r="DK8" s="306"/>
      <c r="DL8" s="275"/>
      <c r="DM8" s="275"/>
      <c r="DN8" s="274"/>
      <c r="DO8" s="274"/>
      <c r="DP8" s="274"/>
      <c r="DQ8" s="274"/>
      <c r="DR8" s="274"/>
      <c r="DS8" s="274"/>
      <c r="DT8" s="275"/>
      <c r="DU8" s="275"/>
      <c r="DV8" s="275"/>
      <c r="DW8" s="275"/>
      <c r="DX8" s="275"/>
      <c r="DY8" s="275"/>
      <c r="DZ8" s="275"/>
      <c r="EA8" s="275"/>
      <c r="EB8" s="275"/>
      <c r="EC8" s="274"/>
      <c r="ED8" s="275" t="str">
        <f>DOCKET</f>
        <v>COMMISSION BASIS REPORT</v>
      </c>
      <c r="EE8" s="275"/>
      <c r="EF8" s="275"/>
      <c r="EG8" s="282"/>
      <c r="EH8" s="275"/>
      <c r="EI8" s="256"/>
      <c r="EJ8" s="256"/>
      <c r="EK8" s="256"/>
    </row>
    <row r="9" spans="1:141" s="257" customFormat="1" ht="15" customHeight="1">
      <c r="A9" s="307" t="s">
        <v>238</v>
      </c>
      <c r="B9" s="296"/>
      <c r="C9" s="296"/>
      <c r="D9" s="308"/>
      <c r="G9" s="299"/>
      <c r="H9" s="307" t="s">
        <v>238</v>
      </c>
      <c r="I9" s="299"/>
      <c r="M9" s="307" t="s">
        <v>238</v>
      </c>
      <c r="O9" s="309"/>
      <c r="P9" s="307" t="s">
        <v>238</v>
      </c>
      <c r="S9" s="299" t="s">
        <v>203</v>
      </c>
      <c r="T9" s="299" t="s">
        <v>238</v>
      </c>
      <c r="V9" s="296"/>
      <c r="W9" s="296"/>
      <c r="X9" s="296"/>
      <c r="Y9" s="307" t="s">
        <v>238</v>
      </c>
      <c r="AC9" s="299" t="s">
        <v>238</v>
      </c>
      <c r="AE9" s="299" t="s">
        <v>239</v>
      </c>
      <c r="AF9" s="299" t="s">
        <v>240</v>
      </c>
      <c r="AG9" s="299" t="s">
        <v>241</v>
      </c>
      <c r="AH9" s="299" t="s">
        <v>242</v>
      </c>
      <c r="AI9" s="299" t="s">
        <v>241</v>
      </c>
      <c r="AJ9" s="299" t="s">
        <v>239</v>
      </c>
      <c r="AK9" s="299" t="s">
        <v>243</v>
      </c>
      <c r="AL9" s="300" t="s">
        <v>244</v>
      </c>
      <c r="AN9" s="310"/>
      <c r="AO9" s="311"/>
      <c r="AP9" s="311"/>
      <c r="AQ9" s="299" t="s">
        <v>238</v>
      </c>
      <c r="AU9" s="299" t="s">
        <v>238</v>
      </c>
      <c r="AV9" s="266"/>
      <c r="AW9" s="266"/>
      <c r="AX9" s="266"/>
      <c r="AY9" s="266"/>
      <c r="AZ9" s="307" t="s">
        <v>238</v>
      </c>
      <c r="BA9" s="296"/>
      <c r="BB9" s="296"/>
      <c r="BD9" s="300" t="s">
        <v>244</v>
      </c>
      <c r="BF9" s="265"/>
      <c r="BG9" s="307"/>
      <c r="BH9" s="307"/>
      <c r="BI9" s="307" t="s">
        <v>238</v>
      </c>
      <c r="BK9" s="307"/>
      <c r="BL9" s="307"/>
      <c r="BM9" s="307"/>
      <c r="BN9" s="307" t="s">
        <v>238</v>
      </c>
      <c r="BO9" s="312"/>
      <c r="BP9" s="312"/>
      <c r="BQ9" s="312"/>
      <c r="BR9" s="312"/>
      <c r="BS9" s="299" t="s">
        <v>238</v>
      </c>
      <c r="BZ9" s="299" t="s">
        <v>238</v>
      </c>
      <c r="CA9" s="296"/>
      <c r="CB9" s="307"/>
      <c r="CC9" s="307"/>
      <c r="CD9" s="307" t="s">
        <v>245</v>
      </c>
      <c r="CE9" s="307" t="s">
        <v>238</v>
      </c>
      <c r="CI9" s="299" t="s">
        <v>203</v>
      </c>
      <c r="CJ9" s="299" t="s">
        <v>238</v>
      </c>
      <c r="CK9" s="296"/>
      <c r="CO9" s="299" t="s">
        <v>238</v>
      </c>
      <c r="CP9" s="296"/>
      <c r="CT9" s="299" t="s">
        <v>238</v>
      </c>
      <c r="CU9" s="296"/>
      <c r="CY9" s="299" t="s">
        <v>238</v>
      </c>
      <c r="DD9" s="313"/>
      <c r="DF9" s="314" t="s">
        <v>246</v>
      </c>
      <c r="DG9" s="314"/>
      <c r="DH9" s="314"/>
      <c r="DI9" s="314"/>
      <c r="DJ9" s="314"/>
      <c r="DK9" s="314"/>
      <c r="DL9" s="314"/>
      <c r="DM9" s="314"/>
      <c r="DN9" s="314"/>
      <c r="DO9" s="314"/>
      <c r="DP9" s="314"/>
      <c r="DQ9" s="314"/>
      <c r="DR9" s="314"/>
      <c r="DS9" s="314"/>
      <c r="DT9" s="315"/>
      <c r="DU9" s="315"/>
      <c r="DV9" s="315"/>
      <c r="DW9" s="315"/>
      <c r="DX9" s="315"/>
      <c r="DY9" s="315"/>
      <c r="DZ9" s="315"/>
      <c r="EA9" s="315"/>
      <c r="EB9" s="315"/>
      <c r="EC9" s="314"/>
      <c r="EH9" s="299"/>
      <c r="EI9" s="256"/>
      <c r="EJ9" s="256"/>
      <c r="EK9" s="256"/>
    </row>
    <row r="10" spans="1:141" s="257" customFormat="1" ht="15" customHeight="1">
      <c r="A10" s="316" t="s">
        <v>247</v>
      </c>
      <c r="B10" s="317" t="s">
        <v>248</v>
      </c>
      <c r="C10" s="317"/>
      <c r="D10" s="317"/>
      <c r="E10" s="317"/>
      <c r="F10" s="317"/>
      <c r="G10" s="318"/>
      <c r="H10" s="316" t="s">
        <v>247</v>
      </c>
      <c r="I10" s="317" t="s">
        <v>248</v>
      </c>
      <c r="J10" s="317"/>
      <c r="K10" s="318" t="s">
        <v>249</v>
      </c>
      <c r="L10" s="318" t="s">
        <v>250</v>
      </c>
      <c r="M10" s="316" t="s">
        <v>247</v>
      </c>
      <c r="N10" s="319" t="s">
        <v>248</v>
      </c>
      <c r="O10" s="320" t="s">
        <v>249</v>
      </c>
      <c r="P10" s="316" t="s">
        <v>247</v>
      </c>
      <c r="Q10" s="319" t="s">
        <v>248</v>
      </c>
      <c r="R10" s="318"/>
      <c r="S10" s="318" t="s">
        <v>249</v>
      </c>
      <c r="T10" s="318" t="s">
        <v>247</v>
      </c>
      <c r="U10" s="319" t="s">
        <v>248</v>
      </c>
      <c r="V10" s="318"/>
      <c r="W10" s="318" t="s">
        <v>249</v>
      </c>
      <c r="X10" s="318" t="s">
        <v>250</v>
      </c>
      <c r="Y10" s="318" t="s">
        <v>247</v>
      </c>
      <c r="Z10" s="321" t="s">
        <v>248</v>
      </c>
      <c r="AA10" s="319"/>
      <c r="AB10" s="322" t="s">
        <v>249</v>
      </c>
      <c r="AC10" s="318" t="s">
        <v>247</v>
      </c>
      <c r="AD10" s="318" t="s">
        <v>251</v>
      </c>
      <c r="AE10" s="318" t="s">
        <v>252</v>
      </c>
      <c r="AF10" s="318" t="s">
        <v>253</v>
      </c>
      <c r="AG10" s="318" t="s">
        <v>254</v>
      </c>
      <c r="AH10" s="318" t="s">
        <v>255</v>
      </c>
      <c r="AI10" s="318" t="s">
        <v>256</v>
      </c>
      <c r="AJ10" s="318" t="s">
        <v>253</v>
      </c>
      <c r="AK10" s="318" t="s">
        <v>257</v>
      </c>
      <c r="AL10" s="323" t="s">
        <v>247</v>
      </c>
      <c r="AM10" s="319" t="s">
        <v>248</v>
      </c>
      <c r="AN10" s="324" t="s">
        <v>258</v>
      </c>
      <c r="AO10" s="325" t="s">
        <v>259</v>
      </c>
      <c r="AP10" s="316" t="s">
        <v>250</v>
      </c>
      <c r="AQ10" s="318" t="s">
        <v>247</v>
      </c>
      <c r="AR10" s="319" t="s">
        <v>248</v>
      </c>
      <c r="AS10" s="317"/>
      <c r="AT10" s="318" t="s">
        <v>249</v>
      </c>
      <c r="AU10" s="318" t="s">
        <v>247</v>
      </c>
      <c r="AV10" s="321" t="s">
        <v>248</v>
      </c>
      <c r="AW10" s="318" t="s">
        <v>260</v>
      </c>
      <c r="AX10" s="318" t="s">
        <v>259</v>
      </c>
      <c r="AY10" s="326" t="s">
        <v>250</v>
      </c>
      <c r="AZ10" s="316" t="s">
        <v>247</v>
      </c>
      <c r="BA10" s="321" t="s">
        <v>248</v>
      </c>
      <c r="BB10" s="318"/>
      <c r="BC10" s="322" t="s">
        <v>249</v>
      </c>
      <c r="BD10" s="323" t="s">
        <v>247</v>
      </c>
      <c r="BE10" s="319" t="s">
        <v>248</v>
      </c>
      <c r="BF10" s="324" t="s">
        <v>258</v>
      </c>
      <c r="BG10" s="325" t="s">
        <v>259</v>
      </c>
      <c r="BH10" s="316" t="s">
        <v>250</v>
      </c>
      <c r="BI10" s="318" t="s">
        <v>247</v>
      </c>
      <c r="BJ10" s="317" t="s">
        <v>248</v>
      </c>
      <c r="BK10" s="316" t="s">
        <v>258</v>
      </c>
      <c r="BL10" s="316" t="s">
        <v>259</v>
      </c>
      <c r="BM10" s="316" t="s">
        <v>250</v>
      </c>
      <c r="BN10" s="316" t="s">
        <v>247</v>
      </c>
      <c r="BO10" s="327"/>
      <c r="BP10" s="318" t="s">
        <v>258</v>
      </c>
      <c r="BQ10" s="318" t="s">
        <v>259</v>
      </c>
      <c r="BR10" s="316" t="s">
        <v>250</v>
      </c>
      <c r="BS10" s="318" t="s">
        <v>247</v>
      </c>
      <c r="BT10" s="317" t="s">
        <v>248</v>
      </c>
      <c r="BU10" s="316" t="s">
        <v>261</v>
      </c>
      <c r="BV10" s="316" t="s">
        <v>262</v>
      </c>
      <c r="BW10" s="316" t="s">
        <v>263</v>
      </c>
      <c r="BX10" s="316" t="s">
        <v>264</v>
      </c>
      <c r="BY10" s="316" t="s">
        <v>15</v>
      </c>
      <c r="BZ10" s="318" t="s">
        <v>247</v>
      </c>
      <c r="CA10" s="317" t="s">
        <v>248</v>
      </c>
      <c r="CB10" s="316" t="s">
        <v>258</v>
      </c>
      <c r="CC10" s="316" t="s">
        <v>259</v>
      </c>
      <c r="CD10" s="316" t="s">
        <v>265</v>
      </c>
      <c r="CE10" s="316" t="s">
        <v>247</v>
      </c>
      <c r="CF10" s="319" t="s">
        <v>248</v>
      </c>
      <c r="CG10" s="318"/>
      <c r="CH10" s="318"/>
      <c r="CI10" s="318" t="s">
        <v>249</v>
      </c>
      <c r="CJ10" s="318" t="s">
        <v>247</v>
      </c>
      <c r="CK10" s="317" t="s">
        <v>248</v>
      </c>
      <c r="CL10" s="324" t="s">
        <v>258</v>
      </c>
      <c r="CM10" s="325" t="s">
        <v>259</v>
      </c>
      <c r="CN10" s="316" t="s">
        <v>250</v>
      </c>
      <c r="CO10" s="318" t="s">
        <v>247</v>
      </c>
      <c r="CP10" s="317" t="s">
        <v>248</v>
      </c>
      <c r="CQ10" s="324" t="s">
        <v>258</v>
      </c>
      <c r="CR10" s="325" t="s">
        <v>259</v>
      </c>
      <c r="CS10" s="316" t="s">
        <v>250</v>
      </c>
      <c r="CT10" s="318" t="s">
        <v>247</v>
      </c>
      <c r="CU10" s="317" t="s">
        <v>248</v>
      </c>
      <c r="CV10" s="324" t="s">
        <v>258</v>
      </c>
      <c r="CW10" s="325" t="s">
        <v>259</v>
      </c>
      <c r="CX10" s="316" t="s">
        <v>250</v>
      </c>
      <c r="CY10" s="318" t="s">
        <v>247</v>
      </c>
      <c r="CZ10" s="319" t="s">
        <v>248</v>
      </c>
      <c r="DA10" s="317"/>
      <c r="DB10" s="317"/>
      <c r="DC10" s="322" t="s">
        <v>266</v>
      </c>
      <c r="DD10" s="313"/>
      <c r="DF10" s="328" t="s">
        <v>267</v>
      </c>
      <c r="DG10" s="299" t="s">
        <v>268</v>
      </c>
      <c r="DH10" s="299" t="s">
        <v>255</v>
      </c>
      <c r="DI10" s="299" t="s">
        <v>269</v>
      </c>
      <c r="DJ10" s="299" t="s">
        <v>270</v>
      </c>
      <c r="DK10" s="299" t="s">
        <v>271</v>
      </c>
      <c r="DL10" s="299" t="s">
        <v>272</v>
      </c>
      <c r="DM10" s="307" t="s">
        <v>273</v>
      </c>
      <c r="DN10" s="299" t="s">
        <v>274</v>
      </c>
      <c r="DO10" s="299" t="s">
        <v>275</v>
      </c>
      <c r="DP10" s="299" t="s">
        <v>276</v>
      </c>
      <c r="DQ10" s="299" t="s">
        <v>277</v>
      </c>
      <c r="DR10" s="299"/>
      <c r="DS10" s="299"/>
      <c r="DT10" s="299" t="s">
        <v>278</v>
      </c>
      <c r="DU10" s="299" t="s">
        <v>279</v>
      </c>
      <c r="DV10" s="299" t="s">
        <v>224</v>
      </c>
      <c r="DW10" s="299" t="s">
        <v>280</v>
      </c>
      <c r="DX10" s="299" t="s">
        <v>281</v>
      </c>
      <c r="DY10" s="299" t="s">
        <v>282</v>
      </c>
      <c r="DZ10" s="299" t="s">
        <v>283</v>
      </c>
      <c r="EA10" s="299" t="s">
        <v>284</v>
      </c>
      <c r="EB10" s="299" t="s">
        <v>285</v>
      </c>
      <c r="EC10" s="299" t="s">
        <v>286</v>
      </c>
      <c r="EF10" s="299" t="s">
        <v>258</v>
      </c>
      <c r="EG10" s="299"/>
      <c r="EH10" s="299" t="s">
        <v>259</v>
      </c>
      <c r="EI10" s="256"/>
      <c r="EJ10" s="574" t="s">
        <v>538</v>
      </c>
      <c r="EK10" s="573" t="s">
        <v>537</v>
      </c>
    </row>
    <row r="11" spans="1:141" ht="15" customHeight="1">
      <c r="A11" s="329">
        <v>1</v>
      </c>
      <c r="B11" s="330" t="s">
        <v>287</v>
      </c>
      <c r="C11" s="331"/>
      <c r="D11" s="331"/>
      <c r="F11" s="332"/>
      <c r="H11" s="329">
        <v>1</v>
      </c>
      <c r="I11" s="257" t="s">
        <v>288</v>
      </c>
      <c r="O11" s="259"/>
      <c r="P11" s="329"/>
      <c r="Q11" s="333" t="s">
        <v>203</v>
      </c>
      <c r="R11" s="334" t="s">
        <v>203</v>
      </c>
      <c r="S11" s="335"/>
      <c r="T11" s="336"/>
      <c r="U11" s="336"/>
      <c r="V11" s="336"/>
      <c r="W11" s="336"/>
      <c r="X11" s="336"/>
      <c r="AE11" s="337" t="s">
        <v>289</v>
      </c>
      <c r="AF11" s="337" t="s">
        <v>290</v>
      </c>
      <c r="AG11" s="337" t="s">
        <v>290</v>
      </c>
      <c r="AH11" s="337" t="s">
        <v>290</v>
      </c>
      <c r="AI11" s="337" t="s">
        <v>290</v>
      </c>
      <c r="AJ11" s="337" t="s">
        <v>290</v>
      </c>
      <c r="AM11" s="338"/>
      <c r="AN11" s="339"/>
      <c r="AQ11" s="111"/>
      <c r="AR11" s="111"/>
      <c r="AS11" s="111"/>
      <c r="AT11" s="111"/>
      <c r="AU11" s="331"/>
      <c r="AV11" s="331"/>
      <c r="AW11" s="331"/>
      <c r="AX11" s="331"/>
      <c r="AY11" s="331"/>
      <c r="BE11" s="338"/>
      <c r="BF11" s="339"/>
      <c r="BI11" s="298"/>
      <c r="BJ11" s="340"/>
      <c r="BK11" s="341"/>
      <c r="BL11" s="341"/>
      <c r="BM11" s="342"/>
      <c r="BN11" s="329"/>
      <c r="BO11" s="335"/>
      <c r="BP11" s="335"/>
      <c r="BQ11" s="343"/>
      <c r="BR11" s="343"/>
      <c r="BZ11" s="344"/>
      <c r="CA11" s="345"/>
      <c r="CB11" s="345"/>
      <c r="CC11" s="345"/>
      <c r="CD11" s="345"/>
      <c r="CE11" s="329"/>
      <c r="CF11" s="346"/>
      <c r="CG11" s="347"/>
      <c r="CH11" s="336"/>
      <c r="CI11" s="336"/>
      <c r="DC11" s="329"/>
      <c r="DD11" s="348" t="s">
        <v>238</v>
      </c>
      <c r="DE11" s="257"/>
      <c r="DF11" s="328" t="s">
        <v>291</v>
      </c>
      <c r="DG11" s="299" t="s">
        <v>292</v>
      </c>
      <c r="DH11" s="299" t="s">
        <v>293</v>
      </c>
      <c r="DI11" s="349" t="s">
        <v>294</v>
      </c>
      <c r="DJ11" s="349" t="s">
        <v>295</v>
      </c>
      <c r="DK11" s="299" t="s">
        <v>296</v>
      </c>
      <c r="DL11" s="299" t="s">
        <v>297</v>
      </c>
      <c r="DM11" s="307" t="s">
        <v>298</v>
      </c>
      <c r="DN11" s="299" t="s">
        <v>299</v>
      </c>
      <c r="DO11" s="349" t="s">
        <v>300</v>
      </c>
      <c r="DP11" s="299" t="s">
        <v>301</v>
      </c>
      <c r="DQ11" s="349" t="s">
        <v>302</v>
      </c>
      <c r="DR11" s="348" t="s">
        <v>238</v>
      </c>
      <c r="DS11" s="257"/>
      <c r="DT11" s="299" t="s">
        <v>303</v>
      </c>
      <c r="DU11" s="299" t="s">
        <v>304</v>
      </c>
      <c r="DV11" s="257"/>
      <c r="DW11" s="299" t="s">
        <v>292</v>
      </c>
      <c r="DX11" s="299" t="s">
        <v>305</v>
      </c>
      <c r="DY11" s="349" t="s">
        <v>306</v>
      </c>
      <c r="DZ11" s="299" t="s">
        <v>307</v>
      </c>
      <c r="EA11" s="299" t="s">
        <v>308</v>
      </c>
      <c r="EB11" s="299" t="s">
        <v>309</v>
      </c>
      <c r="EC11" s="298" t="s">
        <v>310</v>
      </c>
      <c r="ED11" s="299" t="s">
        <v>238</v>
      </c>
      <c r="EE11" s="257"/>
      <c r="EF11" s="299" t="s">
        <v>311</v>
      </c>
      <c r="EG11" s="299" t="s">
        <v>286</v>
      </c>
      <c r="EH11" s="299" t="s">
        <v>311</v>
      </c>
    </row>
    <row r="12" spans="1:141" ht="15" customHeight="1">
      <c r="A12" s="350">
        <f t="shared" ref="A12:A49" si="0">+A11+1</f>
        <v>2</v>
      </c>
      <c r="C12" s="351" t="s">
        <v>258</v>
      </c>
      <c r="D12" s="336" t="s">
        <v>312</v>
      </c>
      <c r="E12" s="352" t="s">
        <v>313</v>
      </c>
      <c r="F12" s="256"/>
      <c r="H12" s="350">
        <f>H11+1</f>
        <v>2</v>
      </c>
      <c r="I12" s="353" t="s">
        <v>314</v>
      </c>
      <c r="K12" s="354">
        <v>103.47</v>
      </c>
      <c r="L12" s="355"/>
      <c r="M12" s="329">
        <v>1</v>
      </c>
      <c r="N12" s="356" t="s">
        <v>315</v>
      </c>
      <c r="O12" s="357">
        <v>381269820.87759453</v>
      </c>
      <c r="P12" s="329">
        <v>1</v>
      </c>
      <c r="Q12" s="333" t="s">
        <v>316</v>
      </c>
      <c r="R12" s="357">
        <f>EH49</f>
        <v>5331787745.8759298</v>
      </c>
      <c r="S12" s="335" t="s">
        <v>203</v>
      </c>
      <c r="T12" s="329">
        <v>1</v>
      </c>
      <c r="U12" s="358" t="s">
        <v>317</v>
      </c>
      <c r="V12" s="254"/>
      <c r="W12" s="254"/>
      <c r="X12" s="254"/>
      <c r="Y12" s="329">
        <v>1</v>
      </c>
      <c r="Z12" s="331" t="s">
        <v>318</v>
      </c>
      <c r="AA12" s="359"/>
      <c r="AB12" s="360"/>
      <c r="AC12" s="329">
        <v>1</v>
      </c>
      <c r="AD12" s="361" t="s">
        <v>319</v>
      </c>
      <c r="AE12" s="362">
        <v>17232326.259999998</v>
      </c>
      <c r="AF12" s="362">
        <v>2221903290.54</v>
      </c>
      <c r="AG12" s="362">
        <v>54786786.670000002</v>
      </c>
      <c r="AH12" s="362">
        <v>16912199.489999998</v>
      </c>
      <c r="AI12" s="362">
        <v>324713.43</v>
      </c>
      <c r="AJ12" s="362">
        <f>AF12-AG12-AH12-AI12</f>
        <v>2149879590.9500003</v>
      </c>
      <c r="AK12" s="363">
        <f>ROUND(AE12/AJ12,6)</f>
        <v>8.0149999999999996E-3</v>
      </c>
      <c r="AL12" s="329">
        <v>1</v>
      </c>
      <c r="AM12" s="364" t="s">
        <v>320</v>
      </c>
      <c r="AN12" s="355">
        <v>4516702.6374964612</v>
      </c>
      <c r="AO12" s="355">
        <v>7606361.617096616</v>
      </c>
      <c r="AP12" s="355">
        <f>AO12-AN12</f>
        <v>3089658.9796001548</v>
      </c>
      <c r="AQ12" s="329">
        <v>1</v>
      </c>
      <c r="AR12" s="296" t="s">
        <v>321</v>
      </c>
      <c r="AS12" s="365"/>
      <c r="AT12" s="357">
        <v>82730877.668375</v>
      </c>
      <c r="AU12" s="329">
        <v>1</v>
      </c>
      <c r="AV12" s="331" t="s">
        <v>322</v>
      </c>
      <c r="AW12" s="366">
        <v>84803.274004035367</v>
      </c>
      <c r="AX12" s="366">
        <v>65904.435979721209</v>
      </c>
      <c r="AY12" s="366">
        <f>+AX12-AW12</f>
        <v>-18898.838024314158</v>
      </c>
      <c r="AZ12" s="350" t="s">
        <v>323</v>
      </c>
      <c r="BA12" s="346" t="s">
        <v>324</v>
      </c>
      <c r="BB12" s="346"/>
      <c r="BC12" s="367">
        <v>316905.9521234514</v>
      </c>
      <c r="BD12" s="368">
        <v>1</v>
      </c>
      <c r="BE12" s="331" t="s">
        <v>325</v>
      </c>
      <c r="BF12" s="369">
        <v>5948795.8488943176</v>
      </c>
      <c r="BG12" s="369">
        <v>6266629.8120546425</v>
      </c>
      <c r="BH12" s="355">
        <f>BG12-BF12</f>
        <v>317833.96316032484</v>
      </c>
      <c r="BI12" s="329">
        <v>1</v>
      </c>
      <c r="BJ12" s="355" t="s">
        <v>326</v>
      </c>
      <c r="BK12" s="355">
        <v>-992091.64</v>
      </c>
      <c r="BL12" s="355">
        <v>607386.12</v>
      </c>
      <c r="BM12" s="355">
        <v>1599477.76</v>
      </c>
      <c r="BN12" s="329">
        <v>1</v>
      </c>
      <c r="BO12" s="370" t="s">
        <v>327</v>
      </c>
      <c r="BP12" s="357">
        <f>DF41</f>
        <v>0</v>
      </c>
      <c r="BQ12" s="357">
        <v>0</v>
      </c>
      <c r="BR12" s="357">
        <f>BQ12-BP12</f>
        <v>0</v>
      </c>
      <c r="BS12" s="329">
        <v>1</v>
      </c>
      <c r="BT12" s="371" t="s">
        <v>328</v>
      </c>
      <c r="BZ12" s="329">
        <v>1</v>
      </c>
      <c r="CA12" s="372" t="s">
        <v>329</v>
      </c>
      <c r="CB12" s="373"/>
      <c r="CC12" s="355"/>
      <c r="CD12" s="355"/>
      <c r="CE12" s="329">
        <f t="shared" ref="CE12:CE25" si="1">CE11+1</f>
        <v>1</v>
      </c>
      <c r="CF12" s="374" t="s">
        <v>330</v>
      </c>
      <c r="CG12" s="335"/>
      <c r="CH12" s="335"/>
      <c r="CI12" s="335">
        <v>2102338000</v>
      </c>
      <c r="CJ12" s="329">
        <v>1</v>
      </c>
      <c r="CK12" s="358" t="s">
        <v>331</v>
      </c>
      <c r="CL12" s="355"/>
      <c r="CM12" s="355"/>
      <c r="CN12" s="355"/>
      <c r="CO12" s="329">
        <v>1</v>
      </c>
      <c r="CP12" s="358"/>
      <c r="CQ12" s="355"/>
      <c r="CR12" s="355"/>
      <c r="CS12" s="355"/>
      <c r="CT12" s="329">
        <v>1</v>
      </c>
      <c r="CU12" s="358"/>
      <c r="CV12" s="355"/>
      <c r="CW12" s="355"/>
      <c r="CX12" s="355"/>
      <c r="CY12" s="329">
        <v>1</v>
      </c>
      <c r="CZ12" s="331" t="s">
        <v>217</v>
      </c>
      <c r="DC12" s="375">
        <v>7.4689999999999999E-3</v>
      </c>
      <c r="DD12" s="348" t="s">
        <v>247</v>
      </c>
      <c r="DE12" s="257"/>
      <c r="DF12" s="328" t="s">
        <v>332</v>
      </c>
      <c r="DG12" s="376">
        <v>3.01</v>
      </c>
      <c r="DH12" s="376">
        <f t="shared" ref="DH12:DQ12" si="2">DG12+0.01</f>
        <v>3.0199999999999996</v>
      </c>
      <c r="DI12" s="376">
        <f t="shared" si="2"/>
        <v>3.0299999999999994</v>
      </c>
      <c r="DJ12" s="376">
        <f t="shared" si="2"/>
        <v>3.0399999999999991</v>
      </c>
      <c r="DK12" s="376">
        <f t="shared" si="2"/>
        <v>3.0499999999999989</v>
      </c>
      <c r="DL12" s="376">
        <f t="shared" si="2"/>
        <v>3.0599999999999987</v>
      </c>
      <c r="DM12" s="376">
        <f t="shared" si="2"/>
        <v>3.0699999999999985</v>
      </c>
      <c r="DN12" s="376">
        <f t="shared" si="2"/>
        <v>3.0799999999999983</v>
      </c>
      <c r="DO12" s="376">
        <f t="shared" si="2"/>
        <v>3.0899999999999981</v>
      </c>
      <c r="DP12" s="376">
        <f t="shared" si="2"/>
        <v>3.0999999999999979</v>
      </c>
      <c r="DQ12" s="376">
        <f t="shared" si="2"/>
        <v>3.1099999999999977</v>
      </c>
      <c r="DR12" s="348" t="s">
        <v>247</v>
      </c>
      <c r="DS12" s="257"/>
      <c r="DT12" s="376">
        <f>+DQ12+0.01</f>
        <v>3.1199999999999974</v>
      </c>
      <c r="DU12" s="376">
        <f>DT12+0.01</f>
        <v>3.1299999999999972</v>
      </c>
      <c r="DV12" s="376">
        <f>+DU12+0.01</f>
        <v>3.139999999999997</v>
      </c>
      <c r="DW12" s="376">
        <f>+DV12+0.01</f>
        <v>3.1499999999999968</v>
      </c>
      <c r="DX12" s="376">
        <f t="shared" ref="DX12:EB12" si="3">+DW12+0.01</f>
        <v>3.1599999999999966</v>
      </c>
      <c r="DY12" s="376">
        <f t="shared" si="3"/>
        <v>3.1699999999999964</v>
      </c>
      <c r="DZ12" s="376">
        <f t="shared" si="3"/>
        <v>3.1799999999999962</v>
      </c>
      <c r="EA12" s="376">
        <f t="shared" si="3"/>
        <v>3.1899999999999959</v>
      </c>
      <c r="EB12" s="376">
        <f t="shared" si="3"/>
        <v>3.1999999999999957</v>
      </c>
      <c r="EC12" s="298"/>
      <c r="ED12" s="318" t="s">
        <v>247</v>
      </c>
      <c r="EE12" s="377"/>
      <c r="EF12" s="318" t="s">
        <v>333</v>
      </c>
      <c r="EG12" s="318" t="s">
        <v>310</v>
      </c>
      <c r="EH12" s="318" t="s">
        <v>333</v>
      </c>
    </row>
    <row r="13" spans="1:141" ht="15" customHeight="1">
      <c r="A13" s="350">
        <f t="shared" si="0"/>
        <v>3</v>
      </c>
      <c r="C13" s="378" t="s">
        <v>334</v>
      </c>
      <c r="D13" s="379" t="s">
        <v>334</v>
      </c>
      <c r="E13" s="380" t="s">
        <v>335</v>
      </c>
      <c r="F13" s="256"/>
      <c r="H13" s="350">
        <f t="shared" ref="H13:H15" si="4">+H12+1</f>
        <v>3</v>
      </c>
      <c r="I13" s="353" t="s">
        <v>336</v>
      </c>
      <c r="K13" s="354"/>
      <c r="M13" s="329">
        <f t="shared" ref="M13:M29" si="5">M12+1</f>
        <v>2</v>
      </c>
      <c r="N13" s="331"/>
      <c r="O13" s="381"/>
      <c r="P13" s="329">
        <f t="shared" ref="P13:P24" si="6">P12+1</f>
        <v>2</v>
      </c>
      <c r="Q13" s="333"/>
      <c r="R13" s="382" t="s">
        <v>203</v>
      </c>
      <c r="S13" s="383" t="s">
        <v>203</v>
      </c>
      <c r="T13" s="329">
        <v>2</v>
      </c>
      <c r="U13" s="384" t="s">
        <v>337</v>
      </c>
      <c r="V13" s="254"/>
      <c r="W13" s="369"/>
      <c r="X13" s="369">
        <v>86458984.569999993</v>
      </c>
      <c r="Y13" s="329">
        <v>2</v>
      </c>
      <c r="Z13" s="331"/>
      <c r="AA13" s="359"/>
      <c r="AB13" s="360"/>
      <c r="AC13" s="329">
        <f t="shared" ref="AC13:AC29" si="7">AC12+1</f>
        <v>2</v>
      </c>
      <c r="AD13" s="361" t="s">
        <v>338</v>
      </c>
      <c r="AE13" s="385">
        <v>18726588.579999998</v>
      </c>
      <c r="AF13" s="385">
        <v>2331385777.1099997</v>
      </c>
      <c r="AG13" s="385">
        <v>50098528.460000001</v>
      </c>
      <c r="AH13" s="385">
        <v>43765106.579999998</v>
      </c>
      <c r="AI13" s="385">
        <v>352068.21</v>
      </c>
      <c r="AJ13" s="385">
        <f>AF13-AG13-AH13-AI13</f>
        <v>2237170073.8599997</v>
      </c>
      <c r="AK13" s="363">
        <f>ROUND(AE13/AJ13,6)</f>
        <v>8.371E-3</v>
      </c>
      <c r="AL13" s="329">
        <f t="shared" ref="AL13:AL20" si="8">AL12+1</f>
        <v>2</v>
      </c>
      <c r="AM13" s="386"/>
      <c r="AN13" s="387"/>
      <c r="AO13" s="387"/>
      <c r="AP13" s="387"/>
      <c r="AQ13" s="329">
        <v>2</v>
      </c>
      <c r="AR13" s="365" t="s">
        <v>339</v>
      </c>
      <c r="AS13" s="365"/>
      <c r="AT13" s="388">
        <v>82704017.022375003</v>
      </c>
      <c r="AU13" s="329">
        <f t="shared" ref="AU13:AU20" si="9">AU12+1</f>
        <v>2</v>
      </c>
      <c r="AV13" s="331"/>
      <c r="AW13" s="389"/>
      <c r="AX13" s="389"/>
      <c r="AY13" s="334"/>
      <c r="AZ13" s="350">
        <f>1+AZ12</f>
        <v>2</v>
      </c>
      <c r="BA13" s="372"/>
      <c r="BB13" s="372"/>
      <c r="BC13" s="369"/>
      <c r="BD13" s="368">
        <f t="shared" ref="BD13:BD19" si="10">BD12+1</f>
        <v>2</v>
      </c>
      <c r="BE13" s="331"/>
      <c r="BF13" s="390"/>
      <c r="BG13" s="390"/>
      <c r="BH13" s="390"/>
      <c r="BI13" s="329">
        <f t="shared" ref="BI13:BI19" si="11">BI12+1</f>
        <v>2</v>
      </c>
      <c r="BJ13" s="355" t="s">
        <v>340</v>
      </c>
      <c r="BK13" s="391">
        <v>324692.91242111463</v>
      </c>
      <c r="BL13" s="391">
        <v>606364.91992697387</v>
      </c>
      <c r="BM13" s="391">
        <v>281672.00750585925</v>
      </c>
      <c r="BN13" s="329">
        <f t="shared" ref="BN13:BN20" si="12">BN12+1</f>
        <v>2</v>
      </c>
      <c r="BO13" s="331"/>
      <c r="BP13" s="392"/>
      <c r="BQ13" s="343"/>
      <c r="BR13" s="343"/>
      <c r="BS13" s="329">
        <f t="shared" ref="BS13:BS30" si="13">BS12+1</f>
        <v>2</v>
      </c>
      <c r="BT13" s="372" t="s">
        <v>341</v>
      </c>
      <c r="BU13" s="393">
        <v>542677</v>
      </c>
      <c r="BV13" s="393">
        <v>9925206.379999999</v>
      </c>
      <c r="BW13" s="393">
        <v>147800.4</v>
      </c>
      <c r="BX13" s="393">
        <v>545343.76</v>
      </c>
      <c r="BY13" s="394">
        <f>SUM(BU13:BX13)</f>
        <v>11161027.539999999</v>
      </c>
      <c r="BZ13" s="329">
        <f t="shared" ref="BZ13:BZ44" si="14">BZ12+1</f>
        <v>2</v>
      </c>
      <c r="CA13" s="111" t="s">
        <v>342</v>
      </c>
      <c r="CB13" s="373">
        <v>199106695.59</v>
      </c>
      <c r="CC13" s="355">
        <f t="shared" ref="CC13:CC18" si="15">CB13+CD13</f>
        <v>199106695.59</v>
      </c>
      <c r="CD13" s="355"/>
      <c r="CE13" s="329">
        <f t="shared" si="1"/>
        <v>2</v>
      </c>
      <c r="CF13" s="395" t="s">
        <v>343</v>
      </c>
      <c r="CI13" s="111">
        <v>0.05</v>
      </c>
      <c r="CJ13" s="329">
        <f t="shared" ref="CJ13:CJ24" si="16">CJ12+1</f>
        <v>2</v>
      </c>
      <c r="CK13" s="358" t="s">
        <v>344</v>
      </c>
      <c r="CL13" s="369"/>
      <c r="CM13" s="360"/>
      <c r="CN13" s="355"/>
      <c r="CO13" s="329">
        <f t="shared" ref="CO13:CO17" si="17">CO12+1</f>
        <v>2</v>
      </c>
      <c r="CP13" s="358" t="s">
        <v>344</v>
      </c>
      <c r="CR13" s="360"/>
      <c r="CS13" s="360"/>
      <c r="CT13" s="329">
        <f t="shared" ref="CT13:CT24" si="18">CT12+1</f>
        <v>2</v>
      </c>
      <c r="CU13" s="358" t="s">
        <v>344</v>
      </c>
      <c r="CW13" s="360"/>
      <c r="CX13" s="360"/>
      <c r="CY13" s="329">
        <v>2</v>
      </c>
      <c r="CZ13" s="331" t="s">
        <v>345</v>
      </c>
      <c r="DC13" s="375">
        <v>2E-3</v>
      </c>
      <c r="DD13" s="396" t="s">
        <v>346</v>
      </c>
      <c r="DE13" s="344"/>
      <c r="DF13" s="345"/>
      <c r="DG13" s="344"/>
      <c r="DH13" s="344"/>
      <c r="DI13" s="344"/>
      <c r="DJ13" s="344"/>
      <c r="DK13" s="344"/>
      <c r="DL13" s="344"/>
      <c r="DM13" s="344"/>
      <c r="DN13" s="344"/>
      <c r="DO13" s="344"/>
      <c r="DP13" s="344"/>
      <c r="DQ13" s="344"/>
      <c r="DR13" s="396" t="s">
        <v>346</v>
      </c>
      <c r="DS13" s="344"/>
      <c r="DT13" s="344"/>
      <c r="DU13" s="344"/>
      <c r="DV13" s="344"/>
      <c r="DW13" s="344"/>
      <c r="DX13" s="344"/>
      <c r="DY13" s="344"/>
      <c r="DZ13" s="344"/>
      <c r="EA13" s="344"/>
      <c r="EB13" s="344"/>
      <c r="EC13" s="344"/>
    </row>
    <row r="14" spans="1:141" ht="15" customHeight="1">
      <c r="A14" s="350">
        <f t="shared" si="0"/>
        <v>4</v>
      </c>
      <c r="B14" s="110">
        <v>43831</v>
      </c>
      <c r="C14" s="387">
        <v>1996680743.01</v>
      </c>
      <c r="D14" s="387">
        <v>2066883436.9213514</v>
      </c>
      <c r="E14" s="387">
        <f t="shared" ref="E14:E25" si="19">+D14-C14</f>
        <v>70202693.911351442</v>
      </c>
      <c r="F14" s="256"/>
      <c r="H14" s="350">
        <f t="shared" si="4"/>
        <v>4</v>
      </c>
      <c r="I14" s="353" t="s">
        <v>347</v>
      </c>
      <c r="K14" s="354">
        <v>36286798.649999999</v>
      </c>
      <c r="M14" s="329">
        <f t="shared" si="5"/>
        <v>3</v>
      </c>
      <c r="N14" s="397" t="s">
        <v>348</v>
      </c>
      <c r="O14" s="398">
        <v>80369500.873694852</v>
      </c>
      <c r="P14" s="329">
        <f t="shared" si="6"/>
        <v>3</v>
      </c>
      <c r="Q14" s="333" t="s">
        <v>349</v>
      </c>
      <c r="R14" s="399">
        <v>2.6699999999999998E-2</v>
      </c>
      <c r="S14" s="383" t="s">
        <v>203</v>
      </c>
      <c r="T14" s="329">
        <v>3</v>
      </c>
      <c r="U14" s="400" t="s">
        <v>350</v>
      </c>
      <c r="V14" s="254"/>
      <c r="W14" s="369"/>
      <c r="X14" s="254">
        <v>57031767.670000002</v>
      </c>
      <c r="Y14" s="329">
        <v>3</v>
      </c>
      <c r="Z14" s="331"/>
      <c r="AA14" s="359"/>
      <c r="AB14" s="360"/>
      <c r="AC14" s="329">
        <f t="shared" si="7"/>
        <v>3</v>
      </c>
      <c r="AD14" s="361" t="s">
        <v>351</v>
      </c>
      <c r="AE14" s="385">
        <v>12855225.244000001</v>
      </c>
      <c r="AF14" s="385">
        <v>2549682127.7600002</v>
      </c>
      <c r="AG14" s="385">
        <v>112614457.91</v>
      </c>
      <c r="AH14" s="385">
        <v>301129672.56999999</v>
      </c>
      <c r="AI14" s="385">
        <v>346720.2</v>
      </c>
      <c r="AJ14" s="385">
        <f>AF14-AG14-AH14-AI14</f>
        <v>2135591277.0800004</v>
      </c>
      <c r="AK14" s="363">
        <f>ROUND(AE14/AJ14,6)</f>
        <v>6.0200000000000002E-3</v>
      </c>
      <c r="AL14" s="329">
        <f t="shared" si="8"/>
        <v>3</v>
      </c>
      <c r="AM14" s="111" t="s">
        <v>352</v>
      </c>
      <c r="AN14" s="401">
        <v>389339.76735219493</v>
      </c>
      <c r="AO14" s="401">
        <v>655668.37139372819</v>
      </c>
      <c r="AP14" s="355">
        <f>AO14-AN14</f>
        <v>266328.60404153325</v>
      </c>
      <c r="AQ14" s="329">
        <v>3</v>
      </c>
      <c r="AR14" s="402" t="s">
        <v>353</v>
      </c>
      <c r="AS14" s="402"/>
      <c r="AT14" s="367">
        <f>AT12-AT13</f>
        <v>26860.645999997854</v>
      </c>
      <c r="AU14" s="329">
        <f t="shared" si="9"/>
        <v>3</v>
      </c>
      <c r="AV14" s="331" t="s">
        <v>354</v>
      </c>
      <c r="AW14" s="403">
        <f>SUM(AW12:AW13)</f>
        <v>84803.274004035367</v>
      </c>
      <c r="AX14" s="403">
        <f>SUM(AX12:AX13)</f>
        <v>65904.435979721209</v>
      </c>
      <c r="AY14" s="404">
        <f>SUM(AY12:AY13)</f>
        <v>-18898.838024314158</v>
      </c>
      <c r="AZ14" s="350">
        <f>1+AZ13</f>
        <v>3</v>
      </c>
      <c r="BC14" s="401"/>
      <c r="BD14" s="368">
        <f t="shared" si="10"/>
        <v>3</v>
      </c>
      <c r="BE14" s="331" t="s">
        <v>355</v>
      </c>
      <c r="BF14" s="369">
        <f>SUM(BF12:BF12)</f>
        <v>5948795.8488943176</v>
      </c>
      <c r="BG14" s="369">
        <f>SUM(BG12:BG12)</f>
        <v>6266629.8120546425</v>
      </c>
      <c r="BH14" s="369">
        <f>SUM(BH12:BH12)</f>
        <v>317833.96316032484</v>
      </c>
      <c r="BI14" s="329">
        <f t="shared" si="11"/>
        <v>3</v>
      </c>
      <c r="BJ14" s="355" t="s">
        <v>356</v>
      </c>
      <c r="BK14" s="405">
        <v>-667398.72757888539</v>
      </c>
      <c r="BL14" s="405">
        <v>1213751.0399269739</v>
      </c>
      <c r="BM14" s="405">
        <v>1881149.7675058593</v>
      </c>
      <c r="BN14" s="329">
        <f t="shared" si="12"/>
        <v>3</v>
      </c>
      <c r="BO14" s="397" t="s">
        <v>354</v>
      </c>
      <c r="BP14" s="406">
        <f>SUM(BP12:BP13)</f>
        <v>0</v>
      </c>
      <c r="BQ14" s="406">
        <f>SUM(BQ12:BQ13)</f>
        <v>0</v>
      </c>
      <c r="BR14" s="406">
        <f>SUM(BR12:BR13)</f>
        <v>0</v>
      </c>
      <c r="BS14" s="329">
        <f t="shared" si="13"/>
        <v>3</v>
      </c>
      <c r="BT14" s="372" t="s">
        <v>357</v>
      </c>
      <c r="BU14" s="393">
        <v>282109.27</v>
      </c>
      <c r="BV14" s="393">
        <v>9019561.0499999989</v>
      </c>
      <c r="BW14" s="393">
        <v>55441.3</v>
      </c>
      <c r="BX14" s="393">
        <v>185083.44</v>
      </c>
      <c r="BY14" s="393">
        <f t="shared" ref="BY14:BY18" si="20">SUM(BU14:BX14)</f>
        <v>9542195.0599999987</v>
      </c>
      <c r="BZ14" s="329">
        <f t="shared" si="14"/>
        <v>3</v>
      </c>
      <c r="CA14" s="111" t="s">
        <v>358</v>
      </c>
      <c r="CB14" s="373">
        <v>571217284.57000005</v>
      </c>
      <c r="CC14" s="354">
        <f t="shared" si="15"/>
        <v>582426059.27956498</v>
      </c>
      <c r="CD14" s="354">
        <v>11208774.709564961</v>
      </c>
      <c r="CE14" s="329">
        <f t="shared" si="1"/>
        <v>3</v>
      </c>
      <c r="CF14" s="395" t="s">
        <v>359</v>
      </c>
      <c r="CI14" s="111">
        <v>1.4999999999999999E-4</v>
      </c>
      <c r="CJ14" s="329">
        <f t="shared" si="16"/>
        <v>3</v>
      </c>
      <c r="CK14" s="407" t="s">
        <v>360</v>
      </c>
      <c r="CL14" s="369">
        <v>4539303</v>
      </c>
      <c r="CM14" s="355"/>
      <c r="CN14" s="355">
        <f>CM14-CL14</f>
        <v>-4539303</v>
      </c>
      <c r="CO14" s="329">
        <f t="shared" si="17"/>
        <v>3</v>
      </c>
      <c r="CP14" s="407" t="s">
        <v>361</v>
      </c>
      <c r="CQ14" s="355">
        <v>140623727.13213542</v>
      </c>
      <c r="CR14" s="355">
        <v>0</v>
      </c>
      <c r="CS14" s="355">
        <f>CR14-CQ14</f>
        <v>-140623727.13213542</v>
      </c>
      <c r="CT14" s="329">
        <f t="shared" si="18"/>
        <v>3</v>
      </c>
      <c r="CU14" s="407" t="s">
        <v>360</v>
      </c>
      <c r="CV14" s="355">
        <v>3322158.5023114588</v>
      </c>
      <c r="CW14" s="355"/>
      <c r="CX14" s="355">
        <f>CW14-CV14</f>
        <v>-3322158.5023114588</v>
      </c>
      <c r="CY14" s="329">
        <v>3</v>
      </c>
      <c r="CZ14" s="331" t="str">
        <f>"STATE UTILITY TAX ( ( 1 - LINE 1 ) * "&amp;UTG*100&amp;"% )"</f>
        <v>STATE UTILITY TAX ( ( 1 - LINE 1 ) * 3.8734% )</v>
      </c>
      <c r="DB14" s="408">
        <v>3.8733999999999998E-2</v>
      </c>
      <c r="DC14" s="409">
        <f>ROUND(DB14-(DB14*DC12),6)</f>
        <v>3.8445E-2</v>
      </c>
      <c r="DD14" s="329">
        <v>1</v>
      </c>
      <c r="DE14" s="331" t="s">
        <v>362</v>
      </c>
      <c r="DF14" s="335"/>
      <c r="DG14" s="339"/>
      <c r="DH14" s="339"/>
      <c r="DI14" s="339"/>
      <c r="DJ14" s="339"/>
      <c r="DK14" s="339"/>
      <c r="DL14" s="339"/>
      <c r="DM14" s="365"/>
      <c r="DN14" s="329"/>
      <c r="DO14" s="339"/>
      <c r="DP14" s="339"/>
      <c r="DQ14" s="339"/>
      <c r="DR14" s="410">
        <v>1</v>
      </c>
      <c r="DS14" s="331" t="s">
        <v>362</v>
      </c>
      <c r="DT14" s="329"/>
      <c r="DU14" s="329"/>
      <c r="DV14" s="331"/>
      <c r="DW14" s="329"/>
      <c r="DX14" s="339"/>
      <c r="DZ14" s="329"/>
      <c r="EA14" s="329"/>
      <c r="EB14" s="329"/>
      <c r="ED14" s="329">
        <v>1</v>
      </c>
      <c r="EE14" s="338" t="s">
        <v>363</v>
      </c>
    </row>
    <row r="15" spans="1:141" ht="15" customHeight="1" thickBot="1">
      <c r="A15" s="350">
        <f t="shared" si="0"/>
        <v>5</v>
      </c>
      <c r="B15" s="110">
        <v>43862</v>
      </c>
      <c r="C15" s="387">
        <v>1951784810.2959998</v>
      </c>
      <c r="D15" s="387">
        <v>1976413443.6919127</v>
      </c>
      <c r="E15" s="387">
        <f t="shared" si="19"/>
        <v>24628633.395912886</v>
      </c>
      <c r="F15" s="256"/>
      <c r="H15" s="350">
        <f t="shared" si="4"/>
        <v>5</v>
      </c>
      <c r="I15" s="353" t="s">
        <v>364</v>
      </c>
      <c r="K15" s="354">
        <v>13814335.09</v>
      </c>
      <c r="M15" s="329">
        <f t="shared" si="5"/>
        <v>4</v>
      </c>
      <c r="N15" s="331" t="s">
        <v>365</v>
      </c>
      <c r="O15" s="382">
        <f>O14</f>
        <v>80369500.873694852</v>
      </c>
      <c r="P15" s="329">
        <f t="shared" si="6"/>
        <v>4</v>
      </c>
      <c r="Q15" s="333" t="s">
        <v>295</v>
      </c>
      <c r="R15" s="261"/>
      <c r="S15" s="411">
        <f>+R12*R14</f>
        <v>142358732.81488732</v>
      </c>
      <c r="T15" s="329">
        <v>4</v>
      </c>
      <c r="U15" s="384" t="s">
        <v>366</v>
      </c>
      <c r="V15" s="254"/>
      <c r="X15" s="254">
        <v>82444802.920000002</v>
      </c>
      <c r="Y15" s="329">
        <v>4</v>
      </c>
      <c r="Z15" s="331" t="s">
        <v>367</v>
      </c>
      <c r="AA15" s="412">
        <v>1343000</v>
      </c>
      <c r="AB15" s="413"/>
      <c r="AC15" s="329">
        <f t="shared" si="7"/>
        <v>4</v>
      </c>
      <c r="AE15" s="254"/>
      <c r="AF15" s="254"/>
      <c r="AG15" s="254"/>
      <c r="AH15" s="254"/>
      <c r="AI15" s="369"/>
      <c r="AJ15" s="369"/>
      <c r="AK15" s="369"/>
      <c r="AL15" s="329">
        <f t="shared" si="8"/>
        <v>4</v>
      </c>
      <c r="AM15" s="111" t="s">
        <v>368</v>
      </c>
      <c r="AN15" s="414">
        <f>SUM(AN12:AN14)</f>
        <v>4906042.4048486557</v>
      </c>
      <c r="AO15" s="414">
        <f>SUM(AO12:AO14)</f>
        <v>8262029.988490344</v>
      </c>
      <c r="AP15" s="415">
        <f>SUM(AP12:AP14)</f>
        <v>3355987.5836416879</v>
      </c>
      <c r="AQ15" s="329">
        <v>4</v>
      </c>
      <c r="AR15" s="111"/>
      <c r="AS15" s="111"/>
      <c r="AT15" s="254"/>
      <c r="AU15" s="329">
        <f t="shared" si="9"/>
        <v>4</v>
      </c>
      <c r="AV15" s="331"/>
      <c r="AW15" s="416"/>
      <c r="AX15" s="416"/>
      <c r="AY15" s="416"/>
      <c r="AZ15" s="350">
        <f>1+AZ14</f>
        <v>4</v>
      </c>
      <c r="BA15" s="111" t="s">
        <v>369</v>
      </c>
      <c r="BC15" s="417">
        <f>-BC12</f>
        <v>-316905.9521234514</v>
      </c>
      <c r="BD15" s="368">
        <f t="shared" si="10"/>
        <v>4</v>
      </c>
      <c r="BF15" s="387"/>
      <c r="BG15" s="387"/>
      <c r="BH15" s="387"/>
      <c r="BI15" s="329">
        <f t="shared" si="11"/>
        <v>4</v>
      </c>
      <c r="BJ15" s="418"/>
      <c r="BK15" s="419"/>
      <c r="BL15" s="419"/>
      <c r="BM15" s="254"/>
      <c r="BN15" s="329">
        <f t="shared" si="12"/>
        <v>4</v>
      </c>
      <c r="BO15" s="331"/>
      <c r="BP15" s="416"/>
      <c r="BQ15" s="416"/>
      <c r="BR15" s="416"/>
      <c r="BS15" s="329">
        <f t="shared" si="13"/>
        <v>4</v>
      </c>
      <c r="BT15" s="372" t="s">
        <v>370</v>
      </c>
      <c r="BU15" s="393">
        <v>542894.07999999996</v>
      </c>
      <c r="BV15" s="393">
        <v>8598393.6600000001</v>
      </c>
      <c r="BW15" s="393">
        <v>14243.21</v>
      </c>
      <c r="BX15" s="393">
        <v>50856.32</v>
      </c>
      <c r="BY15" s="393">
        <f t="shared" si="20"/>
        <v>9206387.2700000014</v>
      </c>
      <c r="BZ15" s="329">
        <f t="shared" si="14"/>
        <v>4</v>
      </c>
      <c r="CA15" s="111" t="s">
        <v>371</v>
      </c>
      <c r="CB15" s="373">
        <v>-23424499.34</v>
      </c>
      <c r="CC15" s="382">
        <f t="shared" si="15"/>
        <v>-23424499.34</v>
      </c>
      <c r="CD15" s="382"/>
      <c r="CE15" s="329">
        <f t="shared" si="1"/>
        <v>4</v>
      </c>
      <c r="CF15" s="395" t="s">
        <v>372</v>
      </c>
      <c r="CI15" s="420">
        <f>+CI12*(1-CI13)*CI14</f>
        <v>299583.16499999998</v>
      </c>
      <c r="CJ15" s="329">
        <f t="shared" si="16"/>
        <v>4</v>
      </c>
      <c r="CK15" s="407" t="s">
        <v>373</v>
      </c>
      <c r="CL15" s="355">
        <v>-2438326</v>
      </c>
      <c r="CM15" s="360"/>
      <c r="CN15" s="360">
        <f>CM15-CL15</f>
        <v>2438326</v>
      </c>
      <c r="CO15" s="329">
        <f t="shared" si="17"/>
        <v>4</v>
      </c>
      <c r="CP15" s="407" t="s">
        <v>374</v>
      </c>
      <c r="CQ15" s="421">
        <v>-22362458.725304946</v>
      </c>
      <c r="CR15" s="421">
        <v>0</v>
      </c>
      <c r="CS15" s="421">
        <f>CR15-CQ15</f>
        <v>22362458.725304946</v>
      </c>
      <c r="CT15" s="329">
        <f t="shared" si="18"/>
        <v>4</v>
      </c>
      <c r="CU15" s="407" t="s">
        <v>373</v>
      </c>
      <c r="CV15" s="355">
        <v>-379466.07733488001</v>
      </c>
      <c r="CW15" s="360"/>
      <c r="CX15" s="360">
        <f>CW15-CV15</f>
        <v>379466.07733488001</v>
      </c>
      <c r="CY15" s="329">
        <v>4</v>
      </c>
      <c r="CZ15" s="331"/>
      <c r="DC15" s="422"/>
      <c r="DD15" s="329">
        <f t="shared" ref="DD15:DD60" si="21">DD14+1</f>
        <v>2</v>
      </c>
      <c r="DE15" s="331" t="s">
        <v>375</v>
      </c>
      <c r="DF15" s="367">
        <v>2108413255.02</v>
      </c>
      <c r="DG15" s="367">
        <f>+G37-DG16</f>
        <v>6033661</v>
      </c>
      <c r="DH15" s="357">
        <f>+K17</f>
        <v>53939198.159999996</v>
      </c>
      <c r="DI15" s="357">
        <v>0</v>
      </c>
      <c r="DJ15" s="357">
        <v>0</v>
      </c>
      <c r="DK15" s="357">
        <f>-SUM(X13,X14,X15,X16,X17,X18,X20,X22,X24,X25,X26)</f>
        <v>-180044627.5047791</v>
      </c>
      <c r="DL15" s="357"/>
      <c r="DM15" s="357">
        <v>0</v>
      </c>
      <c r="DN15" s="357"/>
      <c r="DO15" s="357">
        <v>0</v>
      </c>
      <c r="DP15" s="357">
        <v>0</v>
      </c>
      <c r="DQ15" s="357">
        <v>0</v>
      </c>
      <c r="DR15" s="329">
        <f t="shared" ref="DR15:DR60" si="22">DR14+1</f>
        <v>2</v>
      </c>
      <c r="DS15" s="331" t="s">
        <v>375</v>
      </c>
      <c r="DT15" s="357">
        <v>0</v>
      </c>
      <c r="DU15" s="357"/>
      <c r="DV15" s="357">
        <v>0</v>
      </c>
      <c r="DW15" s="357"/>
      <c r="DX15" s="357">
        <v>0</v>
      </c>
      <c r="DY15" s="357">
        <v>0</v>
      </c>
      <c r="DZ15" s="357"/>
      <c r="EA15" s="357"/>
      <c r="EB15" s="357"/>
      <c r="EC15" s="357">
        <f>SUM(DG15:EB15)-DR15</f>
        <v>-120071768.3447791</v>
      </c>
      <c r="ED15" s="329">
        <f t="shared" ref="ED15:ED53" si="23">+ED14+1</f>
        <v>2</v>
      </c>
      <c r="EE15" s="331" t="s">
        <v>375</v>
      </c>
      <c r="EF15" s="369">
        <f>+DF15</f>
        <v>2108413255.02</v>
      </c>
      <c r="EG15" s="369">
        <f>+EC15</f>
        <v>-120071768.3447791</v>
      </c>
      <c r="EH15" s="357">
        <f>SUM(EF15:EG15)</f>
        <v>1988341486.675221</v>
      </c>
      <c r="EJ15" s="423">
        <f>DG15</f>
        <v>6033661</v>
      </c>
      <c r="EK15" s="423">
        <f>EJ15+EF15</f>
        <v>2114446916.02</v>
      </c>
    </row>
    <row r="16" spans="1:141" ht="15" customHeight="1" thickTop="1">
      <c r="A16" s="350">
        <f t="shared" si="0"/>
        <v>6</v>
      </c>
      <c r="B16" s="110">
        <v>43891</v>
      </c>
      <c r="C16" s="387">
        <v>1913539096.1689999</v>
      </c>
      <c r="D16" s="387">
        <v>1878316052.0331213</v>
      </c>
      <c r="E16" s="387">
        <f t="shared" si="19"/>
        <v>-35223044.135878563</v>
      </c>
      <c r="F16" s="256"/>
      <c r="I16" s="353" t="s">
        <v>376</v>
      </c>
      <c r="K16" s="254">
        <v>3837960.95</v>
      </c>
      <c r="M16" s="329">
        <f t="shared" si="5"/>
        <v>5</v>
      </c>
      <c r="N16" s="331"/>
      <c r="O16" s="382" t="s">
        <v>203</v>
      </c>
      <c r="P16" s="329">
        <f t="shared" si="6"/>
        <v>5</v>
      </c>
      <c r="S16" s="424"/>
      <c r="T16" s="329">
        <v>5</v>
      </c>
      <c r="U16" s="384" t="s">
        <v>377</v>
      </c>
      <c r="V16" s="254"/>
      <c r="X16" s="254">
        <v>20247843.850000001</v>
      </c>
      <c r="Y16" s="329">
        <v>5</v>
      </c>
      <c r="Z16" s="331"/>
      <c r="AA16" s="359"/>
      <c r="AB16" s="360"/>
      <c r="AC16" s="329">
        <f t="shared" si="7"/>
        <v>5</v>
      </c>
      <c r="AD16" s="111" t="s">
        <v>378</v>
      </c>
      <c r="AE16" s="254"/>
      <c r="AF16" s="254"/>
      <c r="AG16" s="254"/>
      <c r="AH16" s="254"/>
      <c r="AI16" s="369"/>
      <c r="AJ16" s="254"/>
      <c r="AK16" s="363">
        <f>ROUND(SUM(AK12:AK14)/3,6)</f>
        <v>7.4689999999999999E-3</v>
      </c>
      <c r="AL16" s="329">
        <f t="shared" si="8"/>
        <v>5</v>
      </c>
      <c r="AQ16" s="329">
        <v>5</v>
      </c>
      <c r="AR16" s="425" t="s">
        <v>379</v>
      </c>
      <c r="AS16" s="426"/>
      <c r="AT16" s="357">
        <v>4351361.9227999998</v>
      </c>
      <c r="AU16" s="329">
        <f t="shared" si="9"/>
        <v>5</v>
      </c>
      <c r="AV16" s="331" t="s">
        <v>380</v>
      </c>
      <c r="AW16" s="416"/>
      <c r="AX16" s="416"/>
      <c r="AY16" s="427">
        <f>-AY14</f>
        <v>18898.838024314158</v>
      </c>
      <c r="AZ16" s="350"/>
      <c r="BD16" s="368">
        <f t="shared" si="10"/>
        <v>5</v>
      </c>
      <c r="BE16" s="397" t="s">
        <v>381</v>
      </c>
      <c r="BF16" s="428"/>
      <c r="BG16" s="421"/>
      <c r="BH16" s="360">
        <f>-BH14</f>
        <v>-317833.96316032484</v>
      </c>
      <c r="BI16" s="329">
        <f t="shared" si="11"/>
        <v>5</v>
      </c>
      <c r="BJ16" s="355" t="s">
        <v>382</v>
      </c>
      <c r="BK16" s="419"/>
      <c r="BL16" s="419"/>
      <c r="BM16" s="355">
        <f>BM14</f>
        <v>1881149.7675058593</v>
      </c>
      <c r="BN16" s="329">
        <f t="shared" si="12"/>
        <v>5</v>
      </c>
      <c r="BO16" s="331" t="s">
        <v>380</v>
      </c>
      <c r="BP16" s="416"/>
      <c r="BQ16" s="416"/>
      <c r="BR16" s="332">
        <f>-BR14</f>
        <v>0</v>
      </c>
      <c r="BS16" s="329">
        <f t="shared" si="13"/>
        <v>5</v>
      </c>
      <c r="BT16" s="372" t="s">
        <v>383</v>
      </c>
      <c r="BU16" s="393">
        <v>563624.9</v>
      </c>
      <c r="BV16" s="393">
        <v>9580737.2400000002</v>
      </c>
      <c r="BW16" s="393">
        <v>118918.69</v>
      </c>
      <c r="BX16" s="393">
        <v>478326.46</v>
      </c>
      <c r="BY16" s="393">
        <f t="shared" si="20"/>
        <v>10741607.290000001</v>
      </c>
      <c r="BZ16" s="329">
        <f t="shared" si="14"/>
        <v>5</v>
      </c>
      <c r="CA16" s="111" t="s">
        <v>384</v>
      </c>
      <c r="CB16" s="373">
        <v>123613131.13</v>
      </c>
      <c r="CC16" s="382">
        <f t="shared" si="15"/>
        <v>123613131.13</v>
      </c>
      <c r="CD16" s="382"/>
      <c r="CE16" s="329">
        <f t="shared" si="1"/>
        <v>5</v>
      </c>
      <c r="CF16" s="395" t="s">
        <v>210</v>
      </c>
      <c r="CJ16" s="329">
        <f t="shared" si="16"/>
        <v>5</v>
      </c>
      <c r="CK16" s="429" t="s">
        <v>385</v>
      </c>
      <c r="CL16" s="401">
        <v>-698790.4800000001</v>
      </c>
      <c r="CM16" s="430"/>
      <c r="CN16" s="430">
        <f>CM16-CL16</f>
        <v>698790.4800000001</v>
      </c>
      <c r="CO16" s="329">
        <f t="shared" si="17"/>
        <v>5</v>
      </c>
      <c r="CP16" s="429" t="s">
        <v>386</v>
      </c>
      <c r="CQ16" s="431">
        <v>-9763956.8231250029</v>
      </c>
      <c r="CR16" s="431">
        <v>0</v>
      </c>
      <c r="CS16" s="431">
        <f>CR16-CQ16</f>
        <v>9763956.8231250029</v>
      </c>
      <c r="CT16" s="329">
        <f t="shared" si="18"/>
        <v>5</v>
      </c>
      <c r="CU16" s="429" t="s">
        <v>385</v>
      </c>
      <c r="CV16" s="401">
        <v>-778054.15775388014</v>
      </c>
      <c r="CW16" s="430"/>
      <c r="CX16" s="430">
        <f>CW16-CV16</f>
        <v>778054.15775388014</v>
      </c>
      <c r="CY16" s="329">
        <v>5</v>
      </c>
      <c r="CZ16" s="331" t="s">
        <v>387</v>
      </c>
      <c r="DC16" s="375">
        <f>ROUND(SUM(DC12:DC14),6)</f>
        <v>4.7913999999999998E-2</v>
      </c>
      <c r="DD16" s="329">
        <f t="shared" si="21"/>
        <v>3</v>
      </c>
      <c r="DE16" s="331" t="s">
        <v>388</v>
      </c>
      <c r="DF16" s="382">
        <v>349696.35</v>
      </c>
      <c r="DG16" s="382">
        <f>F36</f>
        <v>4054</v>
      </c>
      <c r="DH16" s="343"/>
      <c r="DI16" s="343"/>
      <c r="DJ16" s="343"/>
      <c r="DK16" s="343"/>
      <c r="DL16" s="343"/>
      <c r="DM16" s="343"/>
      <c r="DN16" s="343"/>
      <c r="DO16" s="343"/>
      <c r="DP16" s="343"/>
      <c r="DQ16" s="343"/>
      <c r="DR16" s="329">
        <f t="shared" si="22"/>
        <v>3</v>
      </c>
      <c r="DS16" s="331" t="s">
        <v>388</v>
      </c>
      <c r="DT16" s="343"/>
      <c r="DU16" s="343"/>
      <c r="DV16" s="343"/>
      <c r="DW16" s="343"/>
      <c r="DX16" s="343"/>
      <c r="DY16" s="343"/>
      <c r="DZ16" s="343"/>
      <c r="EA16" s="343"/>
      <c r="EB16" s="343"/>
      <c r="EC16" s="343">
        <f t="shared" ref="EC16:EC63" si="24">SUM(DG16:EB16)-DR16</f>
        <v>4054</v>
      </c>
      <c r="ED16" s="329">
        <f t="shared" si="23"/>
        <v>3</v>
      </c>
      <c r="EE16" s="331" t="s">
        <v>388</v>
      </c>
      <c r="EF16" s="254">
        <f>+DF16</f>
        <v>349696.35</v>
      </c>
      <c r="EG16" s="254">
        <f>+EC16</f>
        <v>4054</v>
      </c>
      <c r="EH16" s="343">
        <f>SUM(EF16:EG16)</f>
        <v>353750.35</v>
      </c>
    </row>
    <row r="17" spans="1:140" ht="15" customHeight="1">
      <c r="A17" s="350">
        <f t="shared" si="0"/>
        <v>7</v>
      </c>
      <c r="B17" s="110">
        <v>43922</v>
      </c>
      <c r="C17" s="387">
        <v>1706105486.1400001</v>
      </c>
      <c r="D17" s="387">
        <v>1733760804.5714128</v>
      </c>
      <c r="E17" s="387">
        <f t="shared" si="19"/>
        <v>27655318.431412697</v>
      </c>
      <c r="F17" s="256"/>
      <c r="H17" s="350">
        <f>+H15+1</f>
        <v>6</v>
      </c>
      <c r="I17" s="111" t="s">
        <v>389</v>
      </c>
      <c r="K17" s="432">
        <f>SUM(K12:K16)</f>
        <v>53939198.159999996</v>
      </c>
      <c r="M17" s="329">
        <f t="shared" si="5"/>
        <v>6</v>
      </c>
      <c r="N17" s="111" t="s">
        <v>390</v>
      </c>
      <c r="O17" s="382">
        <v>2969130.4660300007</v>
      </c>
      <c r="P17" s="329">
        <f t="shared" si="6"/>
        <v>6</v>
      </c>
      <c r="T17" s="329">
        <v>6</v>
      </c>
      <c r="U17" s="433" t="s">
        <v>391</v>
      </c>
      <c r="X17" s="254">
        <v>-84307882.609999999</v>
      </c>
      <c r="Y17" s="329">
        <v>6</v>
      </c>
      <c r="Z17" s="434" t="s">
        <v>691</v>
      </c>
      <c r="AA17" s="435">
        <f>+AA15/2</f>
        <v>671500</v>
      </c>
      <c r="AB17" s="436"/>
      <c r="AC17" s="329">
        <f t="shared" si="7"/>
        <v>6</v>
      </c>
      <c r="AD17" s="331"/>
      <c r="AE17" s="254"/>
      <c r="AF17" s="254"/>
      <c r="AG17" s="437"/>
      <c r="AH17" s="437"/>
      <c r="AI17" s="254"/>
      <c r="AJ17" s="254"/>
      <c r="AK17" s="254"/>
      <c r="AL17" s="329">
        <f t="shared" si="8"/>
        <v>6</v>
      </c>
      <c r="AM17" s="438" t="s">
        <v>381</v>
      </c>
      <c r="AN17" s="428"/>
      <c r="AO17" s="421"/>
      <c r="AP17" s="360">
        <f>-AP15</f>
        <v>-3355987.5836416879</v>
      </c>
      <c r="AQ17" s="329">
        <v>6</v>
      </c>
      <c r="AR17" s="365" t="s">
        <v>339</v>
      </c>
      <c r="AS17" s="365"/>
      <c r="AT17" s="398">
        <v>4517401</v>
      </c>
      <c r="AU17" s="329">
        <f t="shared" si="9"/>
        <v>6</v>
      </c>
      <c r="AV17" s="331"/>
      <c r="AW17" s="416"/>
      <c r="AX17" s="416"/>
      <c r="AY17" s="427"/>
      <c r="BD17" s="368">
        <f t="shared" si="10"/>
        <v>6</v>
      </c>
      <c r="BE17" s="381" t="s">
        <v>392</v>
      </c>
      <c r="BF17" s="381"/>
      <c r="BG17" s="439">
        <f>FIT</f>
        <v>0.21</v>
      </c>
      <c r="BH17" s="381">
        <f>BH16*BG17</f>
        <v>-66745.132263668216</v>
      </c>
      <c r="BI17" s="329">
        <f t="shared" si="11"/>
        <v>6</v>
      </c>
      <c r="BJ17" s="111" t="s">
        <v>392</v>
      </c>
      <c r="BK17" s="419"/>
      <c r="BL17" s="439">
        <f>FIT</f>
        <v>0.21</v>
      </c>
      <c r="BM17" s="391">
        <f>ROUND(-BM16*BL17,0)</f>
        <v>-395041</v>
      </c>
      <c r="BN17" s="329">
        <f t="shared" si="12"/>
        <v>6</v>
      </c>
      <c r="BO17" s="331"/>
      <c r="BP17" s="416"/>
      <c r="BQ17" s="440"/>
      <c r="BS17" s="329">
        <f t="shared" si="13"/>
        <v>6</v>
      </c>
      <c r="BT17" s="372" t="s">
        <v>393</v>
      </c>
      <c r="BU17" s="393">
        <v>1169568.8</v>
      </c>
      <c r="BV17" s="393">
        <v>8273523.5499999998</v>
      </c>
      <c r="BW17" s="393">
        <v>117859.19</v>
      </c>
      <c r="BX17" s="393">
        <v>433513.26</v>
      </c>
      <c r="BY17" s="441">
        <f t="shared" si="20"/>
        <v>9994464.7999999989</v>
      </c>
      <c r="BZ17" s="329">
        <f t="shared" si="14"/>
        <v>6</v>
      </c>
      <c r="CA17" s="111" t="s">
        <v>394</v>
      </c>
      <c r="CB17" s="373">
        <v>-147733944.09999999</v>
      </c>
      <c r="CC17" s="382">
        <f t="shared" si="15"/>
        <v>-147733944.09999999</v>
      </c>
      <c r="CE17" s="329">
        <f t="shared" si="1"/>
        <v>6</v>
      </c>
      <c r="CF17" s="395" t="s">
        <v>395</v>
      </c>
      <c r="CI17" s="111">
        <v>2.0000000000000001E-4</v>
      </c>
      <c r="CJ17" s="329">
        <f t="shared" si="16"/>
        <v>6</v>
      </c>
      <c r="CK17" s="400" t="s">
        <v>396</v>
      </c>
      <c r="CL17" s="360">
        <f>SUM(CL14:CL16)</f>
        <v>1402186.52</v>
      </c>
      <c r="CM17" s="360">
        <f>SUM(CM14:CM16)</f>
        <v>0</v>
      </c>
      <c r="CN17" s="360">
        <f>SUM(CN14:CN16)</f>
        <v>-1402186.52</v>
      </c>
      <c r="CO17" s="329">
        <f t="shared" si="17"/>
        <v>6</v>
      </c>
      <c r="CP17" s="400" t="s">
        <v>397</v>
      </c>
      <c r="CQ17" s="355">
        <f>SUM(CQ14:CQ16)</f>
        <v>108497311.58370547</v>
      </c>
      <c r="CR17" s="355">
        <f>SUM(CR14:CR16)</f>
        <v>0</v>
      </c>
      <c r="CS17" s="355">
        <f>SUM(CS14:CS16)</f>
        <v>-108497311.58370547</v>
      </c>
      <c r="CT17" s="329">
        <f t="shared" si="18"/>
        <v>6</v>
      </c>
      <c r="CU17" s="400" t="s">
        <v>398</v>
      </c>
      <c r="CV17" s="360">
        <f>SUM(CV14:CV16)</f>
        <v>2164638.2672226988</v>
      </c>
      <c r="CW17" s="360">
        <f>SUM(CW14:CW16)</f>
        <v>0</v>
      </c>
      <c r="CX17" s="360">
        <f>SUM(CX14:CX16)</f>
        <v>-2164638.2672226988</v>
      </c>
      <c r="CY17" s="329">
        <v>6</v>
      </c>
      <c r="DC17" s="375"/>
      <c r="DD17" s="329">
        <f t="shared" si="21"/>
        <v>4</v>
      </c>
      <c r="DE17" s="331" t="s">
        <v>399</v>
      </c>
      <c r="DF17" s="382">
        <v>147733944.09999999</v>
      </c>
      <c r="DG17" s="382"/>
      <c r="DH17" s="343"/>
      <c r="DI17" s="343"/>
      <c r="DJ17" s="343"/>
      <c r="DK17" s="343"/>
      <c r="DL17" s="343"/>
      <c r="DM17" s="343"/>
      <c r="DN17" s="343"/>
      <c r="DO17" s="343"/>
      <c r="DP17" s="343"/>
      <c r="DQ17" s="343"/>
      <c r="DR17" s="329">
        <f t="shared" si="22"/>
        <v>4</v>
      </c>
      <c r="DS17" s="331" t="s">
        <v>399</v>
      </c>
      <c r="DT17" s="343"/>
      <c r="DU17" s="343"/>
      <c r="DV17" s="343"/>
      <c r="DW17" s="343"/>
      <c r="DX17" s="343">
        <f>-CD16</f>
        <v>0</v>
      </c>
      <c r="DY17" s="343"/>
      <c r="DZ17" s="343"/>
      <c r="EA17" s="343"/>
      <c r="EB17" s="343"/>
      <c r="EC17" s="343">
        <f t="shared" si="24"/>
        <v>0</v>
      </c>
      <c r="ED17" s="329">
        <f t="shared" si="23"/>
        <v>4</v>
      </c>
      <c r="EE17" s="331" t="s">
        <v>399</v>
      </c>
      <c r="EF17" s="254">
        <f>+DF17</f>
        <v>147733944.09999999</v>
      </c>
      <c r="EG17" s="254">
        <f>+EC17</f>
        <v>0</v>
      </c>
      <c r="EH17" s="343">
        <f>SUM(EF17:EG17)</f>
        <v>147733944.09999999</v>
      </c>
      <c r="EJ17" s="423"/>
    </row>
    <row r="18" spans="1:140" ht="15" customHeight="1">
      <c r="A18" s="350">
        <f t="shared" si="0"/>
        <v>8</v>
      </c>
      <c r="B18" s="110">
        <v>43952</v>
      </c>
      <c r="C18" s="387">
        <v>1435182255.888</v>
      </c>
      <c r="D18" s="387">
        <v>1447509029.3477621</v>
      </c>
      <c r="E18" s="387">
        <f t="shared" si="19"/>
        <v>12326773.459762096</v>
      </c>
      <c r="F18" s="256"/>
      <c r="H18" s="350">
        <f t="shared" ref="H18:H42" si="25">+H17+1</f>
        <v>7</v>
      </c>
      <c r="K18" s="346"/>
      <c r="M18" s="329">
        <f t="shared" si="5"/>
        <v>7</v>
      </c>
      <c r="N18" s="111" t="s">
        <v>400</v>
      </c>
      <c r="O18" s="442">
        <v>0</v>
      </c>
      <c r="P18" s="329">
        <f t="shared" si="6"/>
        <v>7</v>
      </c>
      <c r="S18" s="441"/>
      <c r="T18" s="329">
        <v>7</v>
      </c>
      <c r="U18" s="422" t="s">
        <v>401</v>
      </c>
      <c r="V18" s="254"/>
      <c r="W18" s="254"/>
      <c r="X18" s="254">
        <v>-1572753.89</v>
      </c>
      <c r="Y18" s="329">
        <v>7</v>
      </c>
      <c r="Z18" s="353" t="s">
        <v>402</v>
      </c>
      <c r="AA18" s="382">
        <v>917136.53899999999</v>
      </c>
      <c r="AB18" s="436"/>
      <c r="AC18" s="329">
        <f t="shared" si="7"/>
        <v>7</v>
      </c>
      <c r="AD18" s="443" t="s">
        <v>403</v>
      </c>
      <c r="AE18" s="254"/>
      <c r="AF18" s="369">
        <v>2359221574.3299999</v>
      </c>
      <c r="AG18" s="369">
        <v>147733944.09999999</v>
      </c>
      <c r="AH18" s="369">
        <v>102724678.86000001</v>
      </c>
      <c r="AI18" s="369">
        <v>349696.35</v>
      </c>
      <c r="AJ18" s="355">
        <f>AF18-AG18-AH18-AI18</f>
        <v>2108413255.02</v>
      </c>
      <c r="AK18" s="355"/>
      <c r="AL18" s="329">
        <f t="shared" si="8"/>
        <v>7</v>
      </c>
      <c r="AM18" s="444" t="s">
        <v>392</v>
      </c>
      <c r="AN18" s="444"/>
      <c r="AO18" s="439">
        <f>FIT</f>
        <v>0.21</v>
      </c>
      <c r="AP18" s="360">
        <f>AP17*AO18</f>
        <v>-704757.39256475447</v>
      </c>
      <c r="AQ18" s="329">
        <v>7</v>
      </c>
      <c r="AR18" s="445" t="s">
        <v>404</v>
      </c>
      <c r="AS18" s="445"/>
      <c r="AT18" s="355">
        <f>AT16-AT17</f>
        <v>-166039.07720000017</v>
      </c>
      <c r="AU18" s="329">
        <f t="shared" si="9"/>
        <v>7</v>
      </c>
      <c r="AV18" s="331" t="s">
        <v>392</v>
      </c>
      <c r="AW18" s="416"/>
      <c r="AX18" s="439">
        <f>FIT</f>
        <v>0.21</v>
      </c>
      <c r="AY18" s="446">
        <f>AY16*AX18</f>
        <v>3968.7559851059732</v>
      </c>
      <c r="BD18" s="368">
        <f t="shared" si="10"/>
        <v>7</v>
      </c>
      <c r="BE18" s="261"/>
      <c r="BF18" s="261"/>
      <c r="BG18" s="261"/>
      <c r="BH18" s="447"/>
      <c r="BI18" s="329">
        <f t="shared" si="11"/>
        <v>7</v>
      </c>
      <c r="BK18" s="419"/>
      <c r="BL18" s="419"/>
      <c r="BM18" s="432"/>
      <c r="BN18" s="329">
        <f t="shared" si="12"/>
        <v>7</v>
      </c>
      <c r="BO18" s="331" t="s">
        <v>405</v>
      </c>
      <c r="BP18" s="439">
        <f>FIT</f>
        <v>0.21</v>
      </c>
      <c r="BQ18" s="261"/>
      <c r="BR18" s="254">
        <f>BR16*BP18</f>
        <v>0</v>
      </c>
      <c r="BS18" s="329">
        <f t="shared" si="13"/>
        <v>7</v>
      </c>
      <c r="BT18" s="372" t="s">
        <v>406</v>
      </c>
      <c r="BU18" s="448">
        <v>1460358.28</v>
      </c>
      <c r="BV18" s="448">
        <v>8601899.1300000008</v>
      </c>
      <c r="BW18" s="448">
        <v>116870.42</v>
      </c>
      <c r="BX18" s="448">
        <v>417936.36</v>
      </c>
      <c r="BY18" s="391">
        <f t="shared" si="20"/>
        <v>10597064.189999999</v>
      </c>
      <c r="BZ18" s="329">
        <f t="shared" si="14"/>
        <v>7</v>
      </c>
      <c r="CA18" s="111" t="s">
        <v>407</v>
      </c>
      <c r="CB18" s="373">
        <v>-8661803.3200000003</v>
      </c>
      <c r="CC18" s="382">
        <f t="shared" si="15"/>
        <v>-8661803.3200000003</v>
      </c>
      <c r="CD18" s="382"/>
      <c r="CE18" s="329">
        <f t="shared" si="1"/>
        <v>7</v>
      </c>
      <c r="CF18" s="395" t="s">
        <v>408</v>
      </c>
      <c r="CI18" s="420">
        <f>+CI17*CI12</f>
        <v>420467.60000000003</v>
      </c>
      <c r="CJ18" s="329">
        <f t="shared" si="16"/>
        <v>7</v>
      </c>
      <c r="CK18" s="400"/>
      <c r="CL18" s="346"/>
      <c r="CM18" s="346"/>
      <c r="CN18" s="360"/>
      <c r="CO18" s="256"/>
      <c r="CP18" s="256"/>
      <c r="CQ18" s="256"/>
      <c r="CR18" s="256"/>
      <c r="CS18" s="256"/>
      <c r="CT18" s="329">
        <f t="shared" si="18"/>
        <v>7</v>
      </c>
      <c r="CU18" s="400"/>
      <c r="CV18" s="346"/>
      <c r="CW18" s="346"/>
      <c r="CX18" s="360"/>
      <c r="CY18" s="329">
        <v>7</v>
      </c>
      <c r="CZ18" s="111" t="str">
        <f>"CONVERSION FACTOR EXCLUDING FEDERAL INCOME TAX ( 1 - LINE "&amp;CY16&amp;" )"</f>
        <v>CONVERSION FACTOR EXCLUDING FEDERAL INCOME TAX ( 1 - LINE 5 )</v>
      </c>
      <c r="DC18" s="375">
        <f>1-DC16</f>
        <v>0.95208599999999999</v>
      </c>
      <c r="DD18" s="329">
        <f t="shared" si="21"/>
        <v>5</v>
      </c>
      <c r="DE18" s="331" t="s">
        <v>409</v>
      </c>
      <c r="DF18" s="398">
        <v>102724678.86000001</v>
      </c>
      <c r="DG18" s="398"/>
      <c r="DH18" s="398">
        <f>K13</f>
        <v>0</v>
      </c>
      <c r="DI18" s="398"/>
      <c r="DJ18" s="398" t="s">
        <v>203</v>
      </c>
      <c r="DK18" s="398">
        <f>-SUM(X19,X21,X23)</f>
        <v>16685168.350000001</v>
      </c>
      <c r="DL18" s="398"/>
      <c r="DM18" s="398"/>
      <c r="DN18" s="398"/>
      <c r="DO18" s="398"/>
      <c r="DP18" s="398"/>
      <c r="DQ18" s="398"/>
      <c r="DR18" s="329">
        <f t="shared" si="22"/>
        <v>5</v>
      </c>
      <c r="DS18" s="331" t="s">
        <v>409</v>
      </c>
      <c r="DT18" s="398"/>
      <c r="DU18" s="398"/>
      <c r="DV18" s="398"/>
      <c r="DW18" s="398"/>
      <c r="DX18" s="398">
        <v>0</v>
      </c>
      <c r="DY18" s="398"/>
      <c r="DZ18" s="398"/>
      <c r="EA18" s="398"/>
      <c r="EB18" s="398"/>
      <c r="EC18" s="398">
        <f t="shared" si="24"/>
        <v>16685168.350000001</v>
      </c>
      <c r="ED18" s="329">
        <f t="shared" si="23"/>
        <v>5</v>
      </c>
      <c r="EE18" s="331" t="s">
        <v>409</v>
      </c>
      <c r="EF18" s="391">
        <f>+DF18</f>
        <v>102724678.86000001</v>
      </c>
      <c r="EG18" s="391">
        <f>+EC18</f>
        <v>16685168.350000001</v>
      </c>
      <c r="EH18" s="398">
        <f>SUM(EF18:EG18)</f>
        <v>119409847.21000001</v>
      </c>
    </row>
    <row r="19" spans="1:140" ht="15" customHeight="1" thickBot="1">
      <c r="A19" s="350">
        <f t="shared" si="0"/>
        <v>9</v>
      </c>
      <c r="B19" s="110">
        <v>43983</v>
      </c>
      <c r="C19" s="387">
        <v>1425244538.0770001</v>
      </c>
      <c r="D19" s="387">
        <v>1425699999.5777304</v>
      </c>
      <c r="E19" s="387">
        <f t="shared" si="19"/>
        <v>455461.50073027611</v>
      </c>
      <c r="F19" s="256"/>
      <c r="H19" s="350">
        <f t="shared" si="25"/>
        <v>8</v>
      </c>
      <c r="I19" s="111" t="s">
        <v>410</v>
      </c>
      <c r="M19" s="329">
        <f t="shared" si="5"/>
        <v>8</v>
      </c>
      <c r="N19" s="111" t="s">
        <v>411</v>
      </c>
      <c r="O19" s="441">
        <f>SUM(O15:O18)</f>
        <v>83338631.339724854</v>
      </c>
      <c r="P19" s="329">
        <f t="shared" si="6"/>
        <v>8</v>
      </c>
      <c r="S19" s="346"/>
      <c r="T19" s="329">
        <v>8</v>
      </c>
      <c r="U19" s="422" t="s">
        <v>412</v>
      </c>
      <c r="X19" s="254">
        <v>1395184.45</v>
      </c>
      <c r="Y19" s="329">
        <v>8</v>
      </c>
      <c r="Z19" s="331" t="s">
        <v>413</v>
      </c>
      <c r="AA19" s="449">
        <f>+AA17-AA18</f>
        <v>-245636.53899999999</v>
      </c>
      <c r="AB19" s="435">
        <f>+AA19</f>
        <v>-245636.53899999999</v>
      </c>
      <c r="AC19" s="329">
        <f t="shared" si="7"/>
        <v>8</v>
      </c>
      <c r="AD19" s="450"/>
      <c r="AE19" s="254"/>
      <c r="AF19" s="254"/>
      <c r="AG19" s="254"/>
      <c r="AH19" s="254"/>
      <c r="AI19" s="254"/>
      <c r="AJ19" s="391"/>
      <c r="AK19" s="254"/>
      <c r="AL19" s="329">
        <f t="shared" si="8"/>
        <v>8</v>
      </c>
      <c r="AM19" s="451"/>
      <c r="AN19" s="451"/>
      <c r="AO19" s="451"/>
      <c r="AP19" s="447"/>
      <c r="AQ19" s="329">
        <v>8</v>
      </c>
      <c r="AR19" s="111"/>
      <c r="AS19" s="111"/>
      <c r="AT19" s="111"/>
      <c r="AU19" s="329">
        <f t="shared" si="9"/>
        <v>8</v>
      </c>
      <c r="AV19" s="331"/>
      <c r="AW19" s="416"/>
      <c r="AX19" s="440"/>
      <c r="AY19" s="446"/>
      <c r="BD19" s="368">
        <f t="shared" si="10"/>
        <v>8</v>
      </c>
      <c r="BE19" s="331" t="s">
        <v>369</v>
      </c>
      <c r="BH19" s="452">
        <f>BH16-BH17</f>
        <v>-251088.83089665661</v>
      </c>
      <c r="BI19" s="329">
        <f t="shared" si="11"/>
        <v>8</v>
      </c>
      <c r="BJ19" s="453" t="s">
        <v>369</v>
      </c>
      <c r="BK19" s="454"/>
      <c r="BL19" s="336"/>
      <c r="BM19" s="452">
        <f>-BM16-BM17</f>
        <v>-1486108.7675058593</v>
      </c>
      <c r="BN19" s="329">
        <f t="shared" si="12"/>
        <v>8</v>
      </c>
      <c r="BO19" s="111"/>
      <c r="BR19" s="377"/>
      <c r="BS19" s="329">
        <f t="shared" si="13"/>
        <v>8</v>
      </c>
      <c r="BT19" s="455" t="s">
        <v>414</v>
      </c>
      <c r="BU19" s="427">
        <f>SUM(BU13:BU18)</f>
        <v>4561232.33</v>
      </c>
      <c r="BV19" s="427">
        <f>SUM(BV13:BV18)</f>
        <v>53999321.009999998</v>
      </c>
      <c r="BW19" s="427">
        <f>SUM(BW13:BW18)</f>
        <v>571133.21</v>
      </c>
      <c r="BX19" s="427">
        <f>SUM(BX13:BX18)</f>
        <v>2111059.6</v>
      </c>
      <c r="BY19" s="427">
        <f>SUM(BY13:BY18)</f>
        <v>61242746.149999991</v>
      </c>
      <c r="BZ19" s="329">
        <f t="shared" si="14"/>
        <v>8</v>
      </c>
      <c r="CA19" s="111" t="s">
        <v>415</v>
      </c>
      <c r="CB19" s="420">
        <f>SUM(CB13:CB18)</f>
        <v>714116864.52999997</v>
      </c>
      <c r="CC19" s="420">
        <f>SUM(CC13:CC18)</f>
        <v>725325639.2395649</v>
      </c>
      <c r="CD19" s="420">
        <f>SUM(CD13:CD18)</f>
        <v>11208774.709564961</v>
      </c>
      <c r="CE19" s="329">
        <f t="shared" si="1"/>
        <v>8</v>
      </c>
      <c r="CF19" s="395"/>
      <c r="CJ19" s="329">
        <f t="shared" si="16"/>
        <v>8</v>
      </c>
      <c r="CK19" s="358" t="s">
        <v>416</v>
      </c>
      <c r="CO19" s="256"/>
      <c r="CP19" s="256"/>
      <c r="CQ19" s="256"/>
      <c r="CR19" s="256"/>
      <c r="CS19" s="256"/>
      <c r="CT19" s="329">
        <f t="shared" si="18"/>
        <v>8</v>
      </c>
      <c r="CU19" s="358" t="s">
        <v>417</v>
      </c>
      <c r="CY19" s="329">
        <v>8</v>
      </c>
      <c r="CZ19" s="331" t="str">
        <f>"FEDERAL INCOME TAX ( ( 1 - LINE "&amp;CY16&amp;" ) * "&amp;FIT*100&amp;"% )"</f>
        <v>FEDERAL INCOME TAX ( ( 1 - LINE 5 ) * 21% )</v>
      </c>
      <c r="DB19" s="439">
        <v>0.21</v>
      </c>
      <c r="DC19" s="456">
        <f>ROUND((1-DC16)*FIT,6)</f>
        <v>0.199938</v>
      </c>
      <c r="DD19" s="329">
        <f t="shared" si="21"/>
        <v>6</v>
      </c>
      <c r="DE19" s="331" t="s">
        <v>418</v>
      </c>
      <c r="DF19" s="369">
        <f>SUM(DF15:DF18)</f>
        <v>2359221574.3299999</v>
      </c>
      <c r="DG19" s="369">
        <f>SUM(DG15:DG18)</f>
        <v>6037715</v>
      </c>
      <c r="DH19" s="369">
        <f>SUM(DH15:DH18)</f>
        <v>53939198.159999996</v>
      </c>
      <c r="DI19" s="369">
        <f>SUM(DI15:DI18)</f>
        <v>0</v>
      </c>
      <c r="DJ19" s="369">
        <f>SUM(DJ15:DJ18)</f>
        <v>0</v>
      </c>
      <c r="DK19" s="369">
        <f>ROUND(SUM(DK15:DK18),0)</f>
        <v>-163359459</v>
      </c>
      <c r="DL19" s="369"/>
      <c r="DM19" s="369">
        <f>SUM(DM15:DM18)</f>
        <v>0</v>
      </c>
      <c r="DN19" s="369"/>
      <c r="DO19" s="369">
        <f>SUM(DO15:DO18)</f>
        <v>0</v>
      </c>
      <c r="DP19" s="369">
        <f>SUM(DP15:DP18)</f>
        <v>0</v>
      </c>
      <c r="DQ19" s="369">
        <f>SUM(DQ15:DQ18)</f>
        <v>0</v>
      </c>
      <c r="DR19" s="329">
        <f t="shared" si="22"/>
        <v>6</v>
      </c>
      <c r="DS19" s="331" t="s">
        <v>418</v>
      </c>
      <c r="DT19" s="369">
        <f t="shared" ref="DT19:EB19" si="26">SUM(DT15:DT18)</f>
        <v>0</v>
      </c>
      <c r="DU19" s="369">
        <f t="shared" si="26"/>
        <v>0</v>
      </c>
      <c r="DV19" s="369">
        <f t="shared" si="26"/>
        <v>0</v>
      </c>
      <c r="DW19" s="369">
        <f t="shared" si="26"/>
        <v>0</v>
      </c>
      <c r="DX19" s="369">
        <f t="shared" si="26"/>
        <v>0</v>
      </c>
      <c r="DY19" s="369">
        <f t="shared" si="26"/>
        <v>0</v>
      </c>
      <c r="DZ19" s="369">
        <f t="shared" si="26"/>
        <v>0</v>
      </c>
      <c r="EA19" s="369">
        <f t="shared" si="26"/>
        <v>0</v>
      </c>
      <c r="EB19" s="369">
        <f t="shared" si="26"/>
        <v>0</v>
      </c>
      <c r="EC19" s="457">
        <f t="shared" si="24"/>
        <v>-103382545.84</v>
      </c>
      <c r="ED19" s="329">
        <f t="shared" si="23"/>
        <v>6</v>
      </c>
      <c r="EE19" s="331" t="s">
        <v>418</v>
      </c>
      <c r="EF19" s="457">
        <f>SUM(EF15:EF18)</f>
        <v>2359221574.3299999</v>
      </c>
      <c r="EG19" s="457">
        <f>SUM(EG15:EG18)</f>
        <v>-103382545.99477911</v>
      </c>
      <c r="EH19" s="457">
        <f>SUM(EH15:EH18)</f>
        <v>2255839028.3352208</v>
      </c>
    </row>
    <row r="20" spans="1:140" ht="15" customHeight="1" thickTop="1" thickBot="1">
      <c r="A20" s="350">
        <f t="shared" si="0"/>
        <v>10</v>
      </c>
      <c r="B20" s="110">
        <v>44013</v>
      </c>
      <c r="C20" s="387">
        <v>1373433487.734</v>
      </c>
      <c r="D20" s="387">
        <v>1366719847.5259969</v>
      </c>
      <c r="E20" s="387">
        <f t="shared" si="19"/>
        <v>-6713640.2080030441</v>
      </c>
      <c r="F20" s="256"/>
      <c r="H20" s="350">
        <f t="shared" si="25"/>
        <v>9</v>
      </c>
      <c r="L20" s="355">
        <f>K17</f>
        <v>53939198.159999996</v>
      </c>
      <c r="M20" s="329">
        <f t="shared" si="5"/>
        <v>9</v>
      </c>
      <c r="N20" s="111" t="s">
        <v>419</v>
      </c>
      <c r="O20" s="382" t="s">
        <v>203</v>
      </c>
      <c r="P20" s="329">
        <f t="shared" si="6"/>
        <v>9</v>
      </c>
      <c r="Q20" s="111" t="s">
        <v>381</v>
      </c>
      <c r="R20" s="261"/>
      <c r="S20" s="458">
        <f>-S15+S18</f>
        <v>-142358732.81488732</v>
      </c>
      <c r="T20" s="329">
        <v>9</v>
      </c>
      <c r="U20" s="422" t="s">
        <v>420</v>
      </c>
      <c r="X20" s="254">
        <v>20028366.590790808</v>
      </c>
      <c r="Y20" s="329">
        <v>9</v>
      </c>
      <c r="Z20" s="331"/>
      <c r="AA20" s="346"/>
      <c r="AB20" s="459"/>
      <c r="AC20" s="329">
        <f t="shared" si="7"/>
        <v>9</v>
      </c>
      <c r="AD20" s="455"/>
      <c r="AE20" s="254"/>
      <c r="AF20" s="254"/>
      <c r="AG20" s="254"/>
      <c r="AH20" s="254"/>
      <c r="AI20" s="439"/>
      <c r="AJ20" s="385"/>
      <c r="AK20" s="254"/>
      <c r="AL20" s="329">
        <f t="shared" si="8"/>
        <v>9</v>
      </c>
      <c r="AM20" s="400" t="s">
        <v>369</v>
      </c>
      <c r="AN20" s="386"/>
      <c r="AO20" s="386"/>
      <c r="AP20" s="417">
        <f>AP17-AP18</f>
        <v>-2651230.1910769334</v>
      </c>
      <c r="AQ20" s="329">
        <v>9</v>
      </c>
      <c r="AR20" s="364" t="s">
        <v>421</v>
      </c>
      <c r="AS20" s="111"/>
      <c r="AT20" s="369">
        <f>AT14+AT18</f>
        <v>-139178.43120000232</v>
      </c>
      <c r="AU20" s="329">
        <f t="shared" si="9"/>
        <v>9</v>
      </c>
      <c r="AV20" s="331" t="s">
        <v>369</v>
      </c>
      <c r="AW20" s="416"/>
      <c r="AX20" s="416"/>
      <c r="AY20" s="460">
        <f>AY16-AY18</f>
        <v>14930.082039208184</v>
      </c>
      <c r="BD20" s="368"/>
      <c r="BI20" s="368"/>
      <c r="BJ20" s="331"/>
      <c r="BN20" s="329">
        <f t="shared" si="12"/>
        <v>9</v>
      </c>
      <c r="BO20" s="331" t="s">
        <v>369</v>
      </c>
      <c r="BP20" s="439"/>
      <c r="BQ20" s="381"/>
      <c r="BR20" s="417">
        <f>+BR16-BR18</f>
        <v>0</v>
      </c>
      <c r="BS20" s="329">
        <f t="shared" si="13"/>
        <v>9</v>
      </c>
      <c r="BZ20" s="329">
        <f t="shared" si="14"/>
        <v>9</v>
      </c>
      <c r="CE20" s="329">
        <f t="shared" si="1"/>
        <v>9</v>
      </c>
      <c r="CF20" s="331" t="s">
        <v>422</v>
      </c>
      <c r="CG20" s="383"/>
      <c r="CH20" s="256"/>
      <c r="CI20" s="461">
        <f>+CI15+CI18</f>
        <v>720050.76500000001</v>
      </c>
      <c r="CJ20" s="329">
        <f t="shared" si="16"/>
        <v>9</v>
      </c>
      <c r="CK20" s="462" t="s">
        <v>423</v>
      </c>
      <c r="CL20" s="360">
        <v>212064</v>
      </c>
      <c r="CM20" s="360"/>
      <c r="CN20" s="360">
        <f>CM20-CL20</f>
        <v>-212064</v>
      </c>
      <c r="CO20" s="256"/>
      <c r="CP20" s="256"/>
      <c r="CQ20" s="256"/>
      <c r="CR20" s="256"/>
      <c r="CS20" s="256"/>
      <c r="CT20" s="329">
        <f t="shared" si="18"/>
        <v>9</v>
      </c>
      <c r="CU20" s="462" t="s">
        <v>423</v>
      </c>
      <c r="CV20" s="360">
        <v>160773.44004334998</v>
      </c>
      <c r="CW20" s="360"/>
      <c r="CX20" s="360">
        <f>CW20-CV20</f>
        <v>-160773.44004334998</v>
      </c>
      <c r="CY20" s="329">
        <v>9</v>
      </c>
      <c r="CZ20" s="331" t="str">
        <f>"CONVERSION FACTOR ( 1 - LINE "&amp;CY19&amp;" )"</f>
        <v>CONVERSION FACTOR ( 1 - LINE 8 )</v>
      </c>
      <c r="DC20" s="463">
        <f>ROUND(1-DC19-DC16,6)</f>
        <v>0.75214800000000004</v>
      </c>
      <c r="DD20" s="329">
        <f t="shared" si="21"/>
        <v>7</v>
      </c>
      <c r="DF20" s="335"/>
      <c r="DG20" s="335" t="s">
        <v>203</v>
      </c>
      <c r="DH20" s="335" t="s">
        <v>203</v>
      </c>
      <c r="DI20" s="335" t="s">
        <v>203</v>
      </c>
      <c r="DJ20" s="335" t="s">
        <v>203</v>
      </c>
      <c r="DK20" s="335"/>
      <c r="DL20" s="335"/>
      <c r="DM20" s="335" t="s">
        <v>203</v>
      </c>
      <c r="DN20" s="335"/>
      <c r="DO20" s="335"/>
      <c r="DP20" s="335"/>
      <c r="DQ20" s="335" t="s">
        <v>203</v>
      </c>
      <c r="DR20" s="329">
        <f t="shared" si="22"/>
        <v>7</v>
      </c>
      <c r="DT20" s="335"/>
      <c r="DU20" s="335"/>
      <c r="DV20" s="335"/>
      <c r="DW20" s="335"/>
      <c r="DX20" s="335" t="s">
        <v>203</v>
      </c>
      <c r="DY20" s="335" t="s">
        <v>203</v>
      </c>
      <c r="DZ20" s="335"/>
      <c r="EA20" s="335"/>
      <c r="EB20" s="335"/>
      <c r="ED20" s="329">
        <f t="shared" si="23"/>
        <v>7</v>
      </c>
      <c r="EF20" s="339"/>
      <c r="EG20" s="339"/>
    </row>
    <row r="21" spans="1:140" ht="15" customHeight="1" thickTop="1" thickBot="1">
      <c r="A21" s="350">
        <f t="shared" si="0"/>
        <v>11</v>
      </c>
      <c r="B21" s="110">
        <v>44044</v>
      </c>
      <c r="C21" s="387">
        <v>1431926801.1719999</v>
      </c>
      <c r="D21" s="387">
        <v>1410785027.3091078</v>
      </c>
      <c r="E21" s="387">
        <f t="shared" si="19"/>
        <v>-21141773.862892151</v>
      </c>
      <c r="F21" s="256"/>
      <c r="H21" s="350">
        <f t="shared" si="25"/>
        <v>10</v>
      </c>
      <c r="I21" s="331" t="s">
        <v>424</v>
      </c>
      <c r="J21" s="464">
        <f>BD</f>
        <v>7.4689999999999999E-3</v>
      </c>
      <c r="K21" s="403">
        <f>L20*J21</f>
        <v>402871.87105703994</v>
      </c>
      <c r="M21" s="329">
        <f t="shared" si="5"/>
        <v>10</v>
      </c>
      <c r="N21" s="331" t="s">
        <v>365</v>
      </c>
      <c r="O21" s="360">
        <v>46951000.799999997</v>
      </c>
      <c r="P21" s="329">
        <f t="shared" si="6"/>
        <v>10</v>
      </c>
      <c r="Q21" s="111" t="s">
        <v>203</v>
      </c>
      <c r="S21" s="335" t="s">
        <v>203</v>
      </c>
      <c r="T21" s="329">
        <v>10</v>
      </c>
      <c r="U21" s="422" t="s">
        <v>425</v>
      </c>
      <c r="W21" s="465"/>
      <c r="X21" s="254">
        <v>-19049279.890000001</v>
      </c>
      <c r="Y21" s="329">
        <v>10</v>
      </c>
      <c r="Z21" s="331" t="s">
        <v>426</v>
      </c>
      <c r="AA21" s="412">
        <v>273000</v>
      </c>
      <c r="AC21" s="329">
        <f t="shared" si="7"/>
        <v>10</v>
      </c>
      <c r="AD21" s="455" t="s">
        <v>427</v>
      </c>
      <c r="AE21" s="254"/>
      <c r="AF21" s="254"/>
      <c r="AG21" s="254"/>
      <c r="AH21" s="254"/>
      <c r="AI21" s="439"/>
      <c r="AJ21" s="466">
        <f>AK16</f>
        <v>7.4689999999999999E-3</v>
      </c>
      <c r="AK21" s="254"/>
      <c r="AQ21" s="329">
        <v>10</v>
      </c>
      <c r="AR21" s="111"/>
      <c r="AS21" s="111"/>
      <c r="AT21" s="111"/>
      <c r="AU21" s="329"/>
      <c r="AV21" s="331"/>
      <c r="AW21" s="416"/>
      <c r="AX21" s="416"/>
      <c r="AY21" s="467"/>
      <c r="BD21" s="368"/>
      <c r="BF21" s="468"/>
      <c r="BG21" s="469"/>
      <c r="BH21" s="469"/>
      <c r="BS21" s="329">
        <f t="shared" si="13"/>
        <v>10</v>
      </c>
      <c r="BT21" s="111" t="s">
        <v>428</v>
      </c>
      <c r="BU21" s="254">
        <f>BU19/6</f>
        <v>760205.38833333331</v>
      </c>
      <c r="BV21" s="254">
        <f>BV19/6</f>
        <v>8999886.834999999</v>
      </c>
      <c r="BW21" s="254">
        <f>BW19/6</f>
        <v>95188.868333333332</v>
      </c>
      <c r="BX21" s="254">
        <f>BX19/6</f>
        <v>351843.26666666666</v>
      </c>
      <c r="BY21" s="441">
        <f>SUM(BU21:BX21)</f>
        <v>10207124.358333334</v>
      </c>
      <c r="BZ21" s="329">
        <f t="shared" si="14"/>
        <v>10</v>
      </c>
      <c r="CA21" s="331" t="s">
        <v>429</v>
      </c>
      <c r="CB21" s="470"/>
      <c r="CC21" s="339"/>
      <c r="CD21" s="367">
        <f>-CD19</f>
        <v>-11208774.709564961</v>
      </c>
      <c r="CE21" s="329">
        <f t="shared" si="1"/>
        <v>10</v>
      </c>
      <c r="CF21" s="331" t="s">
        <v>430</v>
      </c>
      <c r="CG21" s="383"/>
      <c r="CH21" s="256"/>
      <c r="CI21" s="398">
        <v>726974</v>
      </c>
      <c r="CJ21" s="329">
        <f t="shared" si="16"/>
        <v>10</v>
      </c>
      <c r="CK21" s="471" t="s">
        <v>431</v>
      </c>
      <c r="CL21" s="472">
        <f>+CL20</f>
        <v>212064</v>
      </c>
      <c r="CM21" s="472">
        <f>+CM20</f>
        <v>0</v>
      </c>
      <c r="CN21" s="472">
        <f>+CN20</f>
        <v>-212064</v>
      </c>
      <c r="CO21" s="256"/>
      <c r="CP21" s="256"/>
      <c r="CQ21" s="256"/>
      <c r="CR21" s="256"/>
      <c r="CS21" s="256"/>
      <c r="CT21" s="329">
        <f t="shared" si="18"/>
        <v>10</v>
      </c>
      <c r="CU21" s="471" t="s">
        <v>431</v>
      </c>
      <c r="CV21" s="472">
        <f>+CV20</f>
        <v>160773.44004334998</v>
      </c>
      <c r="CW21" s="472">
        <f>+CW20</f>
        <v>0</v>
      </c>
      <c r="CX21" s="472">
        <f>+CX20</f>
        <v>-160773.44004334998</v>
      </c>
      <c r="DC21" s="329"/>
      <c r="DD21" s="329">
        <f t="shared" si="21"/>
        <v>8</v>
      </c>
      <c r="DE21" s="331" t="s">
        <v>432</v>
      </c>
      <c r="DF21" s="335"/>
      <c r="DG21" s="335"/>
      <c r="DH21" s="335"/>
      <c r="DI21" s="335"/>
      <c r="DJ21" s="335"/>
      <c r="DK21" s="335"/>
      <c r="DL21" s="335"/>
      <c r="DM21" s="335"/>
      <c r="DN21" s="335"/>
      <c r="DO21" s="335"/>
      <c r="DP21" s="335"/>
      <c r="DQ21" s="335"/>
      <c r="DR21" s="329">
        <f t="shared" si="22"/>
        <v>8</v>
      </c>
      <c r="DS21" s="331" t="s">
        <v>432</v>
      </c>
      <c r="DT21" s="335"/>
      <c r="DU21" s="335"/>
      <c r="DV21" s="335"/>
      <c r="DW21" s="335"/>
      <c r="DX21" s="335"/>
      <c r="DY21" s="335"/>
      <c r="DZ21" s="335"/>
      <c r="EA21" s="335"/>
      <c r="EB21" s="335"/>
      <c r="EC21" s="335"/>
      <c r="ED21" s="329">
        <f t="shared" si="23"/>
        <v>8</v>
      </c>
      <c r="EE21" s="471" t="s">
        <v>432</v>
      </c>
      <c r="EF21" s="339"/>
      <c r="EG21" s="339"/>
      <c r="EH21" s="335"/>
    </row>
    <row r="22" spans="1:140" ht="15" customHeight="1" thickTop="1">
      <c r="A22" s="350">
        <f t="shared" si="0"/>
        <v>12</v>
      </c>
      <c r="B22" s="110">
        <v>44075</v>
      </c>
      <c r="C22" s="387">
        <v>1448210344.4650002</v>
      </c>
      <c r="D22" s="387">
        <v>1402888586.9475672</v>
      </c>
      <c r="E22" s="387">
        <f t="shared" si="19"/>
        <v>-45321757.517432928</v>
      </c>
      <c r="F22" s="256"/>
      <c r="H22" s="350">
        <f t="shared" si="25"/>
        <v>11</v>
      </c>
      <c r="I22" s="331" t="s">
        <v>433</v>
      </c>
      <c r="J22" s="464">
        <f>FF</f>
        <v>2E-3</v>
      </c>
      <c r="K22" s="473">
        <f>L20*J22</f>
        <v>107878.39632</v>
      </c>
      <c r="L22" s="254"/>
      <c r="M22" s="329">
        <f t="shared" si="5"/>
        <v>11</v>
      </c>
      <c r="N22" s="111" t="s">
        <v>434</v>
      </c>
      <c r="O22" s="360">
        <v>243099351.47</v>
      </c>
      <c r="P22" s="329">
        <f t="shared" si="6"/>
        <v>11</v>
      </c>
      <c r="Q22" s="111" t="s">
        <v>435</v>
      </c>
      <c r="R22" s="439">
        <f>FIT</f>
        <v>0.21</v>
      </c>
      <c r="S22" s="367">
        <f>+S20*R22</f>
        <v>-29895333.891126335</v>
      </c>
      <c r="T22" s="329">
        <v>11</v>
      </c>
      <c r="U22" s="364" t="s">
        <v>436</v>
      </c>
      <c r="X22" s="254">
        <v>6391283.5599999996</v>
      </c>
      <c r="Y22" s="329">
        <v>11</v>
      </c>
      <c r="Z22" s="331"/>
      <c r="AA22" s="360"/>
      <c r="AC22" s="329">
        <f t="shared" si="7"/>
        <v>11</v>
      </c>
      <c r="AD22" s="455" t="s">
        <v>437</v>
      </c>
      <c r="AE22" s="254"/>
      <c r="AF22" s="254"/>
      <c r="AG22" s="254"/>
      <c r="AH22" s="254"/>
      <c r="AI22" s="254"/>
      <c r="AJ22" s="385">
        <f>AJ18*AJ21</f>
        <v>15747738.60174438</v>
      </c>
      <c r="AK22" s="355"/>
      <c r="AQ22" s="329">
        <v>11</v>
      </c>
      <c r="AR22" s="111" t="s">
        <v>438</v>
      </c>
      <c r="AS22" s="111"/>
      <c r="AT22" s="369">
        <f>-(AT14+AT18)</f>
        <v>139178.43120000232</v>
      </c>
      <c r="AU22" s="331" t="s">
        <v>203</v>
      </c>
      <c r="AV22" s="331"/>
      <c r="AW22" s="416"/>
      <c r="AX22" s="416"/>
      <c r="AY22" s="416"/>
      <c r="BD22" s="368"/>
      <c r="BE22" s="331"/>
      <c r="BF22" s="383"/>
      <c r="BG22" s="469"/>
      <c r="BH22" s="469"/>
      <c r="BI22" s="469"/>
      <c r="BJ22" s="469"/>
      <c r="BK22" s="469"/>
      <c r="BL22" s="469"/>
      <c r="BM22" s="469"/>
      <c r="BS22" s="329">
        <f t="shared" si="13"/>
        <v>11</v>
      </c>
      <c r="BU22" s="254"/>
      <c r="BV22" s="355"/>
      <c r="BW22" s="355"/>
      <c r="BX22" s="355"/>
      <c r="BY22" s="355"/>
      <c r="BZ22" s="329">
        <f t="shared" si="14"/>
        <v>11</v>
      </c>
      <c r="CA22" s="470"/>
      <c r="CB22" s="470"/>
      <c r="CC22" s="339" t="s">
        <v>203</v>
      </c>
      <c r="CD22" s="339"/>
      <c r="CE22" s="329">
        <f t="shared" si="1"/>
        <v>11</v>
      </c>
      <c r="CF22" s="331" t="s">
        <v>381</v>
      </c>
      <c r="CG22" s="334"/>
      <c r="CH22" s="256"/>
      <c r="CI22" s="357">
        <f>CI21-CI20</f>
        <v>6923.234999999986</v>
      </c>
      <c r="CJ22" s="329">
        <f t="shared" si="16"/>
        <v>11</v>
      </c>
      <c r="CK22" s="471"/>
      <c r="CL22" s="355"/>
      <c r="CM22" s="355"/>
      <c r="CN22" s="355"/>
      <c r="CO22" s="256"/>
      <c r="CP22" s="256"/>
      <c r="CQ22" s="256"/>
      <c r="CR22" s="256"/>
      <c r="CS22" s="256"/>
      <c r="CT22" s="329">
        <f t="shared" si="18"/>
        <v>11</v>
      </c>
      <c r="CU22" s="471"/>
      <c r="CV22" s="355"/>
      <c r="CW22" s="355"/>
      <c r="CX22" s="355"/>
      <c r="DC22" s="474"/>
      <c r="DD22" s="329">
        <f t="shared" si="21"/>
        <v>9</v>
      </c>
      <c r="DR22" s="329">
        <f t="shared" si="22"/>
        <v>9</v>
      </c>
      <c r="ED22" s="329">
        <f t="shared" si="23"/>
        <v>9</v>
      </c>
      <c r="EF22" s="339"/>
      <c r="EG22" s="339"/>
    </row>
    <row r="23" spans="1:140" ht="15" customHeight="1">
      <c r="A23" s="350">
        <f t="shared" si="0"/>
        <v>13</v>
      </c>
      <c r="B23" s="110">
        <v>44105</v>
      </c>
      <c r="C23" s="387">
        <v>1419285553.5860002</v>
      </c>
      <c r="D23" s="387">
        <v>1439139441.8783855</v>
      </c>
      <c r="E23" s="387">
        <f t="shared" si="19"/>
        <v>19853888.29238534</v>
      </c>
      <c r="F23" s="256"/>
      <c r="H23" s="350">
        <f t="shared" si="25"/>
        <v>12</v>
      </c>
      <c r="I23" s="397" t="s">
        <v>413</v>
      </c>
      <c r="J23" s="464"/>
      <c r="K23" s="381"/>
      <c r="L23" s="254"/>
      <c r="M23" s="329">
        <f t="shared" si="5"/>
        <v>12</v>
      </c>
      <c r="N23" s="111" t="s">
        <v>439</v>
      </c>
      <c r="O23" s="360">
        <v>-179278138.65000001</v>
      </c>
      <c r="P23" s="329">
        <f t="shared" si="6"/>
        <v>12</v>
      </c>
      <c r="Q23" s="346"/>
      <c r="R23" s="475"/>
      <c r="S23" s="476"/>
      <c r="T23" s="329">
        <v>12</v>
      </c>
      <c r="U23" s="364" t="s">
        <v>440</v>
      </c>
      <c r="V23" s="439"/>
      <c r="X23" s="254">
        <v>968927.09</v>
      </c>
      <c r="Y23" s="329">
        <v>12</v>
      </c>
      <c r="Z23" s="434" t="s">
        <v>692</v>
      </c>
      <c r="AA23" s="435">
        <f>AA21/4</f>
        <v>68250</v>
      </c>
      <c r="AC23" s="329">
        <f t="shared" si="7"/>
        <v>12</v>
      </c>
      <c r="AQ23" s="329">
        <v>12</v>
      </c>
      <c r="AR23" s="111"/>
      <c r="AS23" s="111"/>
      <c r="AT23" s="111"/>
      <c r="AU23" s="331"/>
      <c r="AV23" s="331"/>
      <c r="AW23" s="416"/>
      <c r="AX23" s="416"/>
      <c r="AY23" s="416"/>
      <c r="BI23" s="469"/>
      <c r="BJ23" s="469"/>
      <c r="BK23" s="469"/>
      <c r="BL23" s="469"/>
      <c r="BM23" s="469"/>
      <c r="BS23" s="329">
        <f t="shared" si="13"/>
        <v>12</v>
      </c>
      <c r="BT23" s="477" t="s">
        <v>441</v>
      </c>
      <c r="BU23" s="441"/>
      <c r="BV23" s="441"/>
      <c r="BW23" s="441"/>
      <c r="BX23" s="441"/>
      <c r="BY23" s="441"/>
      <c r="BZ23" s="329">
        <f t="shared" si="14"/>
        <v>12</v>
      </c>
      <c r="CA23" s="331" t="s">
        <v>442</v>
      </c>
      <c r="CB23" s="439">
        <f>FIT</f>
        <v>0.21</v>
      </c>
      <c r="CC23" s="478"/>
      <c r="CD23" s="398">
        <f>CD21*CB23</f>
        <v>-2353842.689008642</v>
      </c>
      <c r="CE23" s="329">
        <f t="shared" si="1"/>
        <v>12</v>
      </c>
      <c r="CG23" s="335"/>
      <c r="CH23" s="256"/>
      <c r="CI23" s="335" t="s">
        <v>203</v>
      </c>
      <c r="CJ23" s="329">
        <f t="shared" si="16"/>
        <v>12</v>
      </c>
      <c r="CK23" s="111" t="s">
        <v>392</v>
      </c>
      <c r="CL23" s="421"/>
      <c r="CM23" s="439">
        <f>FIT</f>
        <v>0.21</v>
      </c>
      <c r="CN23" s="430">
        <f>-CN21*CM23</f>
        <v>44533.439999999995</v>
      </c>
      <c r="CO23" s="256"/>
      <c r="CP23" s="256"/>
      <c r="CQ23" s="256"/>
      <c r="CR23" s="256"/>
      <c r="CS23" s="256"/>
      <c r="CT23" s="329">
        <f t="shared" si="18"/>
        <v>12</v>
      </c>
      <c r="CU23" s="111" t="s">
        <v>392</v>
      </c>
      <c r="CV23" s="421"/>
      <c r="CW23" s="439">
        <f>FIT</f>
        <v>0.21</v>
      </c>
      <c r="CX23" s="430">
        <f>-CX21*CW23</f>
        <v>33762.422409103492</v>
      </c>
      <c r="DC23" s="474"/>
      <c r="DD23" s="329">
        <f t="shared" si="21"/>
        <v>10</v>
      </c>
      <c r="DE23" s="331" t="s">
        <v>443</v>
      </c>
      <c r="DF23" s="335"/>
      <c r="DG23" s="335"/>
      <c r="DH23" s="335"/>
      <c r="DI23" s="335"/>
      <c r="DJ23" s="335"/>
      <c r="DK23" s="335"/>
      <c r="DL23" s="335"/>
      <c r="DM23" s="335"/>
      <c r="DN23" s="335"/>
      <c r="DO23" s="335"/>
      <c r="DP23" s="335"/>
      <c r="DQ23" s="335"/>
      <c r="DR23" s="329">
        <f t="shared" si="22"/>
        <v>10</v>
      </c>
      <c r="DS23" s="331" t="s">
        <v>443</v>
      </c>
      <c r="DT23" s="335"/>
      <c r="DU23" s="335"/>
      <c r="DV23" s="335"/>
      <c r="DW23" s="335"/>
      <c r="DX23" s="335"/>
      <c r="DY23" s="335"/>
      <c r="DZ23" s="335"/>
      <c r="EA23" s="335"/>
      <c r="EB23" s="335"/>
      <c r="EC23" s="335"/>
      <c r="ED23" s="329">
        <f t="shared" si="23"/>
        <v>10</v>
      </c>
      <c r="EE23" s="338" t="s">
        <v>443</v>
      </c>
      <c r="EF23" s="339"/>
      <c r="EG23" s="339"/>
      <c r="EH23" s="335"/>
    </row>
    <row r="24" spans="1:140" ht="15" customHeight="1" thickBot="1">
      <c r="A24" s="350">
        <f t="shared" si="0"/>
        <v>14</v>
      </c>
      <c r="B24" s="110">
        <v>44136</v>
      </c>
      <c r="C24" s="387">
        <v>1605388333.1079998</v>
      </c>
      <c r="D24" s="387">
        <v>1623128522.133759</v>
      </c>
      <c r="E24" s="387">
        <f t="shared" si="19"/>
        <v>17740189.02575922</v>
      </c>
      <c r="F24" s="256"/>
      <c r="H24" s="350">
        <f t="shared" si="25"/>
        <v>13</v>
      </c>
      <c r="I24" s="331"/>
      <c r="J24" s="464"/>
      <c r="K24" s="360"/>
      <c r="L24" s="254">
        <f>SUM(K21:K22)</f>
        <v>510750.26737703994</v>
      </c>
      <c r="M24" s="329">
        <f t="shared" si="5"/>
        <v>13</v>
      </c>
      <c r="N24" s="111" t="s">
        <v>444</v>
      </c>
      <c r="O24" s="430">
        <v>0</v>
      </c>
      <c r="P24" s="329">
        <f t="shared" si="6"/>
        <v>13</v>
      </c>
      <c r="Q24" s="331" t="s">
        <v>445</v>
      </c>
      <c r="R24" s="479"/>
      <c r="S24" s="480">
        <f>-S22</f>
        <v>29895333.891126335</v>
      </c>
      <c r="T24" s="329">
        <v>13</v>
      </c>
      <c r="U24" s="364" t="s">
        <v>446</v>
      </c>
      <c r="V24" s="439"/>
      <c r="X24" s="254">
        <v>-12.52</v>
      </c>
      <c r="Y24" s="329">
        <v>13</v>
      </c>
      <c r="Z24" s="353" t="s">
        <v>402</v>
      </c>
      <c r="AA24" s="398">
        <v>258666.92</v>
      </c>
      <c r="AC24" s="329">
        <f t="shared" si="7"/>
        <v>13</v>
      </c>
      <c r="AD24" s="111" t="s">
        <v>447</v>
      </c>
      <c r="AF24" s="369"/>
      <c r="AG24" s="369"/>
      <c r="AH24" s="369"/>
      <c r="AI24" s="369"/>
      <c r="AJ24" s="481">
        <v>17690542.470180001</v>
      </c>
      <c r="AQ24" s="329">
        <v>13</v>
      </c>
      <c r="AR24" s="111" t="s">
        <v>442</v>
      </c>
      <c r="AS24" s="439">
        <f>FIT</f>
        <v>0.21</v>
      </c>
      <c r="AT24" s="428">
        <f>ROUND(AT22*AS24,0)</f>
        <v>29227</v>
      </c>
      <c r="AU24" s="331"/>
      <c r="AV24" s="331"/>
      <c r="AW24" s="416"/>
      <c r="AX24" s="416"/>
      <c r="AY24" s="416"/>
      <c r="BI24" s="475"/>
      <c r="BJ24" s="475"/>
      <c r="BK24" s="475"/>
      <c r="BL24" s="475"/>
      <c r="BM24" s="475"/>
      <c r="BS24" s="329">
        <f t="shared" si="13"/>
        <v>13</v>
      </c>
      <c r="BT24" s="482" t="s">
        <v>448</v>
      </c>
      <c r="BU24" s="391">
        <v>1460358.28</v>
      </c>
      <c r="BV24" s="391">
        <v>8601899.1300000008</v>
      </c>
      <c r="BW24" s="391">
        <v>116870.42</v>
      </c>
      <c r="BX24" s="391">
        <v>417936.36</v>
      </c>
      <c r="BY24" s="391">
        <f t="shared" ref="BY24" si="27">SUM(BU24:BX24)</f>
        <v>10597064.189999999</v>
      </c>
      <c r="BZ24" s="329">
        <f t="shared" si="14"/>
        <v>13</v>
      </c>
      <c r="CA24" s="331" t="s">
        <v>449</v>
      </c>
      <c r="CB24" s="339" t="s">
        <v>203</v>
      </c>
      <c r="CC24" s="339"/>
      <c r="CD24" s="417">
        <f>CD21-CD23</f>
        <v>-8854932.0205563195</v>
      </c>
      <c r="CE24" s="329">
        <f t="shared" si="1"/>
        <v>13</v>
      </c>
      <c r="CF24" s="331" t="s">
        <v>435</v>
      </c>
      <c r="CG24" s="439">
        <f>FIT</f>
        <v>0.21</v>
      </c>
      <c r="CH24" s="261"/>
      <c r="CI24" s="391">
        <f>CI22*CG24</f>
        <v>1453.879349999997</v>
      </c>
      <c r="CJ24" s="329">
        <f t="shared" si="16"/>
        <v>13</v>
      </c>
      <c r="CK24" s="331" t="s">
        <v>369</v>
      </c>
      <c r="CL24" s="421"/>
      <c r="CM24" s="421"/>
      <c r="CN24" s="472">
        <f>-CN21-CN23</f>
        <v>167530.56</v>
      </c>
      <c r="CO24" s="256"/>
      <c r="CP24" s="256"/>
      <c r="CQ24" s="256"/>
      <c r="CR24" s="256"/>
      <c r="CS24" s="256"/>
      <c r="CT24" s="329">
        <f t="shared" si="18"/>
        <v>13</v>
      </c>
      <c r="CU24" s="331" t="s">
        <v>369</v>
      </c>
      <c r="CV24" s="421"/>
      <c r="CW24" s="421"/>
      <c r="CX24" s="472">
        <f>-CX21-CX23</f>
        <v>127011.0176342465</v>
      </c>
      <c r="DC24" s="258"/>
      <c r="DD24" s="329">
        <f t="shared" si="21"/>
        <v>11</v>
      </c>
      <c r="DE24" s="331" t="s">
        <v>450</v>
      </c>
      <c r="DF24" s="367">
        <v>199106695.59</v>
      </c>
      <c r="DG24" s="357">
        <v>0</v>
      </c>
      <c r="DH24" s="357">
        <v>0</v>
      </c>
      <c r="DI24" s="357">
        <v>0</v>
      </c>
      <c r="DJ24" s="357">
        <v>0</v>
      </c>
      <c r="DK24" s="357">
        <v>0</v>
      </c>
      <c r="DL24" s="357"/>
      <c r="DM24" s="357">
        <v>0</v>
      </c>
      <c r="DN24" s="357"/>
      <c r="DO24" s="357">
        <v>0</v>
      </c>
      <c r="DP24" s="357">
        <v>0</v>
      </c>
      <c r="DQ24" s="357">
        <v>0</v>
      </c>
      <c r="DR24" s="329">
        <f t="shared" si="22"/>
        <v>11</v>
      </c>
      <c r="DS24" s="331" t="s">
        <v>450</v>
      </c>
      <c r="DT24" s="357">
        <v>0</v>
      </c>
      <c r="DU24" s="357"/>
      <c r="DV24" s="357">
        <v>0</v>
      </c>
      <c r="DW24" s="357"/>
      <c r="DX24" s="357">
        <f>CD13</f>
        <v>0</v>
      </c>
      <c r="DY24" s="357">
        <v>0</v>
      </c>
      <c r="DZ24" s="357"/>
      <c r="EA24" s="357"/>
      <c r="EB24" s="357"/>
      <c r="EC24" s="357">
        <f t="shared" si="24"/>
        <v>0</v>
      </c>
      <c r="ED24" s="329">
        <f t="shared" si="23"/>
        <v>11</v>
      </c>
      <c r="EE24" s="331" t="s">
        <v>451</v>
      </c>
      <c r="EF24" s="369">
        <f>+DF24</f>
        <v>199106695.59</v>
      </c>
      <c r="EG24" s="369">
        <f>+EC24</f>
        <v>0</v>
      </c>
      <c r="EH24" s="357">
        <f>SUM(EF24:EG24)</f>
        <v>199106695.59</v>
      </c>
    </row>
    <row r="25" spans="1:140" ht="15" customHeight="1" thickTop="1" thickBot="1">
      <c r="A25" s="350">
        <f t="shared" si="0"/>
        <v>15</v>
      </c>
      <c r="B25" s="110">
        <v>44166</v>
      </c>
      <c r="C25" s="387">
        <v>1932413961.9789999</v>
      </c>
      <c r="D25" s="387">
        <v>2022016177.2666292</v>
      </c>
      <c r="E25" s="387">
        <f t="shared" si="19"/>
        <v>89602215.287629366</v>
      </c>
      <c r="F25" s="256"/>
      <c r="H25" s="350">
        <f t="shared" si="25"/>
        <v>14</v>
      </c>
      <c r="I25" s="331" t="s">
        <v>452</v>
      </c>
      <c r="J25" s="464">
        <f>UTN</f>
        <v>3.8445E-2</v>
      </c>
      <c r="K25" s="401">
        <f>L20*J25</f>
        <v>2073692.4732611999</v>
      </c>
      <c r="L25" s="254"/>
      <c r="M25" s="329">
        <f t="shared" si="5"/>
        <v>14</v>
      </c>
      <c r="N25" s="331" t="s">
        <v>453</v>
      </c>
      <c r="O25" s="360">
        <f>O21+O22+O23+O24</f>
        <v>110772213.61999997</v>
      </c>
      <c r="P25" s="329"/>
      <c r="T25" s="329">
        <v>14</v>
      </c>
      <c r="U25" s="364" t="s">
        <v>454</v>
      </c>
      <c r="V25" s="346"/>
      <c r="W25" s="355"/>
      <c r="X25" s="441">
        <v>4594209.1748102978</v>
      </c>
      <c r="Y25" s="329">
        <v>14</v>
      </c>
      <c r="Z25" s="331" t="s">
        <v>413</v>
      </c>
      <c r="AA25" s="449">
        <f>+AA23-AA24</f>
        <v>-190416.92</v>
      </c>
      <c r="AB25" s="483">
        <f>+AA25</f>
        <v>-190416.92</v>
      </c>
      <c r="AC25" s="329">
        <f t="shared" si="7"/>
        <v>14</v>
      </c>
      <c r="AD25" s="111" t="s">
        <v>413</v>
      </c>
      <c r="AJ25" s="484"/>
      <c r="AK25" s="355">
        <f>ROUND(AJ22-AJ24,0)</f>
        <v>-1942804</v>
      </c>
      <c r="AQ25" s="329">
        <v>14</v>
      </c>
      <c r="AR25" s="111"/>
      <c r="AS25" s="485"/>
      <c r="AT25" s="428"/>
      <c r="AU25" s="331"/>
      <c r="AV25" s="331"/>
      <c r="AW25" s="331"/>
      <c r="AX25" s="486"/>
      <c r="AY25" s="416"/>
      <c r="BI25" s="355"/>
      <c r="BJ25" s="355"/>
      <c r="BK25" s="355"/>
      <c r="BL25" s="355"/>
      <c r="BM25" s="355"/>
      <c r="BS25" s="329">
        <f t="shared" si="13"/>
        <v>14</v>
      </c>
      <c r="BU25" s="254"/>
      <c r="BV25" s="254"/>
      <c r="BW25" s="254"/>
      <c r="BX25" s="254"/>
      <c r="BY25" s="254"/>
      <c r="BZ25" s="329">
        <f t="shared" si="14"/>
        <v>14</v>
      </c>
      <c r="CE25" s="329">
        <f t="shared" si="1"/>
        <v>14</v>
      </c>
      <c r="CF25" s="331" t="s">
        <v>369</v>
      </c>
      <c r="CG25" s="439"/>
      <c r="CH25" s="381"/>
      <c r="CI25" s="417">
        <f>CI22-CI24</f>
        <v>5469.3556499999886</v>
      </c>
      <c r="CJ25" s="421"/>
      <c r="CO25" s="256"/>
      <c r="CP25" s="256"/>
      <c r="CQ25" s="256"/>
      <c r="CR25" s="256"/>
      <c r="CS25" s="256"/>
      <c r="CT25" s="421"/>
      <c r="DC25" s="487"/>
      <c r="DD25" s="329">
        <f t="shared" si="21"/>
        <v>12</v>
      </c>
      <c r="DE25" s="331" t="s">
        <v>455</v>
      </c>
      <c r="DF25" s="382">
        <v>547792785.23000002</v>
      </c>
      <c r="DG25" s="343"/>
      <c r="DH25" s="343"/>
      <c r="DI25" s="343"/>
      <c r="DJ25" s="343"/>
      <c r="DK25" s="343">
        <f>SUM(X42,X46)</f>
        <v>-7908273.9499999993</v>
      </c>
      <c r="DL25" s="343"/>
      <c r="DM25" s="343"/>
      <c r="DN25" s="343"/>
      <c r="DO25" s="343"/>
      <c r="DP25" s="343"/>
      <c r="DQ25" s="343"/>
      <c r="DR25" s="329">
        <f t="shared" si="22"/>
        <v>12</v>
      </c>
      <c r="DS25" s="331" t="s">
        <v>455</v>
      </c>
      <c r="DT25" s="343"/>
      <c r="DU25" s="343"/>
      <c r="DV25" s="343"/>
      <c r="DW25" s="343"/>
      <c r="DX25" s="343">
        <f>SUM(CD14:CD14)</f>
        <v>11208774.709564961</v>
      </c>
      <c r="DY25" s="343"/>
      <c r="DZ25" s="343"/>
      <c r="EA25" s="343"/>
      <c r="EB25" s="343"/>
      <c r="EC25" s="343">
        <f t="shared" si="24"/>
        <v>3300500.7595649622</v>
      </c>
      <c r="ED25" s="329">
        <f t="shared" si="23"/>
        <v>12</v>
      </c>
      <c r="EE25" s="331" t="s">
        <v>456</v>
      </c>
      <c r="EF25" s="254">
        <f>+DF25</f>
        <v>547792785.23000002</v>
      </c>
      <c r="EG25" s="254">
        <f>+EC25</f>
        <v>3300500.7595649622</v>
      </c>
      <c r="EH25" s="343">
        <f>SUM(EF25:EG25)</f>
        <v>551093285.98956501</v>
      </c>
    </row>
    <row r="26" spans="1:140" ht="15" customHeight="1" thickTop="1" thickBot="1">
      <c r="A26" s="350">
        <f t="shared" si="0"/>
        <v>16</v>
      </c>
      <c r="C26" s="488">
        <f>SUM(C14:C25)</f>
        <v>19639195411.624001</v>
      </c>
      <c r="D26" s="488">
        <f>SUM(D14:D25)</f>
        <v>19793260369.204735</v>
      </c>
      <c r="E26" s="488">
        <f>SUM(E14:E25)</f>
        <v>154064957.58073664</v>
      </c>
      <c r="F26" s="256"/>
      <c r="H26" s="350">
        <f t="shared" si="25"/>
        <v>15</v>
      </c>
      <c r="I26" s="397" t="s">
        <v>457</v>
      </c>
      <c r="K26" s="360"/>
      <c r="L26" s="254"/>
      <c r="M26" s="329">
        <f t="shared" si="5"/>
        <v>15</v>
      </c>
      <c r="O26" s="360"/>
      <c r="P26" s="329"/>
      <c r="Q26" s="256"/>
      <c r="R26" s="256"/>
      <c r="S26" s="256"/>
      <c r="T26" s="329">
        <v>15</v>
      </c>
      <c r="U26" s="364" t="s">
        <v>458</v>
      </c>
      <c r="V26" s="346"/>
      <c r="W26" s="355"/>
      <c r="X26" s="391">
        <v>-11271981.810822034</v>
      </c>
      <c r="Y26" s="329">
        <v>15</v>
      </c>
      <c r="AB26" s="424"/>
      <c r="AC26" s="329">
        <f t="shared" si="7"/>
        <v>15</v>
      </c>
      <c r="AJ26" s="484"/>
      <c r="AQ26" s="329">
        <v>15</v>
      </c>
      <c r="AR26" s="111" t="s">
        <v>449</v>
      </c>
      <c r="AS26" s="111"/>
      <c r="AT26" s="460">
        <f>AT22-AT24</f>
        <v>109951.43120000232</v>
      </c>
      <c r="AU26" s="331"/>
      <c r="AV26" s="331"/>
      <c r="AW26" s="331"/>
      <c r="AX26" s="331"/>
      <c r="AY26" s="416"/>
      <c r="BI26" s="256"/>
      <c r="BJ26" s="256"/>
      <c r="BK26" s="256"/>
      <c r="BL26" s="256"/>
      <c r="BM26" s="256"/>
      <c r="BS26" s="329">
        <f t="shared" si="13"/>
        <v>15</v>
      </c>
      <c r="BT26" s="443" t="s">
        <v>459</v>
      </c>
      <c r="BU26" s="441">
        <f>BU21-BU24</f>
        <v>-700152.89166666672</v>
      </c>
      <c r="BV26" s="441">
        <f>BV21-BV24</f>
        <v>397987.70499999821</v>
      </c>
      <c r="BW26" s="441">
        <f>BW21-BW24</f>
        <v>-21681.551666666666</v>
      </c>
      <c r="BX26" s="441">
        <f>BX21-BX24</f>
        <v>-66093.093333333323</v>
      </c>
      <c r="BY26" s="441">
        <f>BY21-BY24</f>
        <v>-389939.83166666515</v>
      </c>
      <c r="BZ26" s="329">
        <f t="shared" si="14"/>
        <v>15</v>
      </c>
      <c r="CE26" s="339"/>
      <c r="CH26" s="259"/>
      <c r="CJ26" s="421"/>
      <c r="CK26" s="256"/>
      <c r="CL26" s="256"/>
      <c r="CM26" s="256"/>
      <c r="CN26" s="256"/>
      <c r="CO26" s="421"/>
      <c r="CP26" s="256"/>
      <c r="CQ26" s="256"/>
      <c r="CR26" s="256"/>
      <c r="CS26" s="256"/>
      <c r="CT26" s="421"/>
      <c r="CU26" s="256"/>
      <c r="CV26" s="256"/>
      <c r="CW26" s="256"/>
      <c r="CX26" s="256"/>
      <c r="DC26" s="258"/>
      <c r="DD26" s="329">
        <f t="shared" si="21"/>
        <v>13</v>
      </c>
      <c r="DE26" s="331" t="s">
        <v>460</v>
      </c>
      <c r="DF26" s="382">
        <v>123613131.13</v>
      </c>
      <c r="DG26" s="343"/>
      <c r="DH26" s="343"/>
      <c r="DI26" s="343"/>
      <c r="DJ26" s="343"/>
      <c r="DK26" s="343"/>
      <c r="DL26" s="343"/>
      <c r="DM26" s="343"/>
      <c r="DN26" s="343"/>
      <c r="DO26" s="343"/>
      <c r="DP26" s="343"/>
      <c r="DQ26" s="343"/>
      <c r="DR26" s="329">
        <f t="shared" si="22"/>
        <v>13</v>
      </c>
      <c r="DS26" s="331" t="s">
        <v>460</v>
      </c>
      <c r="DT26" s="343"/>
      <c r="DU26" s="343"/>
      <c r="DV26" s="343"/>
      <c r="DW26" s="343"/>
      <c r="DX26" s="343"/>
      <c r="DY26" s="343"/>
      <c r="DZ26" s="343"/>
      <c r="EA26" s="343"/>
      <c r="EB26" s="343"/>
      <c r="EC26" s="343">
        <f t="shared" si="24"/>
        <v>0</v>
      </c>
      <c r="ED26" s="329">
        <f t="shared" si="23"/>
        <v>13</v>
      </c>
      <c r="EE26" s="331" t="s">
        <v>461</v>
      </c>
      <c r="EF26" s="254">
        <f>+DF26</f>
        <v>123613131.13</v>
      </c>
      <c r="EG26" s="254">
        <f>+EC26</f>
        <v>0</v>
      </c>
      <c r="EH26" s="343">
        <f>SUM(EF26:EG26)</f>
        <v>123613131.13</v>
      </c>
    </row>
    <row r="27" spans="1:140" ht="15" customHeight="1" thickTop="1">
      <c r="A27" s="350">
        <f t="shared" si="0"/>
        <v>17</v>
      </c>
      <c r="C27" s="259"/>
      <c r="D27" s="259"/>
      <c r="F27" s="256"/>
      <c r="H27" s="350">
        <f t="shared" si="25"/>
        <v>16</v>
      </c>
      <c r="I27" s="331"/>
      <c r="L27" s="441">
        <f>SUM(K25:K25)</f>
        <v>2073692.4732611999</v>
      </c>
      <c r="M27" s="329">
        <f t="shared" si="5"/>
        <v>16</v>
      </c>
      <c r="N27" s="331" t="s">
        <v>462</v>
      </c>
      <c r="O27" s="360">
        <f>O15-O21</f>
        <v>33418500.073694855</v>
      </c>
      <c r="P27" s="329"/>
      <c r="Q27" s="256"/>
      <c r="R27" s="256"/>
      <c r="S27" s="256"/>
      <c r="T27" s="329">
        <v>16</v>
      </c>
      <c r="U27" s="383" t="s">
        <v>463</v>
      </c>
      <c r="V27" s="489"/>
      <c r="W27" s="435"/>
      <c r="X27" s="355">
        <f>SUM(X13:X26)</f>
        <v>163359459.15477911</v>
      </c>
      <c r="Y27" s="329">
        <v>16</v>
      </c>
      <c r="Z27" s="331"/>
      <c r="AA27" s="254"/>
      <c r="AB27" s="483"/>
      <c r="AC27" s="329">
        <f t="shared" si="7"/>
        <v>16</v>
      </c>
      <c r="AD27" s="111" t="s">
        <v>369</v>
      </c>
      <c r="AK27" s="369">
        <f>-AK25</f>
        <v>1942804</v>
      </c>
      <c r="AQ27" s="329"/>
      <c r="AR27" s="111"/>
      <c r="AS27" s="111"/>
      <c r="AT27" s="387"/>
      <c r="AU27" s="331"/>
      <c r="AV27" s="331"/>
      <c r="AW27" s="331"/>
      <c r="AX27" s="331"/>
      <c r="AY27" s="416"/>
      <c r="AZ27" s="339"/>
      <c r="BA27" s="329"/>
      <c r="BB27" s="329"/>
      <c r="BC27" s="369"/>
      <c r="BD27" s="369"/>
      <c r="BI27" s="256"/>
      <c r="BJ27" s="256"/>
      <c r="BK27" s="256"/>
      <c r="BL27" s="256"/>
      <c r="BM27" s="256"/>
      <c r="BS27" s="329">
        <f t="shared" si="13"/>
        <v>16</v>
      </c>
      <c r="BU27" s="254"/>
      <c r="BV27" s="254"/>
      <c r="BW27" s="254"/>
      <c r="BX27" s="254"/>
      <c r="BY27" s="254"/>
      <c r="BZ27" s="329">
        <f t="shared" si="14"/>
        <v>16</v>
      </c>
      <c r="CA27" s="256"/>
      <c r="CB27" s="256"/>
      <c r="CC27" s="256"/>
      <c r="CD27" s="256"/>
      <c r="CJ27" s="441"/>
      <c r="CK27" s="256"/>
      <c r="CL27" s="256"/>
      <c r="CM27" s="256"/>
      <c r="CN27" s="256"/>
      <c r="CO27" s="441"/>
      <c r="CP27" s="286"/>
      <c r="CQ27" s="256"/>
      <c r="CR27" s="256"/>
      <c r="CS27" s="256"/>
      <c r="CT27" s="441"/>
      <c r="CU27" s="286"/>
      <c r="CV27" s="256"/>
      <c r="CW27" s="256"/>
      <c r="CX27" s="256"/>
      <c r="DC27" s="258"/>
      <c r="DD27" s="329">
        <f t="shared" si="21"/>
        <v>14</v>
      </c>
      <c r="DE27" s="111" t="s">
        <v>464</v>
      </c>
      <c r="DF27" s="398">
        <v>-80293647.069999993</v>
      </c>
      <c r="DG27" s="398"/>
      <c r="DH27" s="398"/>
      <c r="DI27" s="398"/>
      <c r="DJ27" s="398"/>
      <c r="DK27" s="398">
        <f>X40</f>
        <v>80293647.069999993</v>
      </c>
      <c r="DL27" s="398"/>
      <c r="DM27" s="398"/>
      <c r="DN27" s="398"/>
      <c r="DO27" s="398"/>
      <c r="DP27" s="398"/>
      <c r="DQ27" s="398"/>
      <c r="DR27" s="329">
        <f t="shared" si="22"/>
        <v>14</v>
      </c>
      <c r="DS27" s="111" t="s">
        <v>464</v>
      </c>
      <c r="DT27" s="398"/>
      <c r="DU27" s="398"/>
      <c r="DV27" s="398"/>
      <c r="DW27" s="398"/>
      <c r="DX27" s="398"/>
      <c r="DY27" s="398"/>
      <c r="DZ27" s="398"/>
      <c r="EA27" s="398"/>
      <c r="EB27" s="398"/>
      <c r="EC27" s="398">
        <f t="shared" si="24"/>
        <v>80293647.069999993</v>
      </c>
      <c r="ED27" s="329">
        <f t="shared" si="23"/>
        <v>14</v>
      </c>
      <c r="EE27" s="111" t="s">
        <v>465</v>
      </c>
      <c r="EF27" s="391">
        <f>+DF27</f>
        <v>-80293647.069999993</v>
      </c>
      <c r="EG27" s="391">
        <f>+EC27</f>
        <v>80293647.069999993</v>
      </c>
      <c r="EH27" s="398">
        <f>SUM(EF27:EG27)</f>
        <v>0</v>
      </c>
    </row>
    <row r="28" spans="1:140" ht="15" customHeight="1">
      <c r="A28" s="350">
        <f t="shared" si="0"/>
        <v>18</v>
      </c>
      <c r="B28" s="111" t="s">
        <v>466</v>
      </c>
      <c r="C28" s="111" t="s">
        <v>467</v>
      </c>
      <c r="D28" s="381"/>
      <c r="E28" s="490">
        <v>138904345.51954228</v>
      </c>
      <c r="F28" s="490">
        <v>5457371</v>
      </c>
      <c r="H28" s="350">
        <f t="shared" si="25"/>
        <v>17</v>
      </c>
      <c r="I28" s="331"/>
      <c r="K28" s="381"/>
      <c r="L28" s="441"/>
      <c r="M28" s="329">
        <f t="shared" si="5"/>
        <v>17</v>
      </c>
      <c r="N28" s="331" t="s">
        <v>468</v>
      </c>
      <c r="O28" s="360">
        <f>O17+O18-O22-O23-O24</f>
        <v>-60852082.353969991</v>
      </c>
      <c r="P28" s="329"/>
      <c r="Q28" s="256"/>
      <c r="R28" s="256"/>
      <c r="S28" s="256"/>
      <c r="T28" s="329">
        <v>17</v>
      </c>
      <c r="U28" s="491"/>
      <c r="V28" s="346"/>
      <c r="X28" s="492"/>
      <c r="Y28" s="329">
        <v>17</v>
      </c>
      <c r="Z28" s="331" t="s">
        <v>469</v>
      </c>
      <c r="AA28" s="254"/>
      <c r="AB28" s="367">
        <f>+AB19+AB25</f>
        <v>-436053.45900000003</v>
      </c>
      <c r="AC28" s="329">
        <f t="shared" si="7"/>
        <v>17</v>
      </c>
      <c r="AD28" s="111" t="s">
        <v>392</v>
      </c>
      <c r="AJ28" s="439">
        <f>FIT</f>
        <v>0.21</v>
      </c>
      <c r="AK28" s="430">
        <f>ROUND(-AK25*AJ28,0)</f>
        <v>407989</v>
      </c>
      <c r="AQ28" s="329"/>
      <c r="AR28" s="111"/>
      <c r="AS28" s="111"/>
      <c r="AT28" s="387"/>
      <c r="AU28" s="355"/>
      <c r="AV28" s="355"/>
      <c r="AW28" s="355"/>
      <c r="AX28" s="355"/>
      <c r="AY28" s="355"/>
      <c r="AZ28" s="339"/>
      <c r="BA28" s="329"/>
      <c r="BB28" s="329"/>
      <c r="BD28" s="493"/>
      <c r="BI28" s="256"/>
      <c r="BJ28" s="256"/>
      <c r="BK28" s="256"/>
      <c r="BL28" s="256"/>
      <c r="BM28" s="256"/>
      <c r="BS28" s="329">
        <f t="shared" si="13"/>
        <v>17</v>
      </c>
      <c r="BT28" s="386" t="s">
        <v>470</v>
      </c>
      <c r="BU28" s="439">
        <f>FIT</f>
        <v>0.21</v>
      </c>
      <c r="BV28" s="254"/>
      <c r="BW28" s="254"/>
      <c r="BX28" s="254"/>
      <c r="BY28" s="391">
        <f>-BY26*BU28</f>
        <v>81887.364649999683</v>
      </c>
      <c r="BZ28" s="329">
        <f t="shared" si="14"/>
        <v>17</v>
      </c>
      <c r="CA28" s="256"/>
      <c r="CB28" s="256"/>
      <c r="CC28" s="256"/>
      <c r="CD28" s="256"/>
      <c r="CJ28" s="355"/>
      <c r="CK28" s="256"/>
      <c r="CL28" s="256"/>
      <c r="CM28" s="256"/>
      <c r="CN28" s="256"/>
      <c r="CO28" s="355"/>
      <c r="CP28" s="256"/>
      <c r="CQ28" s="256"/>
      <c r="CR28" s="256"/>
      <c r="CS28" s="256"/>
      <c r="CT28" s="355"/>
      <c r="CU28" s="256"/>
      <c r="CV28" s="256"/>
      <c r="CW28" s="256"/>
      <c r="CX28" s="256"/>
      <c r="DC28" s="258"/>
      <c r="DD28" s="329">
        <f t="shared" si="21"/>
        <v>15</v>
      </c>
      <c r="DE28" s="331" t="s">
        <v>471</v>
      </c>
      <c r="DF28" s="369">
        <f t="shared" ref="DF28:DK28" si="28">SUM(DF24:DF27)</f>
        <v>790218964.88000011</v>
      </c>
      <c r="DG28" s="369">
        <f t="shared" si="28"/>
        <v>0</v>
      </c>
      <c r="DH28" s="369">
        <f t="shared" si="28"/>
        <v>0</v>
      </c>
      <c r="DI28" s="369">
        <f t="shared" si="28"/>
        <v>0</v>
      </c>
      <c r="DJ28" s="369">
        <f t="shared" si="28"/>
        <v>0</v>
      </c>
      <c r="DK28" s="369">
        <f t="shared" si="28"/>
        <v>72385373.11999999</v>
      </c>
      <c r="DL28" s="369"/>
      <c r="DM28" s="369">
        <f>SUM(DM24:DM27)</f>
        <v>0</v>
      </c>
      <c r="DN28" s="369">
        <f>SUM(DN23:DN27)</f>
        <v>0</v>
      </c>
      <c r="DO28" s="369">
        <f>SUM(DO23:DO27)</f>
        <v>0</v>
      </c>
      <c r="DP28" s="369">
        <f>SUM(DP24:DP27)</f>
        <v>0</v>
      </c>
      <c r="DQ28" s="369">
        <f>SUM(DQ23:DQ27)</f>
        <v>0</v>
      </c>
      <c r="DR28" s="329">
        <f t="shared" si="22"/>
        <v>15</v>
      </c>
      <c r="DS28" s="331" t="s">
        <v>471</v>
      </c>
      <c r="DT28" s="369">
        <f>SUM(DT23:DT27)</f>
        <v>0</v>
      </c>
      <c r="DU28" s="369">
        <f>SUM(DU23:DU27)</f>
        <v>0</v>
      </c>
      <c r="DV28" s="369">
        <f>SUM(DV23:DV27)</f>
        <v>0</v>
      </c>
      <c r="DW28" s="369">
        <f>SUM(DW23:DW27)</f>
        <v>0</v>
      </c>
      <c r="DX28" s="369">
        <f>SUM(DX24:DX27)</f>
        <v>11208774.709564961</v>
      </c>
      <c r="DY28" s="369">
        <f>SUM(DY23:DY27)</f>
        <v>0</v>
      </c>
      <c r="DZ28" s="369">
        <f>SUM(DZ23:DZ27)</f>
        <v>0</v>
      </c>
      <c r="EA28" s="369">
        <f>SUM(EA23:EA27)</f>
        <v>0</v>
      </c>
      <c r="EB28" s="369">
        <f>SUM(EB23:EB27)</f>
        <v>0</v>
      </c>
      <c r="EC28" s="457">
        <f t="shared" si="24"/>
        <v>83594147.829564959</v>
      </c>
      <c r="ED28" s="329">
        <f t="shared" si="23"/>
        <v>15</v>
      </c>
      <c r="EE28" s="331" t="s">
        <v>471</v>
      </c>
      <c r="EF28" s="457">
        <f>SUM(EF24:EF27)</f>
        <v>790218964.88000011</v>
      </c>
      <c r="EG28" s="457">
        <f>SUM(EG24:EG27)</f>
        <v>83594147.829564959</v>
      </c>
      <c r="EH28" s="457">
        <f>SUM(EH24:EH27)</f>
        <v>873813112.70956504</v>
      </c>
    </row>
    <row r="29" spans="1:140" ht="15" customHeight="1" thickBot="1">
      <c r="A29" s="350">
        <f t="shared" si="0"/>
        <v>19</v>
      </c>
      <c r="C29" s="111" t="s">
        <v>472</v>
      </c>
      <c r="E29" s="490">
        <v>11643751.008277815</v>
      </c>
      <c r="F29" s="490">
        <v>451016</v>
      </c>
      <c r="H29" s="350">
        <f t="shared" si="25"/>
        <v>18</v>
      </c>
      <c r="I29" s="331"/>
      <c r="K29" s="381"/>
      <c r="L29" s="441"/>
      <c r="M29" s="329">
        <f t="shared" si="5"/>
        <v>18</v>
      </c>
      <c r="N29" s="331" t="s">
        <v>473</v>
      </c>
      <c r="O29" s="472">
        <f>-SUM(O27:O28)</f>
        <v>27433582.280275136</v>
      </c>
      <c r="P29" s="329"/>
      <c r="Q29" s="256"/>
      <c r="R29" s="256"/>
      <c r="S29" s="256"/>
      <c r="T29" s="329">
        <v>18</v>
      </c>
      <c r="U29" s="494" t="s">
        <v>474</v>
      </c>
      <c r="V29" s="346"/>
      <c r="X29" s="495"/>
      <c r="Y29" s="329">
        <v>18</v>
      </c>
      <c r="Z29" s="496"/>
      <c r="AA29" s="254"/>
      <c r="AB29" s="497"/>
      <c r="AC29" s="329">
        <f t="shared" si="7"/>
        <v>18</v>
      </c>
      <c r="AD29" s="364" t="s">
        <v>369</v>
      </c>
      <c r="AK29" s="417">
        <f>AK27-AK28</f>
        <v>1534815</v>
      </c>
      <c r="AQ29" s="111"/>
      <c r="AR29" s="111"/>
      <c r="AS29" s="111"/>
      <c r="AT29" s="111"/>
      <c r="AU29" s="111"/>
      <c r="AV29" s="111"/>
      <c r="AW29" s="111"/>
      <c r="AX29" s="111"/>
      <c r="AY29" s="111"/>
      <c r="BC29" s="465"/>
      <c r="BD29" s="498"/>
      <c r="BE29" s="329"/>
      <c r="BI29" s="256"/>
      <c r="BJ29" s="256"/>
      <c r="BK29" s="256"/>
      <c r="BL29" s="256"/>
      <c r="BM29" s="256"/>
      <c r="BS29" s="329">
        <f t="shared" si="13"/>
        <v>18</v>
      </c>
      <c r="BU29" s="254"/>
      <c r="BV29" s="254"/>
      <c r="BW29" s="254"/>
      <c r="BX29" s="254"/>
      <c r="BY29" s="254"/>
      <c r="BZ29" s="329">
        <f t="shared" si="14"/>
        <v>18</v>
      </c>
      <c r="CA29" s="499" t="s">
        <v>475</v>
      </c>
      <c r="CB29" s="500"/>
      <c r="CC29" s="500"/>
      <c r="CD29" s="500"/>
      <c r="CJ29" s="346"/>
      <c r="CK29" s="256"/>
      <c r="CL29" s="256"/>
      <c r="CM29" s="256"/>
      <c r="CN29" s="256"/>
      <c r="CO29" s="346"/>
      <c r="CP29" s="256"/>
      <c r="CQ29" s="256"/>
      <c r="CR29" s="256"/>
      <c r="CS29" s="256"/>
      <c r="CT29" s="346"/>
      <c r="CU29" s="256"/>
      <c r="CV29" s="256"/>
      <c r="CW29" s="256"/>
      <c r="CX29" s="256"/>
      <c r="DC29" s="258"/>
      <c r="DD29" s="329">
        <f t="shared" si="21"/>
        <v>16</v>
      </c>
      <c r="DE29" s="331"/>
      <c r="DF29" s="339"/>
      <c r="DG29" s="339"/>
      <c r="DH29" s="339"/>
      <c r="DI29" s="339"/>
      <c r="DJ29" s="339"/>
      <c r="DK29" s="339"/>
      <c r="DL29" s="339"/>
      <c r="DM29" s="339"/>
      <c r="DN29" s="339"/>
      <c r="DO29" s="339"/>
      <c r="DP29" s="339"/>
      <c r="DQ29" s="339"/>
      <c r="DR29" s="329">
        <f t="shared" si="22"/>
        <v>16</v>
      </c>
      <c r="DS29" s="331"/>
      <c r="DT29" s="339"/>
      <c r="DU29" s="339"/>
      <c r="DV29" s="339"/>
      <c r="DW29" s="339"/>
      <c r="DX29" s="339"/>
      <c r="DY29" s="339"/>
      <c r="DZ29" s="339"/>
      <c r="EA29" s="339"/>
      <c r="EB29" s="339"/>
      <c r="EC29" s="339"/>
      <c r="ED29" s="329">
        <f t="shared" si="23"/>
        <v>16</v>
      </c>
      <c r="EE29" s="331"/>
      <c r="EF29" s="369"/>
      <c r="EG29" s="369"/>
      <c r="EH29" s="339"/>
    </row>
    <row r="30" spans="1:140" ht="15" customHeight="1" thickTop="1" thickBot="1">
      <c r="A30" s="350">
        <f t="shared" si="0"/>
        <v>20</v>
      </c>
      <c r="B30" s="329"/>
      <c r="C30" s="111" t="s">
        <v>476</v>
      </c>
      <c r="E30" s="490">
        <v>3933769.4191055456</v>
      </c>
      <c r="F30" s="490">
        <v>163178</v>
      </c>
      <c r="H30" s="350">
        <f t="shared" si="25"/>
        <v>19</v>
      </c>
      <c r="I30" s="266" t="s">
        <v>477</v>
      </c>
      <c r="K30" s="381"/>
      <c r="L30" s="441"/>
      <c r="P30" s="329"/>
      <c r="Q30" s="256"/>
      <c r="R30" s="256"/>
      <c r="S30" s="256"/>
      <c r="T30" s="329">
        <v>19</v>
      </c>
      <c r="U30" s="364" t="s">
        <v>217</v>
      </c>
      <c r="W30" s="501">
        <f>BD</f>
        <v>7.4689999999999999E-3</v>
      </c>
      <c r="X30" s="369">
        <f>-SUM(X13:X18,X22,X23,X24,X25,X26)*W30</f>
        <v>-1202398.3692017887</v>
      </c>
      <c r="Y30" s="329">
        <v>19</v>
      </c>
      <c r="Z30" s="496" t="s">
        <v>442</v>
      </c>
      <c r="AA30" s="502">
        <f>FIT</f>
        <v>0.21</v>
      </c>
      <c r="AB30" s="430">
        <f>-AB28*AA30</f>
        <v>91571.226389999996</v>
      </c>
      <c r="AC30" s="329"/>
      <c r="AD30" s="261"/>
      <c r="AE30" s="261"/>
      <c r="AF30" s="261"/>
      <c r="AG30" s="261"/>
      <c r="AH30" s="261"/>
      <c r="AI30" s="261"/>
      <c r="AJ30" s="261"/>
      <c r="AK30" s="261"/>
      <c r="AQ30" s="111"/>
      <c r="AR30" s="111"/>
      <c r="AS30" s="111"/>
      <c r="AT30" s="111"/>
      <c r="AU30" s="111"/>
      <c r="AV30" s="111"/>
      <c r="AW30" s="111"/>
      <c r="AX30" s="111"/>
      <c r="AY30" s="111"/>
      <c r="BA30" s="256"/>
      <c r="BB30" s="256"/>
      <c r="BC30" s="256"/>
      <c r="BD30" s="335"/>
      <c r="BE30" s="329"/>
      <c r="BI30" s="256"/>
      <c r="BJ30" s="256"/>
      <c r="BK30" s="256"/>
      <c r="BL30" s="256"/>
      <c r="BM30" s="256"/>
      <c r="BS30" s="329">
        <f t="shared" si="13"/>
        <v>19</v>
      </c>
      <c r="BT30" s="386" t="s">
        <v>369</v>
      </c>
      <c r="BU30" s="254"/>
      <c r="BV30" s="254"/>
      <c r="BW30" s="254"/>
      <c r="BX30" s="254"/>
      <c r="BY30" s="452">
        <f>-BY26-BY28</f>
        <v>308052.4670166655</v>
      </c>
      <c r="BZ30" s="329">
        <f t="shared" si="14"/>
        <v>19</v>
      </c>
      <c r="CA30" s="503" t="s">
        <v>329</v>
      </c>
      <c r="CB30" s="504"/>
      <c r="CC30" s="505"/>
      <c r="CD30" s="505"/>
      <c r="CJ30" s="254"/>
      <c r="CK30" s="256"/>
      <c r="CL30" s="256"/>
      <c r="CM30" s="256"/>
      <c r="CN30" s="256"/>
      <c r="CO30" s="254"/>
      <c r="CP30" s="256"/>
      <c r="CQ30" s="256"/>
      <c r="CR30" s="256"/>
      <c r="CS30" s="256"/>
      <c r="CT30" s="254"/>
      <c r="CU30" s="256"/>
      <c r="CV30" s="256"/>
      <c r="CW30" s="256"/>
      <c r="CX30" s="256"/>
      <c r="DC30" s="258"/>
      <c r="DD30" s="329">
        <f t="shared" si="21"/>
        <v>17</v>
      </c>
      <c r="DE30" s="397" t="s">
        <v>478</v>
      </c>
      <c r="DF30" s="367">
        <v>113661879.16999999</v>
      </c>
      <c r="DG30" s="357">
        <v>0</v>
      </c>
      <c r="DH30" s="357">
        <v>0</v>
      </c>
      <c r="DI30" s="357">
        <v>0</v>
      </c>
      <c r="DJ30" s="357">
        <v>0</v>
      </c>
      <c r="DK30" s="357"/>
      <c r="DL30" s="357"/>
      <c r="DM30" s="357">
        <v>0</v>
      </c>
      <c r="DN30" s="357"/>
      <c r="DO30" s="357">
        <v>0</v>
      </c>
      <c r="DP30" s="357">
        <v>0</v>
      </c>
      <c r="DQ30" s="357">
        <v>0</v>
      </c>
      <c r="DR30" s="329">
        <f t="shared" si="22"/>
        <v>17</v>
      </c>
      <c r="DS30" s="397" t="s">
        <v>478</v>
      </c>
      <c r="DT30" s="357">
        <v>0</v>
      </c>
      <c r="DU30" s="357"/>
      <c r="DV30" s="357">
        <v>0</v>
      </c>
      <c r="DW30" s="357"/>
      <c r="DX30" s="357">
        <f>+CD15</f>
        <v>0</v>
      </c>
      <c r="DY30" s="357">
        <v>0</v>
      </c>
      <c r="DZ30" s="357"/>
      <c r="EA30" s="357"/>
      <c r="EB30" s="357"/>
      <c r="EC30" s="357">
        <f t="shared" si="24"/>
        <v>0</v>
      </c>
      <c r="ED30" s="329">
        <f t="shared" si="23"/>
        <v>17</v>
      </c>
      <c r="EE30" s="471" t="s">
        <v>478</v>
      </c>
      <c r="EF30" s="369">
        <f t="shared" ref="EF30:EF44" si="29">+DF30</f>
        <v>113661879.16999999</v>
      </c>
      <c r="EG30" s="369">
        <f t="shared" ref="EG30:EG44" si="30">+EC30</f>
        <v>0</v>
      </c>
      <c r="EH30" s="357">
        <f t="shared" ref="EH30:EH44" si="31">SUM(EF30:EG30)</f>
        <v>113661879.16999999</v>
      </c>
    </row>
    <row r="31" spans="1:140" ht="15" customHeight="1" thickTop="1" thickBot="1">
      <c r="A31" s="350">
        <f t="shared" si="0"/>
        <v>21</v>
      </c>
      <c r="C31" s="331" t="s">
        <v>479</v>
      </c>
      <c r="D31" s="477"/>
      <c r="E31" s="490">
        <v>-3541008.2091077706</v>
      </c>
      <c r="F31" s="490">
        <v>-119859</v>
      </c>
      <c r="H31" s="350">
        <f t="shared" si="25"/>
        <v>20</v>
      </c>
      <c r="I31" s="353" t="s">
        <v>480</v>
      </c>
      <c r="K31" s="354">
        <v>29224716.27</v>
      </c>
      <c r="L31" s="441"/>
      <c r="P31" s="329"/>
      <c r="Q31" s="256"/>
      <c r="R31" s="256"/>
      <c r="S31" s="256"/>
      <c r="T31" s="329">
        <v>20</v>
      </c>
      <c r="U31" s="364" t="s">
        <v>345</v>
      </c>
      <c r="W31" s="501">
        <f>FF</f>
        <v>2E-3</v>
      </c>
      <c r="X31" s="506">
        <f>-SUM(X13:X18,X22:X25,X26)*W31</f>
        <v>-321970.37600797659</v>
      </c>
      <c r="Y31" s="329">
        <v>20</v>
      </c>
      <c r="Z31" s="496" t="s">
        <v>449</v>
      </c>
      <c r="AA31" s="254"/>
      <c r="AB31" s="449">
        <f>-AB28-AB30</f>
        <v>344482.23261000006</v>
      </c>
      <c r="AC31" s="329"/>
      <c r="AD31" s="261"/>
      <c r="AE31" s="261"/>
      <c r="AF31" s="261"/>
      <c r="AG31" s="261"/>
      <c r="AH31" s="261"/>
      <c r="AI31" s="261"/>
      <c r="AJ31" s="261"/>
      <c r="AK31" s="261"/>
      <c r="AQ31" s="469"/>
      <c r="AR31" s="469"/>
      <c r="AS31" s="469"/>
      <c r="AT31" s="469"/>
      <c r="AU31" s="469"/>
      <c r="AV31" s="469"/>
      <c r="AW31" s="469"/>
      <c r="AX31" s="469"/>
      <c r="AY31" s="469"/>
      <c r="BA31" s="331"/>
      <c r="BB31" s="383"/>
      <c r="BC31" s="256"/>
      <c r="BD31" s="335"/>
      <c r="BI31" s="256"/>
      <c r="BJ31" s="256"/>
      <c r="BK31" s="256"/>
      <c r="BL31" s="256"/>
      <c r="BM31" s="256"/>
      <c r="BS31" s="329"/>
      <c r="BT31" s="507"/>
      <c r="BU31" s="254"/>
      <c r="BV31" s="254"/>
      <c r="BW31" s="254"/>
      <c r="BX31" s="254"/>
      <c r="BY31" s="256"/>
      <c r="BZ31" s="329">
        <f t="shared" si="14"/>
        <v>20</v>
      </c>
      <c r="CA31" s="504" t="s">
        <v>342</v>
      </c>
      <c r="CB31" s="505">
        <v>199106695.59</v>
      </c>
      <c r="CC31" s="505">
        <f t="shared" ref="CC31:CC36" si="32">CB31+CD31</f>
        <v>199106695.59</v>
      </c>
      <c r="CD31" s="505">
        <v>0</v>
      </c>
      <c r="CK31" s="256"/>
      <c r="CL31" s="256"/>
      <c r="CM31" s="256"/>
      <c r="CN31" s="256"/>
      <c r="CP31" s="256"/>
      <c r="CQ31" s="256"/>
      <c r="CR31" s="256"/>
      <c r="CS31" s="256"/>
      <c r="CU31" s="256"/>
      <c r="CV31" s="256"/>
      <c r="CW31" s="256"/>
      <c r="CX31" s="256"/>
      <c r="DC31" s="258"/>
      <c r="DD31" s="329">
        <f t="shared" si="21"/>
        <v>18</v>
      </c>
      <c r="DE31" s="331" t="s">
        <v>481</v>
      </c>
      <c r="DF31" s="382">
        <v>23845214.529999997</v>
      </c>
      <c r="DG31" s="343"/>
      <c r="DH31" s="343"/>
      <c r="DI31" s="343"/>
      <c r="DJ31" s="343"/>
      <c r="DK31" s="343" t="s">
        <v>203</v>
      </c>
      <c r="DL31" s="343"/>
      <c r="DM31" s="343">
        <v>0</v>
      </c>
      <c r="DN31" s="343"/>
      <c r="DO31" s="343"/>
      <c r="DP31" s="343"/>
      <c r="DQ31" s="343"/>
      <c r="DR31" s="329">
        <f t="shared" si="22"/>
        <v>18</v>
      </c>
      <c r="DS31" s="331" t="s">
        <v>481</v>
      </c>
      <c r="DT31" s="343"/>
      <c r="DU31" s="343"/>
      <c r="DV31" s="343"/>
      <c r="DW31" s="343">
        <f>+BU26</f>
        <v>-700152.89166666672</v>
      </c>
      <c r="DX31" s="343"/>
      <c r="DY31" s="343"/>
      <c r="DZ31" s="343"/>
      <c r="EA31" s="343"/>
      <c r="EB31" s="343"/>
      <c r="EC31" s="343">
        <f t="shared" si="24"/>
        <v>-700152.89166666672</v>
      </c>
      <c r="ED31" s="329">
        <f t="shared" si="23"/>
        <v>18</v>
      </c>
      <c r="EE31" s="331" t="s">
        <v>481</v>
      </c>
      <c r="EF31" s="254">
        <f t="shared" si="29"/>
        <v>23845214.529999997</v>
      </c>
      <c r="EG31" s="254">
        <f t="shared" si="30"/>
        <v>-700152.89166666672</v>
      </c>
      <c r="EH31" s="343">
        <f t="shared" si="31"/>
        <v>23145061.638333332</v>
      </c>
    </row>
    <row r="32" spans="1:140" ht="15" customHeight="1" thickTop="1">
      <c r="A32" s="350">
        <f t="shared" si="0"/>
        <v>22</v>
      </c>
      <c r="C32" s="111" t="s">
        <v>482</v>
      </c>
      <c r="D32" s="331"/>
      <c r="E32" s="490">
        <v>0</v>
      </c>
      <c r="F32" s="490">
        <v>0</v>
      </c>
      <c r="H32" s="350">
        <f t="shared" si="25"/>
        <v>21</v>
      </c>
      <c r="I32" s="353" t="s">
        <v>483</v>
      </c>
      <c r="J32" s="508"/>
      <c r="K32" s="381">
        <v>0</v>
      </c>
      <c r="P32" s="329"/>
      <c r="Q32" s="256"/>
      <c r="R32" s="256"/>
      <c r="S32" s="256"/>
      <c r="T32" s="329">
        <v>21</v>
      </c>
      <c r="U32" s="364" t="s">
        <v>484</v>
      </c>
      <c r="W32" s="501">
        <f>UTN</f>
        <v>3.8445E-2</v>
      </c>
      <c r="X32" s="506">
        <f>-SUM(X13:X18,X22:X25,X26)*W32</f>
        <v>-6189075.5528133297</v>
      </c>
      <c r="AC32" s="329"/>
      <c r="AD32" s="261"/>
      <c r="AE32" s="261"/>
      <c r="AF32" s="261"/>
      <c r="AG32" s="261"/>
      <c r="AH32" s="261"/>
      <c r="AI32" s="261"/>
      <c r="AJ32" s="261"/>
      <c r="AK32" s="261"/>
      <c r="BI32" s="256"/>
      <c r="BJ32" s="256"/>
      <c r="BK32" s="256"/>
      <c r="BL32" s="256"/>
      <c r="BM32" s="256"/>
      <c r="BS32" s="507"/>
      <c r="BT32" s="507"/>
      <c r="BU32" s="507"/>
      <c r="BV32" s="507"/>
      <c r="BW32" s="507"/>
      <c r="BX32" s="507"/>
      <c r="BY32" s="509"/>
      <c r="BZ32" s="329">
        <f t="shared" si="14"/>
        <v>21</v>
      </c>
      <c r="CA32" s="504" t="s">
        <v>358</v>
      </c>
      <c r="CB32" s="510">
        <v>571217284.57000005</v>
      </c>
      <c r="CC32" s="505">
        <f t="shared" si="32"/>
        <v>576004341.55000007</v>
      </c>
      <c r="CD32" s="510">
        <v>4787056.9800000004</v>
      </c>
      <c r="CK32" s="256"/>
      <c r="CL32" s="256"/>
      <c r="CM32" s="256"/>
      <c r="CN32" s="256"/>
      <c r="CP32" s="256"/>
      <c r="CQ32" s="256"/>
      <c r="CR32" s="256"/>
      <c r="CS32" s="256"/>
      <c r="CU32" s="256"/>
      <c r="CV32" s="256"/>
      <c r="CW32" s="256"/>
      <c r="CX32" s="256"/>
      <c r="DC32" s="258"/>
      <c r="DD32" s="329">
        <f t="shared" si="21"/>
        <v>19</v>
      </c>
      <c r="DE32" s="331" t="s">
        <v>485</v>
      </c>
      <c r="DF32" s="382">
        <v>86597401.150000021</v>
      </c>
      <c r="DG32" s="343"/>
      <c r="DH32" s="343"/>
      <c r="DI32" s="343"/>
      <c r="DJ32" s="343"/>
      <c r="DK32" s="343" t="s">
        <v>203</v>
      </c>
      <c r="DL32" s="343"/>
      <c r="DM32" s="343">
        <v>0</v>
      </c>
      <c r="DN32" s="343"/>
      <c r="DO32" s="343"/>
      <c r="DP32" s="343"/>
      <c r="DQ32" s="343"/>
      <c r="DR32" s="329">
        <f t="shared" si="22"/>
        <v>19</v>
      </c>
      <c r="DS32" s="331" t="s">
        <v>485</v>
      </c>
      <c r="DT32" s="343"/>
      <c r="DU32" s="343"/>
      <c r="DV32" s="343"/>
      <c r="DW32" s="343">
        <f>+BV26</f>
        <v>397987.70499999821</v>
      </c>
      <c r="DX32" s="343"/>
      <c r="DY32" s="343"/>
      <c r="DZ32" s="343"/>
      <c r="EA32" s="343"/>
      <c r="EB32" s="343"/>
      <c r="EC32" s="343">
        <f t="shared" si="24"/>
        <v>397987.70499999821</v>
      </c>
      <c r="ED32" s="329">
        <f t="shared" si="23"/>
        <v>19</v>
      </c>
      <c r="EE32" s="331" t="s">
        <v>485</v>
      </c>
      <c r="EF32" s="254">
        <f t="shared" si="29"/>
        <v>86597401.150000021</v>
      </c>
      <c r="EG32" s="254">
        <f t="shared" si="30"/>
        <v>397987.70499999821</v>
      </c>
      <c r="EH32" s="343">
        <f t="shared" si="31"/>
        <v>86995388.855000019</v>
      </c>
    </row>
    <row r="33" spans="1:153" ht="15" customHeight="1">
      <c r="A33" s="350">
        <f t="shared" si="0"/>
        <v>23</v>
      </c>
      <c r="C33" s="331" t="s">
        <v>486</v>
      </c>
      <c r="E33" s="490">
        <v>-51955.581556046382</v>
      </c>
      <c r="F33" s="490">
        <v>-258</v>
      </c>
      <c r="H33" s="350">
        <f t="shared" si="25"/>
        <v>22</v>
      </c>
      <c r="I33" s="353" t="s">
        <v>487</v>
      </c>
      <c r="K33" s="254"/>
      <c r="P33" s="329"/>
      <c r="Q33" s="256"/>
      <c r="R33" s="256"/>
      <c r="S33" s="256"/>
      <c r="T33" s="329">
        <v>22</v>
      </c>
      <c r="U33" s="511" t="s">
        <v>488</v>
      </c>
      <c r="X33" s="512">
        <f>SUM(X30:X32)</f>
        <v>-7713444.2980230954</v>
      </c>
      <c r="Z33" s="256"/>
      <c r="AA33" s="256"/>
      <c r="AB33" s="256"/>
      <c r="AC33" s="329"/>
      <c r="AD33" s="261"/>
      <c r="AE33" s="261"/>
      <c r="AF33" s="261"/>
      <c r="AG33" s="261"/>
      <c r="AH33" s="261"/>
      <c r="AI33" s="261"/>
      <c r="AJ33" s="261"/>
      <c r="AK33" s="261"/>
      <c r="BI33" s="256"/>
      <c r="BJ33" s="256"/>
      <c r="BK33" s="256"/>
      <c r="BL33" s="256"/>
      <c r="BM33" s="256"/>
      <c r="BS33" s="507"/>
      <c r="BT33" s="507"/>
      <c r="BU33" s="507"/>
      <c r="BV33" s="507"/>
      <c r="BW33" s="507"/>
      <c r="BX33" s="507"/>
      <c r="BY33" s="507"/>
      <c r="BZ33" s="329">
        <f t="shared" si="14"/>
        <v>22</v>
      </c>
      <c r="CA33" s="504" t="s">
        <v>371</v>
      </c>
      <c r="CB33" s="513">
        <v>-23424499.34</v>
      </c>
      <c r="CC33" s="505">
        <f t="shared" si="32"/>
        <v>-23424499.34</v>
      </c>
      <c r="CD33" s="513">
        <v>0</v>
      </c>
      <c r="CK33" s="256"/>
      <c r="CL33" s="256"/>
      <c r="CM33" s="256"/>
      <c r="CN33" s="256"/>
      <c r="CP33" s="256"/>
      <c r="CQ33" s="256"/>
      <c r="CR33" s="256"/>
      <c r="CS33" s="256"/>
      <c r="CU33" s="256"/>
      <c r="CV33" s="256"/>
      <c r="CW33" s="256"/>
      <c r="CX33" s="256"/>
      <c r="DC33" s="258"/>
      <c r="DD33" s="329">
        <f t="shared" si="21"/>
        <v>20</v>
      </c>
      <c r="DE33" s="331" t="s">
        <v>489</v>
      </c>
      <c r="DF33" s="382">
        <v>52344099.460000001</v>
      </c>
      <c r="DG33" s="343">
        <f>F39</f>
        <v>45096</v>
      </c>
      <c r="DH33" s="343">
        <f>+K21</f>
        <v>402871.87105703994</v>
      </c>
      <c r="DI33" s="343"/>
      <c r="DJ33" s="343"/>
      <c r="DK33" s="343">
        <f>X30</f>
        <v>-1202398.3692017887</v>
      </c>
      <c r="DL33" s="343"/>
      <c r="DM33" s="343">
        <f>AK25</f>
        <v>-1942804</v>
      </c>
      <c r="DN33" s="343"/>
      <c r="DO33" s="343"/>
      <c r="DP33" s="343"/>
      <c r="DQ33" s="343">
        <f>BC12</f>
        <v>316905.9521234514</v>
      </c>
      <c r="DR33" s="329">
        <f t="shared" si="22"/>
        <v>20</v>
      </c>
      <c r="DS33" s="331" t="s">
        <v>489</v>
      </c>
      <c r="DT33" s="343"/>
      <c r="DU33" s="343"/>
      <c r="DV33" s="343"/>
      <c r="DW33" s="343"/>
      <c r="DX33" s="343"/>
      <c r="DY33" s="343"/>
      <c r="DZ33" s="343"/>
      <c r="EA33" s="343"/>
      <c r="EB33" s="343"/>
      <c r="EC33" s="343">
        <f t="shared" si="24"/>
        <v>-2380328.5460212971</v>
      </c>
      <c r="ED33" s="329">
        <f t="shared" si="23"/>
        <v>20</v>
      </c>
      <c r="EE33" s="331" t="s">
        <v>490</v>
      </c>
      <c r="EF33" s="254">
        <f t="shared" si="29"/>
        <v>52344099.460000001</v>
      </c>
      <c r="EG33" s="254">
        <f t="shared" si="30"/>
        <v>-2380328.5460212971</v>
      </c>
      <c r="EH33" s="343">
        <f t="shared" si="31"/>
        <v>49963770.913978703</v>
      </c>
    </row>
    <row r="34" spans="1:153" ht="15" customHeight="1">
      <c r="A34" s="350">
        <f t="shared" si="0"/>
        <v>24</v>
      </c>
      <c r="C34" s="331" t="s">
        <v>491</v>
      </c>
      <c r="E34" s="490">
        <v>-232908.63750466576</v>
      </c>
      <c r="F34" s="490">
        <v>-7568</v>
      </c>
      <c r="H34" s="350">
        <f t="shared" si="25"/>
        <v>23</v>
      </c>
      <c r="I34" s="353" t="s">
        <v>492</v>
      </c>
      <c r="K34" s="441"/>
      <c r="P34" s="329"/>
      <c r="Q34" s="256"/>
      <c r="R34" s="256"/>
      <c r="S34" s="256"/>
      <c r="T34" s="329">
        <v>23</v>
      </c>
      <c r="U34" s="511"/>
      <c r="W34" s="465"/>
      <c r="X34" s="495"/>
      <c r="Z34" s="256"/>
      <c r="AA34" s="256"/>
      <c r="AB34" s="256"/>
      <c r="AD34" s="261"/>
      <c r="AE34" s="261"/>
      <c r="AF34" s="261"/>
      <c r="AG34" s="261"/>
      <c r="AH34" s="261"/>
      <c r="AI34" s="261"/>
      <c r="AJ34" s="261"/>
      <c r="AK34" s="261"/>
      <c r="AL34" s="261"/>
      <c r="AM34" s="261"/>
      <c r="AN34" s="261"/>
      <c r="AO34" s="261"/>
      <c r="AP34" s="261"/>
      <c r="BI34" s="256"/>
      <c r="BJ34" s="256"/>
      <c r="BK34" s="256"/>
      <c r="BL34" s="256"/>
      <c r="BM34" s="256"/>
      <c r="BS34" s="507"/>
      <c r="BT34" s="507"/>
      <c r="BU34" s="507"/>
      <c r="BV34" s="507"/>
      <c r="BW34" s="507"/>
      <c r="BX34" s="507"/>
      <c r="BY34" s="507"/>
      <c r="BZ34" s="329">
        <f t="shared" si="14"/>
        <v>23</v>
      </c>
      <c r="CA34" s="504" t="s">
        <v>384</v>
      </c>
      <c r="CB34" s="513">
        <v>123613131.13</v>
      </c>
      <c r="CC34" s="505">
        <f t="shared" si="32"/>
        <v>123613131.13</v>
      </c>
      <c r="CD34" s="513">
        <v>0</v>
      </c>
      <c r="CK34" s="256"/>
      <c r="CL34" s="256"/>
      <c r="CM34" s="256"/>
      <c r="CN34" s="256"/>
      <c r="CP34" s="256"/>
      <c r="CQ34" s="256"/>
      <c r="CR34" s="256"/>
      <c r="CS34" s="256"/>
      <c r="CU34" s="256"/>
      <c r="CV34" s="256"/>
      <c r="CW34" s="256"/>
      <c r="CX34" s="256"/>
      <c r="DC34" s="258"/>
      <c r="DD34" s="329">
        <f t="shared" si="21"/>
        <v>21</v>
      </c>
      <c r="DE34" s="331" t="s">
        <v>493</v>
      </c>
      <c r="DF34" s="382">
        <v>24661300.450000003</v>
      </c>
      <c r="DG34" s="343"/>
      <c r="DH34" s="343"/>
      <c r="DI34" s="343"/>
      <c r="DJ34" s="343"/>
      <c r="DK34" s="343">
        <f>X39+X43</f>
        <v>-21099952.199999999</v>
      </c>
      <c r="DL34" s="343"/>
      <c r="DM34" s="343"/>
      <c r="DN34" s="343"/>
      <c r="DO34" s="343"/>
      <c r="DP34" s="343"/>
      <c r="DQ34" s="343"/>
      <c r="DR34" s="329">
        <f t="shared" si="22"/>
        <v>21</v>
      </c>
      <c r="DS34" s="331" t="s">
        <v>493</v>
      </c>
      <c r="DT34" s="343"/>
      <c r="DU34" s="343"/>
      <c r="DV34" s="343"/>
      <c r="DW34" s="343"/>
      <c r="DX34" s="343"/>
      <c r="DY34" s="343"/>
      <c r="DZ34" s="343"/>
      <c r="EA34" s="343"/>
      <c r="EB34" s="343"/>
      <c r="EC34" s="343">
        <f t="shared" si="24"/>
        <v>-21099952.199999999</v>
      </c>
      <c r="ED34" s="329">
        <f t="shared" si="23"/>
        <v>21</v>
      </c>
      <c r="EE34" s="331" t="s">
        <v>493</v>
      </c>
      <c r="EF34" s="254">
        <f t="shared" si="29"/>
        <v>24661300.450000003</v>
      </c>
      <c r="EG34" s="254">
        <f t="shared" si="30"/>
        <v>-21099952.199999999</v>
      </c>
      <c r="EH34" s="343">
        <f t="shared" si="31"/>
        <v>3561348.2500000037</v>
      </c>
    </row>
    <row r="35" spans="1:153" ht="15" customHeight="1">
      <c r="A35" s="350">
        <f t="shared" si="0"/>
        <v>25</v>
      </c>
      <c r="C35" s="331" t="s">
        <v>494</v>
      </c>
      <c r="E35" s="490">
        <v>3300800.1435003798</v>
      </c>
      <c r="F35" s="490">
        <v>89781</v>
      </c>
      <c r="H35" s="350">
        <f t="shared" si="25"/>
        <v>24</v>
      </c>
      <c r="I35" s="397" t="s">
        <v>495</v>
      </c>
      <c r="K35" s="514"/>
      <c r="L35" s="432">
        <f>SUM(K31:K34)</f>
        <v>29224716.27</v>
      </c>
      <c r="P35" s="329"/>
      <c r="Q35" s="256"/>
      <c r="R35" s="256"/>
      <c r="S35" s="256"/>
      <c r="T35" s="329">
        <v>24</v>
      </c>
      <c r="U35" s="515" t="s">
        <v>496</v>
      </c>
      <c r="W35" s="465"/>
      <c r="X35" s="492"/>
      <c r="Z35" s="256"/>
      <c r="AA35" s="256"/>
      <c r="AB35" s="256"/>
      <c r="AD35" s="261"/>
      <c r="AE35" s="261"/>
      <c r="AF35" s="261"/>
      <c r="AG35" s="261"/>
      <c r="AH35" s="261"/>
      <c r="AI35" s="261"/>
      <c r="AJ35" s="261"/>
      <c r="AK35" s="261"/>
      <c r="AL35" s="261"/>
      <c r="AM35" s="261"/>
      <c r="AN35" s="261"/>
      <c r="AO35" s="261"/>
      <c r="AP35" s="261"/>
      <c r="AQ35" s="111"/>
      <c r="AR35" s="111"/>
      <c r="AS35" s="111"/>
      <c r="AT35" s="111"/>
      <c r="AU35" s="111"/>
      <c r="AV35" s="111"/>
      <c r="AW35" s="111"/>
      <c r="AX35" s="111"/>
      <c r="AY35" s="111"/>
      <c r="BI35" s="256"/>
      <c r="BJ35" s="256"/>
      <c r="BK35" s="256"/>
      <c r="BL35" s="256"/>
      <c r="BM35" s="256"/>
      <c r="BS35" s="507"/>
      <c r="BT35" s="507"/>
      <c r="BU35" s="507"/>
      <c r="BV35" s="507"/>
      <c r="BW35" s="507"/>
      <c r="BX35" s="507"/>
      <c r="BY35" s="507"/>
      <c r="BZ35" s="329">
        <f t="shared" si="14"/>
        <v>24</v>
      </c>
      <c r="CA35" s="504" t="s">
        <v>394</v>
      </c>
      <c r="CB35" s="513">
        <v>-147733944.09999999</v>
      </c>
      <c r="CC35" s="505">
        <f t="shared" si="32"/>
        <v>-147733944.09999999</v>
      </c>
      <c r="CD35" s="504">
        <v>0</v>
      </c>
      <c r="CK35" s="256"/>
      <c r="CL35" s="256"/>
      <c r="CM35" s="256"/>
      <c r="CN35" s="256"/>
      <c r="CP35" s="256"/>
      <c r="CQ35" s="256"/>
      <c r="CR35" s="256"/>
      <c r="CS35" s="256"/>
      <c r="CU35" s="256"/>
      <c r="CV35" s="256"/>
      <c r="CW35" s="256"/>
      <c r="CX35" s="256"/>
      <c r="DC35" s="258"/>
      <c r="DD35" s="329">
        <f t="shared" si="21"/>
        <v>22</v>
      </c>
      <c r="DE35" s="331" t="s">
        <v>497</v>
      </c>
      <c r="DF35" s="382">
        <v>82342000.519999996</v>
      </c>
      <c r="DG35" s="343"/>
      <c r="DH35" s="343"/>
      <c r="DI35" s="343"/>
      <c r="DJ35" s="343"/>
      <c r="DK35" s="343">
        <f>X36</f>
        <v>-82342000.519999996</v>
      </c>
      <c r="DL35" s="343"/>
      <c r="DM35" s="343"/>
      <c r="DN35" s="343"/>
      <c r="DO35" s="343"/>
      <c r="DP35" s="343"/>
      <c r="DQ35" s="343"/>
      <c r="DR35" s="329">
        <f t="shared" si="22"/>
        <v>22</v>
      </c>
      <c r="DS35" s="331" t="s">
        <v>497</v>
      </c>
      <c r="DT35" s="343"/>
      <c r="DU35" s="343"/>
      <c r="DV35" s="343"/>
      <c r="DW35" s="343"/>
      <c r="DX35" s="343"/>
      <c r="DY35" s="343"/>
      <c r="DZ35" s="343"/>
      <c r="EA35" s="343"/>
      <c r="EB35" s="343"/>
      <c r="EC35" s="343">
        <f t="shared" si="24"/>
        <v>-82342000.519999996</v>
      </c>
      <c r="ED35" s="329">
        <f t="shared" si="23"/>
        <v>22</v>
      </c>
      <c r="EE35" s="331" t="s">
        <v>497</v>
      </c>
      <c r="EF35" s="254">
        <f t="shared" si="29"/>
        <v>82342000.519999996</v>
      </c>
      <c r="EG35" s="254">
        <f t="shared" si="30"/>
        <v>-82342000.519999996</v>
      </c>
      <c r="EH35" s="343">
        <f t="shared" si="31"/>
        <v>0</v>
      </c>
    </row>
    <row r="36" spans="1:153" ht="15" customHeight="1">
      <c r="A36" s="350">
        <f t="shared" si="0"/>
        <v>26</v>
      </c>
      <c r="C36" s="111" t="s">
        <v>498</v>
      </c>
      <c r="E36" s="490">
        <v>108163.91848034057</v>
      </c>
      <c r="F36" s="490">
        <v>4054</v>
      </c>
      <c r="H36" s="350">
        <f t="shared" si="25"/>
        <v>25</v>
      </c>
      <c r="I36" s="331"/>
      <c r="K36" s="381"/>
      <c r="L36" s="256"/>
      <c r="P36" s="329"/>
      <c r="Q36" s="256"/>
      <c r="R36" s="256"/>
      <c r="S36" s="256"/>
      <c r="T36" s="329">
        <v>25</v>
      </c>
      <c r="U36" s="384" t="s">
        <v>499</v>
      </c>
      <c r="W36" s="465"/>
      <c r="X36" s="369">
        <v>-82342000.519999996</v>
      </c>
      <c r="Z36" s="256"/>
      <c r="AA36" s="256"/>
      <c r="AB36" s="256"/>
      <c r="AD36" s="261"/>
      <c r="AE36" s="261"/>
      <c r="AF36" s="261"/>
      <c r="AG36" s="261"/>
      <c r="AH36" s="261"/>
      <c r="AI36" s="261"/>
      <c r="AJ36" s="261"/>
      <c r="AK36" s="261"/>
      <c r="AL36" s="261"/>
      <c r="AM36" s="261"/>
      <c r="AN36" s="261"/>
      <c r="AO36" s="261"/>
      <c r="AP36" s="261"/>
      <c r="AQ36" s="360"/>
      <c r="AR36" s="360"/>
      <c r="AS36" s="360"/>
      <c r="AT36" s="360"/>
      <c r="AU36" s="360"/>
      <c r="AV36" s="360"/>
      <c r="AW36" s="360"/>
      <c r="AX36" s="360"/>
      <c r="AY36" s="360"/>
      <c r="BI36" s="256"/>
      <c r="BJ36" s="256"/>
      <c r="BK36" s="256"/>
      <c r="BL36" s="256"/>
      <c r="BM36" s="256"/>
      <c r="BS36" s="507"/>
      <c r="BT36" s="507"/>
      <c r="BU36" s="507"/>
      <c r="BV36" s="507"/>
      <c r="BW36" s="507"/>
      <c r="BX36" s="507"/>
      <c r="BY36" s="507"/>
      <c r="BZ36" s="329">
        <f t="shared" si="14"/>
        <v>25</v>
      </c>
      <c r="CA36" s="504" t="s">
        <v>407</v>
      </c>
      <c r="CB36" s="513">
        <v>-8661803.3200000003</v>
      </c>
      <c r="CC36" s="505">
        <f t="shared" si="32"/>
        <v>-8661803.3200000003</v>
      </c>
      <c r="CD36" s="513">
        <v>0</v>
      </c>
      <c r="CK36" s="256"/>
      <c r="CL36" s="256"/>
      <c r="CM36" s="256"/>
      <c r="CN36" s="256"/>
      <c r="CP36" s="256"/>
      <c r="CQ36" s="256"/>
      <c r="CR36" s="256"/>
      <c r="CS36" s="256"/>
      <c r="CU36" s="256"/>
      <c r="CV36" s="256"/>
      <c r="CW36" s="256"/>
      <c r="CX36" s="256"/>
      <c r="DC36" s="258"/>
      <c r="DD36" s="329">
        <f t="shared" si="21"/>
        <v>23</v>
      </c>
      <c r="DE36" s="331" t="s">
        <v>500</v>
      </c>
      <c r="DF36" s="382">
        <v>132054202.63000003</v>
      </c>
      <c r="DG36" s="343">
        <f>F40</f>
        <v>12075</v>
      </c>
      <c r="DH36" s="343">
        <f>+K22</f>
        <v>107878.39632</v>
      </c>
      <c r="DI36" s="343"/>
      <c r="DJ36" s="343"/>
      <c r="DK36" s="343">
        <f>X31+X44</f>
        <v>-424327.34600797656</v>
      </c>
      <c r="DL36" s="343">
        <f>AB28</f>
        <v>-436053.45900000003</v>
      </c>
      <c r="DM36" s="343"/>
      <c r="DN36" s="343">
        <f>AP12</f>
        <v>3089658.9796001548</v>
      </c>
      <c r="DO36" s="343">
        <f>+AT18</f>
        <v>-166039.07720000017</v>
      </c>
      <c r="DP36" s="343">
        <f>AY14</f>
        <v>-18898.838024314158</v>
      </c>
      <c r="DQ36" s="343"/>
      <c r="DR36" s="329">
        <f t="shared" si="22"/>
        <v>23</v>
      </c>
      <c r="DS36" s="331" t="s">
        <v>500</v>
      </c>
      <c r="DT36" s="343">
        <f>+BH14</f>
        <v>317833.96316032484</v>
      </c>
      <c r="DU36" s="343">
        <f>BM16</f>
        <v>1881149.7675058593</v>
      </c>
      <c r="DV36" s="343"/>
      <c r="DW36" s="343">
        <f>+BX26</f>
        <v>-66093.093333333323</v>
      </c>
      <c r="DX36" s="343"/>
      <c r="DY36" s="343"/>
      <c r="DZ36" s="343"/>
      <c r="EA36" s="343"/>
      <c r="EB36" s="343"/>
      <c r="EC36" s="343">
        <f t="shared" si="24"/>
        <v>4297184.2930207141</v>
      </c>
      <c r="ED36" s="329">
        <f t="shared" si="23"/>
        <v>23</v>
      </c>
      <c r="EE36" s="331" t="s">
        <v>500</v>
      </c>
      <c r="EF36" s="254">
        <f t="shared" si="29"/>
        <v>132054202.63000003</v>
      </c>
      <c r="EG36" s="254">
        <f t="shared" si="30"/>
        <v>4297184.2930207141</v>
      </c>
      <c r="EH36" s="343">
        <f t="shared" si="31"/>
        <v>136351386.92302075</v>
      </c>
    </row>
    <row r="37" spans="1:153" ht="15" customHeight="1">
      <c r="A37" s="350">
        <f t="shared" si="0"/>
        <v>27</v>
      </c>
      <c r="B37" s="111" t="s">
        <v>389</v>
      </c>
      <c r="E37" s="390">
        <f>ROUND(SUM(E28:E36),0)</f>
        <v>154064958</v>
      </c>
      <c r="F37" s="516">
        <f>SUM(F28:F36)</f>
        <v>6037715</v>
      </c>
      <c r="G37" s="369">
        <f>SUM(F28:F36)</f>
        <v>6037715</v>
      </c>
      <c r="H37" s="350">
        <f t="shared" si="25"/>
        <v>26</v>
      </c>
      <c r="I37" s="331" t="s">
        <v>501</v>
      </c>
      <c r="K37" s="381"/>
      <c r="L37" s="381">
        <f>L20-L24-L27-L35</f>
        <v>22130039.149361756</v>
      </c>
      <c r="P37" s="329"/>
      <c r="Q37" s="256"/>
      <c r="R37" s="256"/>
      <c r="S37" s="256"/>
      <c r="T37" s="329">
        <v>26</v>
      </c>
      <c r="U37" s="400" t="s">
        <v>502</v>
      </c>
      <c r="W37" s="465"/>
      <c r="X37" s="254">
        <v>-54316256.589999996</v>
      </c>
      <c r="Z37" s="256"/>
      <c r="AA37" s="256"/>
      <c r="AB37" s="256"/>
      <c r="AD37" s="261"/>
      <c r="AE37" s="261"/>
      <c r="AF37" s="261"/>
      <c r="AG37" s="261"/>
      <c r="AH37" s="261"/>
      <c r="AI37" s="261"/>
      <c r="AJ37" s="261"/>
      <c r="AK37" s="261"/>
      <c r="AL37" s="261"/>
      <c r="AM37" s="261"/>
      <c r="AN37" s="261"/>
      <c r="AO37" s="261"/>
      <c r="AP37" s="261"/>
      <c r="AQ37" s="517"/>
      <c r="AR37" s="517"/>
      <c r="AS37" s="517"/>
      <c r="AT37" s="517"/>
      <c r="AU37" s="517"/>
      <c r="AV37" s="517"/>
      <c r="AW37" s="517"/>
      <c r="AX37" s="517"/>
      <c r="AY37" s="517"/>
      <c r="BI37" s="256"/>
      <c r="BJ37" s="256"/>
      <c r="BK37" s="256"/>
      <c r="BL37" s="256"/>
      <c r="BM37" s="256"/>
      <c r="BS37" s="507"/>
      <c r="BT37" s="507"/>
      <c r="BU37" s="507"/>
      <c r="BV37" s="507"/>
      <c r="BW37" s="507"/>
      <c r="BX37" s="507"/>
      <c r="BY37" s="507"/>
      <c r="BZ37" s="329">
        <f t="shared" si="14"/>
        <v>26</v>
      </c>
      <c r="CA37" s="504" t="s">
        <v>415</v>
      </c>
      <c r="CB37" s="518">
        <f>SUM(CB31:CB36)</f>
        <v>714116864.52999997</v>
      </c>
      <c r="CC37" s="518">
        <f>SUM(CC31:CC36)</f>
        <v>718903921.50999999</v>
      </c>
      <c r="CD37" s="518">
        <f>SUM(CD31:CD36)</f>
        <v>4787056.9800000004</v>
      </c>
      <c r="CK37" s="256"/>
      <c r="CL37" s="256"/>
      <c r="CM37" s="256"/>
      <c r="CN37" s="256"/>
      <c r="CP37" s="256"/>
      <c r="CQ37" s="256"/>
      <c r="CR37" s="256"/>
      <c r="CS37" s="256"/>
      <c r="CU37" s="256"/>
      <c r="CV37" s="256"/>
      <c r="CW37" s="256"/>
      <c r="CX37" s="256"/>
      <c r="DC37" s="258"/>
      <c r="DD37" s="329">
        <f t="shared" si="21"/>
        <v>24</v>
      </c>
      <c r="DE37" s="331" t="s">
        <v>503</v>
      </c>
      <c r="DF37" s="382">
        <v>363749690.18000001</v>
      </c>
      <c r="DG37" s="343"/>
      <c r="DH37" s="343"/>
      <c r="DI37" s="343"/>
      <c r="DJ37" s="343"/>
      <c r="DM37" s="343"/>
      <c r="DN37" s="343"/>
      <c r="DO37" s="343"/>
      <c r="DP37" s="343"/>
      <c r="DQ37" s="343"/>
      <c r="DR37" s="329">
        <f t="shared" si="22"/>
        <v>24</v>
      </c>
      <c r="DS37" s="331" t="s">
        <v>503</v>
      </c>
      <c r="DT37" s="343"/>
      <c r="DU37" s="343"/>
      <c r="DV37" s="343"/>
      <c r="DW37" s="343"/>
      <c r="DX37" s="343"/>
      <c r="DY37" s="343"/>
      <c r="DZ37" s="343">
        <f>CN20</f>
        <v>-212064</v>
      </c>
      <c r="EA37" s="343"/>
      <c r="EB37" s="343">
        <f>CX21</f>
        <v>-160773.44004334998</v>
      </c>
      <c r="EC37" s="343">
        <f t="shared" si="24"/>
        <v>-372837.44004334998</v>
      </c>
      <c r="ED37" s="329">
        <f t="shared" si="23"/>
        <v>24</v>
      </c>
      <c r="EE37" s="331" t="s">
        <v>503</v>
      </c>
      <c r="EF37" s="254">
        <f t="shared" si="29"/>
        <v>363749690.18000001</v>
      </c>
      <c r="EG37" s="254">
        <f t="shared" si="30"/>
        <v>-372837.44004334998</v>
      </c>
      <c r="EH37" s="343">
        <f t="shared" si="31"/>
        <v>363376852.73995668</v>
      </c>
    </row>
    <row r="38" spans="1:153" ht="13.5" customHeight="1">
      <c r="A38" s="350">
        <f t="shared" si="0"/>
        <v>28</v>
      </c>
      <c r="B38" s="475"/>
      <c r="C38" s="475"/>
      <c r="E38" s="519"/>
      <c r="F38" s="355"/>
      <c r="H38" s="350">
        <f t="shared" si="25"/>
        <v>27</v>
      </c>
      <c r="I38" s="331"/>
      <c r="J38" s="440">
        <f>FIT</f>
        <v>0.21</v>
      </c>
      <c r="K38" s="381"/>
      <c r="L38" s="381"/>
      <c r="P38" s="329"/>
      <c r="Q38" s="256"/>
      <c r="R38" s="256"/>
      <c r="S38" s="256"/>
      <c r="T38" s="329">
        <v>27</v>
      </c>
      <c r="U38" s="384" t="s">
        <v>366</v>
      </c>
      <c r="V38" s="346"/>
      <c r="W38" s="465"/>
      <c r="X38" s="254">
        <v>-79625628.030000001</v>
      </c>
      <c r="Z38" s="256"/>
      <c r="AA38" s="256"/>
      <c r="AB38" s="256"/>
      <c r="AD38" s="261"/>
      <c r="AE38" s="261"/>
      <c r="AF38" s="261"/>
      <c r="AG38" s="261"/>
      <c r="AH38" s="261"/>
      <c r="AI38" s="261"/>
      <c r="AJ38" s="261"/>
      <c r="AK38" s="261"/>
      <c r="AL38" s="261"/>
      <c r="AM38" s="261"/>
      <c r="AN38" s="261"/>
      <c r="AO38" s="261"/>
      <c r="AP38" s="261"/>
      <c r="AQ38" s="261"/>
      <c r="AR38" s="261"/>
      <c r="AS38" s="261"/>
      <c r="AT38" s="261"/>
      <c r="AU38" s="261"/>
      <c r="AV38" s="261"/>
      <c r="AW38" s="261"/>
      <c r="AX38" s="261"/>
      <c r="AY38" s="261"/>
      <c r="BA38" s="261"/>
      <c r="BB38" s="381"/>
      <c r="BC38" s="381"/>
      <c r="BD38" s="360"/>
      <c r="BI38" s="256"/>
      <c r="BJ38" s="256"/>
      <c r="BK38" s="256"/>
      <c r="BL38" s="256"/>
      <c r="BM38" s="256"/>
      <c r="BZ38" s="329">
        <f t="shared" si="14"/>
        <v>27</v>
      </c>
      <c r="CA38" s="504"/>
      <c r="CB38" s="504"/>
      <c r="CC38" s="504"/>
      <c r="CD38" s="504"/>
      <c r="CK38" s="256"/>
      <c r="CL38" s="256"/>
      <c r="CM38" s="256"/>
      <c r="CN38" s="256"/>
      <c r="CP38" s="256"/>
      <c r="CQ38" s="256"/>
      <c r="CR38" s="256"/>
      <c r="CS38" s="256"/>
      <c r="CU38" s="256"/>
      <c r="CV38" s="256"/>
      <c r="CW38" s="256"/>
      <c r="CX38" s="256"/>
      <c r="DC38" s="258"/>
      <c r="DD38" s="329">
        <f t="shared" si="21"/>
        <v>25</v>
      </c>
      <c r="DE38" s="331" t="s">
        <v>504</v>
      </c>
      <c r="DF38" s="382">
        <v>102961755.67</v>
      </c>
      <c r="DG38" s="343"/>
      <c r="DH38" s="343"/>
      <c r="DI38" s="343"/>
      <c r="DJ38" s="343"/>
      <c r="DK38" s="343"/>
      <c r="DL38" s="343"/>
      <c r="DM38" s="343"/>
      <c r="DN38" s="343"/>
      <c r="DO38" s="343"/>
      <c r="DP38" s="343"/>
      <c r="DQ38" s="343"/>
      <c r="DR38" s="329">
        <f t="shared" si="22"/>
        <v>25</v>
      </c>
      <c r="DS38" s="331" t="s">
        <v>504</v>
      </c>
      <c r="DT38" s="343"/>
      <c r="DU38" s="343"/>
      <c r="DV38" s="343"/>
      <c r="DW38" s="343"/>
      <c r="DX38" s="343"/>
      <c r="DY38" s="343"/>
      <c r="DZ38" s="343"/>
      <c r="EA38" s="343"/>
      <c r="EB38" s="343"/>
      <c r="EC38" s="343">
        <f t="shared" si="24"/>
        <v>0</v>
      </c>
      <c r="ED38" s="329">
        <f t="shared" si="23"/>
        <v>25</v>
      </c>
      <c r="EE38" s="331" t="s">
        <v>504</v>
      </c>
      <c r="EF38" s="254">
        <f t="shared" si="29"/>
        <v>102961755.67</v>
      </c>
      <c r="EG38" s="254">
        <f t="shared" si="30"/>
        <v>0</v>
      </c>
      <c r="EH38" s="343">
        <f t="shared" si="31"/>
        <v>102961755.67</v>
      </c>
    </row>
    <row r="39" spans="1:153" ht="15" customHeight="1">
      <c r="A39" s="350">
        <f t="shared" si="0"/>
        <v>29</v>
      </c>
      <c r="B39" s="331" t="s">
        <v>424</v>
      </c>
      <c r="C39" s="331"/>
      <c r="D39" s="331"/>
      <c r="E39" s="464">
        <f>BD</f>
        <v>7.4689999999999999E-3</v>
      </c>
      <c r="F39" s="403">
        <f>ROUND(G37*E39,0)</f>
        <v>45096</v>
      </c>
      <c r="G39" s="254"/>
      <c r="H39" s="350">
        <f t="shared" si="25"/>
        <v>28</v>
      </c>
      <c r="I39" s="331" t="s">
        <v>392</v>
      </c>
      <c r="J39" s="440"/>
      <c r="K39" s="381"/>
      <c r="L39" s="391">
        <f>ROUND(L37*J38,0)</f>
        <v>4647308</v>
      </c>
      <c r="P39" s="329"/>
      <c r="Q39" s="256"/>
      <c r="R39" s="256"/>
      <c r="S39" s="256"/>
      <c r="T39" s="329">
        <v>28</v>
      </c>
      <c r="U39" s="384" t="s">
        <v>505</v>
      </c>
      <c r="V39" s="346"/>
      <c r="W39" s="465"/>
      <c r="X39" s="254">
        <v>-19275463.140000001</v>
      </c>
      <c r="Z39" s="256"/>
      <c r="AA39" s="256"/>
      <c r="AB39" s="256"/>
      <c r="AD39" s="261"/>
      <c r="AE39" s="261"/>
      <c r="AF39" s="261"/>
      <c r="AG39" s="261"/>
      <c r="AH39" s="261"/>
      <c r="AI39" s="261"/>
      <c r="AJ39" s="261"/>
      <c r="AK39" s="261"/>
      <c r="AL39" s="261"/>
      <c r="AM39" s="261"/>
      <c r="AN39" s="261"/>
      <c r="AO39" s="261"/>
      <c r="AP39" s="254"/>
      <c r="AQ39" s="261"/>
      <c r="AR39" s="261"/>
      <c r="AS39" s="261"/>
      <c r="AT39" s="261"/>
      <c r="AU39" s="261"/>
      <c r="AV39" s="261"/>
      <c r="AW39" s="261"/>
      <c r="AX39" s="261"/>
      <c r="AY39" s="261"/>
      <c r="BI39" s="256"/>
      <c r="BJ39" s="256"/>
      <c r="BK39" s="256"/>
      <c r="BL39" s="256"/>
      <c r="BM39" s="256"/>
      <c r="BZ39" s="329">
        <f t="shared" si="14"/>
        <v>28</v>
      </c>
      <c r="CA39" s="520" t="s">
        <v>381</v>
      </c>
      <c r="CB39" s="521"/>
      <c r="CC39" s="522"/>
      <c r="CD39" s="523">
        <f>-CD37</f>
        <v>-4787056.9800000004</v>
      </c>
      <c r="CK39" s="256"/>
      <c r="CL39" s="256"/>
      <c r="CM39" s="256"/>
      <c r="CN39" s="256"/>
      <c r="CP39" s="256"/>
      <c r="CQ39" s="256"/>
      <c r="CR39" s="256"/>
      <c r="CS39" s="256"/>
      <c r="CU39" s="256"/>
      <c r="CV39" s="256"/>
      <c r="CW39" s="256"/>
      <c r="CX39" s="256"/>
      <c r="DC39" s="258"/>
      <c r="DD39" s="329">
        <f t="shared" si="21"/>
        <v>26</v>
      </c>
      <c r="DE39" s="397" t="s">
        <v>506</v>
      </c>
      <c r="DF39" s="382">
        <v>30979762.640000001</v>
      </c>
      <c r="DG39" s="343"/>
      <c r="DH39" s="343"/>
      <c r="DI39" s="343"/>
      <c r="DJ39" s="343"/>
      <c r="DK39" s="343"/>
      <c r="DL39" s="343"/>
      <c r="DM39" s="343"/>
      <c r="DN39" s="343"/>
      <c r="DO39" s="343"/>
      <c r="DP39" s="343"/>
      <c r="DQ39" s="343"/>
      <c r="DR39" s="329">
        <f t="shared" si="22"/>
        <v>26</v>
      </c>
      <c r="DS39" s="397" t="s">
        <v>506</v>
      </c>
      <c r="DT39" s="343"/>
      <c r="DU39" s="343"/>
      <c r="DV39" s="343"/>
      <c r="DW39" s="343"/>
      <c r="DX39" s="343"/>
      <c r="DY39" s="343"/>
      <c r="DZ39" s="343"/>
      <c r="EA39" s="343"/>
      <c r="EB39" s="343"/>
      <c r="EC39" s="343">
        <f t="shared" si="24"/>
        <v>0</v>
      </c>
      <c r="ED39" s="329">
        <f t="shared" si="23"/>
        <v>26</v>
      </c>
      <c r="EE39" s="397" t="s">
        <v>506</v>
      </c>
      <c r="EF39" s="254">
        <f t="shared" si="29"/>
        <v>30979762.640000001</v>
      </c>
      <c r="EG39" s="254">
        <f t="shared" si="30"/>
        <v>0</v>
      </c>
      <c r="EH39" s="343">
        <f t="shared" si="31"/>
        <v>30979762.640000001</v>
      </c>
    </row>
    <row r="40" spans="1:153" ht="15" customHeight="1">
      <c r="A40" s="350">
        <f t="shared" si="0"/>
        <v>30</v>
      </c>
      <c r="B40" s="331" t="s">
        <v>433</v>
      </c>
      <c r="C40" s="331"/>
      <c r="D40" s="331"/>
      <c r="E40" s="464">
        <f>FF</f>
        <v>2E-3</v>
      </c>
      <c r="F40" s="473">
        <f>ROUND(G37*E40,0)</f>
        <v>12075</v>
      </c>
      <c r="G40" s="254"/>
      <c r="H40" s="350">
        <f t="shared" si="25"/>
        <v>29</v>
      </c>
      <c r="I40" s="331"/>
      <c r="K40" s="381"/>
      <c r="L40" s="441"/>
      <c r="P40" s="329"/>
      <c r="Q40" s="256"/>
      <c r="R40" s="256"/>
      <c r="S40" s="256"/>
      <c r="T40" s="329">
        <v>29</v>
      </c>
      <c r="U40" s="433" t="s">
        <v>391</v>
      </c>
      <c r="V40" s="346"/>
      <c r="W40" s="465"/>
      <c r="X40" s="254">
        <v>80293647.069999993</v>
      </c>
      <c r="Z40" s="256"/>
      <c r="AA40" s="256"/>
      <c r="AB40" s="256"/>
      <c r="AD40" s="261"/>
      <c r="AE40" s="261"/>
      <c r="AF40" s="261"/>
      <c r="AG40" s="261"/>
      <c r="AH40" s="261"/>
      <c r="AI40" s="261"/>
      <c r="AJ40" s="261"/>
      <c r="AK40" s="261"/>
      <c r="AL40" s="261"/>
      <c r="AM40" s="261"/>
      <c r="AN40" s="261"/>
      <c r="AO40" s="261"/>
      <c r="AP40" s="261"/>
      <c r="AQ40" s="264"/>
      <c r="AR40" s="264"/>
      <c r="AS40" s="264"/>
      <c r="AT40" s="264"/>
      <c r="AU40" s="264"/>
      <c r="AV40" s="264"/>
      <c r="AW40" s="264"/>
      <c r="AX40" s="264"/>
      <c r="AY40" s="264"/>
      <c r="BI40" s="256"/>
      <c r="BJ40" s="256"/>
      <c r="BK40" s="256"/>
      <c r="BL40" s="256"/>
      <c r="BM40" s="256"/>
      <c r="BZ40" s="329">
        <f t="shared" si="14"/>
        <v>29</v>
      </c>
      <c r="CA40" s="521"/>
      <c r="CB40" s="521"/>
      <c r="CC40" s="522"/>
      <c r="CD40" s="522"/>
      <c r="DC40" s="258"/>
      <c r="DD40" s="329">
        <f t="shared" si="21"/>
        <v>27</v>
      </c>
      <c r="DE40" s="331" t="s">
        <v>507</v>
      </c>
      <c r="DF40" s="382">
        <v>-62471108.979999997</v>
      </c>
      <c r="DG40" s="343"/>
      <c r="DH40" s="343">
        <f>L35</f>
        <v>29224716.27</v>
      </c>
      <c r="DI40" s="343"/>
      <c r="DJ40" s="343"/>
      <c r="DK40" s="343">
        <f>X41+X47</f>
        <v>10823954.34</v>
      </c>
      <c r="DL40" s="343"/>
      <c r="DM40" s="343"/>
      <c r="DN40" s="343"/>
      <c r="DO40" s="343"/>
      <c r="DP40" s="343"/>
      <c r="DQ40" s="343"/>
      <c r="DR40" s="329">
        <f t="shared" si="22"/>
        <v>27</v>
      </c>
      <c r="DS40" s="331" t="s">
        <v>507</v>
      </c>
      <c r="DT40" s="343"/>
      <c r="DU40" s="343"/>
      <c r="DW40" s="343"/>
      <c r="DX40" s="343"/>
      <c r="DY40" s="343"/>
      <c r="DZ40" s="343"/>
      <c r="EA40" s="343"/>
      <c r="EB40" s="343"/>
      <c r="EC40" s="343">
        <f t="shared" si="24"/>
        <v>40048670.609999999</v>
      </c>
      <c r="ED40" s="329">
        <f t="shared" si="23"/>
        <v>27</v>
      </c>
      <c r="EE40" s="331" t="s">
        <v>507</v>
      </c>
      <c r="EF40" s="254">
        <f t="shared" si="29"/>
        <v>-62471108.979999997</v>
      </c>
      <c r="EG40" s="254">
        <f t="shared" si="30"/>
        <v>40048670.609999999</v>
      </c>
      <c r="EH40" s="343">
        <f t="shared" si="31"/>
        <v>-22422438.369999997</v>
      </c>
    </row>
    <row r="41" spans="1:153" ht="15" customHeight="1" thickBot="1">
      <c r="A41" s="350">
        <f t="shared" si="0"/>
        <v>31</v>
      </c>
      <c r="B41" s="397" t="s">
        <v>413</v>
      </c>
      <c r="C41" s="331"/>
      <c r="D41" s="331"/>
      <c r="E41" s="464"/>
      <c r="F41" s="381"/>
      <c r="G41" s="254">
        <f>SUM(F39:F40)</f>
        <v>57171</v>
      </c>
      <c r="H41" s="350">
        <f t="shared" si="25"/>
        <v>30</v>
      </c>
      <c r="I41" s="331" t="s">
        <v>369</v>
      </c>
      <c r="L41" s="452">
        <f>L37-L39</f>
        <v>17482731.149361756</v>
      </c>
      <c r="P41" s="329"/>
      <c r="Q41" s="256"/>
      <c r="R41" s="256"/>
      <c r="S41" s="256"/>
      <c r="T41" s="329">
        <v>30</v>
      </c>
      <c r="U41" s="422" t="s">
        <v>508</v>
      </c>
      <c r="V41" s="346"/>
      <c r="W41" s="465"/>
      <c r="X41" s="254">
        <v>103003.36</v>
      </c>
      <c r="Z41" s="256"/>
      <c r="AA41" s="256"/>
      <c r="AB41" s="256"/>
      <c r="AD41" s="261"/>
      <c r="AE41" s="261"/>
      <c r="AF41" s="261"/>
      <c r="AG41" s="261"/>
      <c r="AH41" s="261"/>
      <c r="AI41" s="261"/>
      <c r="AJ41" s="261"/>
      <c r="AK41" s="261"/>
      <c r="AL41" s="261"/>
      <c r="AM41" s="261"/>
      <c r="AN41" s="261"/>
      <c r="AO41" s="261"/>
      <c r="AP41" s="261"/>
      <c r="AQ41" s="524"/>
      <c r="AR41" s="524"/>
      <c r="AS41" s="524"/>
      <c r="AT41" s="524"/>
      <c r="AU41" s="524"/>
      <c r="AV41" s="524"/>
      <c r="AW41" s="524"/>
      <c r="AX41" s="524"/>
      <c r="AY41" s="524"/>
      <c r="BI41" s="525"/>
      <c r="BJ41" s="525"/>
      <c r="BK41" s="525"/>
      <c r="BL41" s="526"/>
      <c r="BM41" s="254"/>
      <c r="BZ41" s="329">
        <f t="shared" si="14"/>
        <v>30</v>
      </c>
      <c r="CA41" s="520" t="s">
        <v>392</v>
      </c>
      <c r="CB41" s="527">
        <v>0.21</v>
      </c>
      <c r="CC41" s="528"/>
      <c r="CD41" s="529">
        <f>CD39*CB41</f>
        <v>-1005281.9658</v>
      </c>
      <c r="DC41" s="256"/>
      <c r="DD41" s="329">
        <f t="shared" si="21"/>
        <v>28</v>
      </c>
      <c r="DE41" s="331" t="s">
        <v>509</v>
      </c>
      <c r="DF41" s="382"/>
      <c r="DG41" s="343"/>
      <c r="DH41" s="343"/>
      <c r="DI41" s="343"/>
      <c r="DJ41" s="343"/>
      <c r="DK41" s="343"/>
      <c r="DL41" s="343"/>
      <c r="DM41" s="343"/>
      <c r="DN41" s="343"/>
      <c r="DO41" s="343"/>
      <c r="DP41" s="343"/>
      <c r="DQ41" s="343"/>
      <c r="DR41" s="329">
        <f t="shared" si="22"/>
        <v>28</v>
      </c>
      <c r="DS41" s="331" t="s">
        <v>224</v>
      </c>
      <c r="DT41" s="343"/>
      <c r="DU41" s="343"/>
      <c r="DV41" s="343">
        <f>BR12</f>
        <v>0</v>
      </c>
      <c r="DW41" s="343"/>
      <c r="DX41" s="343"/>
      <c r="DY41" s="343"/>
      <c r="DZ41" s="343"/>
      <c r="EA41" s="343"/>
      <c r="EB41" s="343"/>
      <c r="EC41" s="343">
        <f t="shared" si="24"/>
        <v>0</v>
      </c>
      <c r="ED41" s="329">
        <f t="shared" si="23"/>
        <v>28</v>
      </c>
      <c r="EE41" s="111" t="s">
        <v>224</v>
      </c>
      <c r="EF41" s="254">
        <f t="shared" si="29"/>
        <v>0</v>
      </c>
      <c r="EG41" s="254">
        <f t="shared" si="30"/>
        <v>0</v>
      </c>
      <c r="EH41" s="343">
        <f t="shared" si="31"/>
        <v>0</v>
      </c>
    </row>
    <row r="42" spans="1:153" ht="15" customHeight="1" thickTop="1" thickBot="1">
      <c r="A42" s="350">
        <f t="shared" si="0"/>
        <v>32</v>
      </c>
      <c r="B42" s="331"/>
      <c r="C42" s="331"/>
      <c r="D42" s="331"/>
      <c r="E42" s="464"/>
      <c r="F42" s="360"/>
      <c r="G42" s="254"/>
      <c r="H42" s="350">
        <f t="shared" si="25"/>
        <v>31</v>
      </c>
      <c r="P42" s="329"/>
      <c r="Q42" s="256"/>
      <c r="R42" s="256"/>
      <c r="S42" s="256"/>
      <c r="T42" s="329">
        <v>31</v>
      </c>
      <c r="U42" s="433" t="s">
        <v>510</v>
      </c>
      <c r="V42" s="441"/>
      <c r="W42" s="465"/>
      <c r="X42" s="254">
        <v>-3538652.69</v>
      </c>
      <c r="Z42" s="256"/>
      <c r="AA42" s="256"/>
      <c r="AB42" s="256"/>
      <c r="AD42" s="261"/>
      <c r="AE42" s="261"/>
      <c r="AF42" s="261"/>
      <c r="AG42" s="261"/>
      <c r="AH42" s="261"/>
      <c r="AI42" s="261"/>
      <c r="AJ42" s="261"/>
      <c r="AK42" s="261"/>
      <c r="AL42" s="261"/>
      <c r="AM42" s="261"/>
      <c r="AN42" s="261"/>
      <c r="AO42" s="261"/>
      <c r="AP42" s="261"/>
      <c r="AQ42" s="524"/>
      <c r="AR42" s="524"/>
      <c r="AS42" s="524"/>
      <c r="AT42" s="524"/>
      <c r="AU42" s="524"/>
      <c r="AV42" s="524"/>
      <c r="AW42" s="524"/>
      <c r="AX42" s="524"/>
      <c r="AY42" s="524"/>
      <c r="BI42" s="525"/>
      <c r="BJ42" s="530"/>
      <c r="BK42" s="531"/>
      <c r="BL42" s="526" t="s">
        <v>210</v>
      </c>
      <c r="BM42" s="254"/>
      <c r="BZ42" s="329">
        <f t="shared" si="14"/>
        <v>31</v>
      </c>
      <c r="CA42" s="520" t="s">
        <v>369</v>
      </c>
      <c r="CB42" s="522"/>
      <c r="CC42" s="522"/>
      <c r="CD42" s="532">
        <f>CD39-CD41</f>
        <v>-3781775.0142000006</v>
      </c>
      <c r="DC42" s="258"/>
      <c r="DD42" s="329">
        <f t="shared" si="21"/>
        <v>29</v>
      </c>
      <c r="DE42" s="331" t="s">
        <v>511</v>
      </c>
      <c r="DF42" s="382">
        <v>225950249.87</v>
      </c>
      <c r="DG42" s="343">
        <f>+G44</f>
        <v>232120</v>
      </c>
      <c r="DH42" s="343">
        <f>+L27</f>
        <v>2073692.4732611999</v>
      </c>
      <c r="DI42" s="343"/>
      <c r="DJ42" s="343"/>
      <c r="DK42" s="343">
        <f>X32+X38+X45+X37</f>
        <v>-140159055.19281334</v>
      </c>
      <c r="DL42" s="343"/>
      <c r="DM42" s="343"/>
      <c r="DN42" s="343">
        <f>AP14</f>
        <v>266328.60404153325</v>
      </c>
      <c r="DO42" s="343">
        <f>AT14</f>
        <v>26860.645999997854</v>
      </c>
      <c r="DP42" s="343"/>
      <c r="DQ42" s="343"/>
      <c r="DR42" s="329">
        <f t="shared" si="22"/>
        <v>29</v>
      </c>
      <c r="DS42" s="331" t="s">
        <v>511</v>
      </c>
      <c r="DT42" s="343"/>
      <c r="DU42" s="343"/>
      <c r="DV42" s="343"/>
      <c r="DW42" s="343">
        <f>+BW26</f>
        <v>-21681.551666666666</v>
      </c>
      <c r="DX42" s="343"/>
      <c r="DY42" s="343">
        <f>-CI22</f>
        <v>-6923.234999999986</v>
      </c>
      <c r="DZ42" s="343"/>
      <c r="EA42" s="343"/>
      <c r="EB42" s="343"/>
      <c r="EC42" s="343">
        <f t="shared" si="24"/>
        <v>-137588658.25617728</v>
      </c>
      <c r="ED42" s="329">
        <f t="shared" si="23"/>
        <v>29</v>
      </c>
      <c r="EE42" s="331" t="s">
        <v>511</v>
      </c>
      <c r="EF42" s="254">
        <f t="shared" si="29"/>
        <v>225950249.87</v>
      </c>
      <c r="EG42" s="254">
        <f t="shared" si="30"/>
        <v>-137588658.25617728</v>
      </c>
      <c r="EH42" s="343">
        <f t="shared" si="31"/>
        <v>88361591.613822728</v>
      </c>
    </row>
    <row r="43" spans="1:153" ht="15" customHeight="1" thickTop="1">
      <c r="A43" s="350">
        <f t="shared" si="0"/>
        <v>33</v>
      </c>
      <c r="B43" s="331" t="s">
        <v>452</v>
      </c>
      <c r="C43" s="331"/>
      <c r="D43" s="331"/>
      <c r="E43" s="464">
        <f>UTN</f>
        <v>3.8445E-2</v>
      </c>
      <c r="F43" s="401">
        <f>ROUND(G37*E43,0)</f>
        <v>232120</v>
      </c>
      <c r="G43" s="254"/>
      <c r="H43" s="350"/>
      <c r="P43" s="329"/>
      <c r="Q43" s="256"/>
      <c r="R43" s="256"/>
      <c r="S43" s="256"/>
      <c r="T43" s="329">
        <v>32</v>
      </c>
      <c r="U43" s="433" t="s">
        <v>512</v>
      </c>
      <c r="V43" s="441"/>
      <c r="W43" s="465"/>
      <c r="X43" s="254">
        <v>-1824489.06</v>
      </c>
      <c r="Z43" s="256"/>
      <c r="AA43" s="256"/>
      <c r="AB43" s="256"/>
      <c r="AD43" s="261"/>
      <c r="AE43" s="261"/>
      <c r="AF43" s="261"/>
      <c r="AG43" s="261"/>
      <c r="AH43" s="261"/>
      <c r="AI43" s="261"/>
      <c r="AJ43" s="261"/>
      <c r="AK43" s="261"/>
      <c r="AL43" s="261"/>
      <c r="AM43" s="261"/>
      <c r="AN43" s="261"/>
      <c r="AO43" s="261"/>
      <c r="AP43" s="261"/>
      <c r="AQ43" s="524"/>
      <c r="AR43" s="524"/>
      <c r="AS43" s="524"/>
      <c r="AT43" s="524"/>
      <c r="AU43" s="524"/>
      <c r="AV43" s="524"/>
      <c r="AW43" s="524"/>
      <c r="AX43" s="524"/>
      <c r="AY43" s="524"/>
      <c r="BI43" s="525"/>
      <c r="BJ43" s="530"/>
      <c r="BK43" s="531"/>
      <c r="BL43" s="526"/>
      <c r="BM43" s="254"/>
      <c r="BZ43" s="329">
        <f t="shared" si="14"/>
        <v>32</v>
      </c>
      <c r="CA43" s="256"/>
      <c r="CB43" s="256"/>
      <c r="CC43" s="256"/>
      <c r="CD43" s="256"/>
      <c r="DC43" s="258"/>
      <c r="DD43" s="329">
        <f t="shared" si="21"/>
        <v>30</v>
      </c>
      <c r="DE43" s="331" t="s">
        <v>513</v>
      </c>
      <c r="DF43" s="382">
        <v>46951000.799999997</v>
      </c>
      <c r="DG43" s="343">
        <f>G48</f>
        <v>1207169</v>
      </c>
      <c r="DH43" s="343">
        <f>L39</f>
        <v>4647308</v>
      </c>
      <c r="DI43" s="343">
        <f>O27</f>
        <v>33418500.073694855</v>
      </c>
      <c r="DJ43" s="343">
        <f>S22</f>
        <v>-29895333.891126335</v>
      </c>
      <c r="DK43" s="343">
        <f>X51</f>
        <v>-281621.12721876561</v>
      </c>
      <c r="DL43" s="343">
        <f>AB30</f>
        <v>91571.226389999996</v>
      </c>
      <c r="DM43" s="343">
        <f>AK28</f>
        <v>407989</v>
      </c>
      <c r="DN43" s="343">
        <f>AP18</f>
        <v>-704757.39256475447</v>
      </c>
      <c r="DO43" s="343">
        <f>AT24</f>
        <v>29227</v>
      </c>
      <c r="DP43" s="343">
        <f>AY18</f>
        <v>3968.7559851059732</v>
      </c>
      <c r="DQ43" s="343"/>
      <c r="DR43" s="329">
        <f t="shared" si="22"/>
        <v>30</v>
      </c>
      <c r="DS43" s="331" t="s">
        <v>513</v>
      </c>
      <c r="DT43" s="343">
        <f>+BH17</f>
        <v>-66745.132263668216</v>
      </c>
      <c r="DU43" s="343">
        <f>BM17</f>
        <v>-395041</v>
      </c>
      <c r="DV43" s="343"/>
      <c r="DW43" s="343">
        <f>+BY28</f>
        <v>81887.364649999683</v>
      </c>
      <c r="DX43" s="343">
        <f>CD23</f>
        <v>-2353842.689008642</v>
      </c>
      <c r="DY43" s="343">
        <f>CI24</f>
        <v>1453.879349999997</v>
      </c>
      <c r="DZ43" s="343">
        <f>CN23</f>
        <v>44533.439999999995</v>
      </c>
      <c r="EA43" s="343"/>
      <c r="EB43" s="343">
        <f>CX23</f>
        <v>33762.422409103492</v>
      </c>
      <c r="EC43" s="343">
        <f t="shared" si="24"/>
        <v>6270028.9302968988</v>
      </c>
      <c r="ED43" s="329">
        <f t="shared" si="23"/>
        <v>30</v>
      </c>
      <c r="EE43" s="331" t="s">
        <v>513</v>
      </c>
      <c r="EF43" s="254">
        <f t="shared" si="29"/>
        <v>46951000.799999997</v>
      </c>
      <c r="EG43" s="254">
        <f t="shared" si="30"/>
        <v>6270028.9302968988</v>
      </c>
      <c r="EH43" s="343">
        <f t="shared" si="31"/>
        <v>53221029.730296895</v>
      </c>
    </row>
    <row r="44" spans="1:153" ht="15" customHeight="1">
      <c r="A44" s="350">
        <f t="shared" si="0"/>
        <v>34</v>
      </c>
      <c r="B44" s="397" t="s">
        <v>457</v>
      </c>
      <c r="C44" s="331"/>
      <c r="D44" s="331"/>
      <c r="F44" s="360"/>
      <c r="G44" s="391">
        <f>SUM(F43:F43)</f>
        <v>232120</v>
      </c>
      <c r="H44" s="350"/>
      <c r="Q44" s="256"/>
      <c r="R44" s="256"/>
      <c r="S44" s="256"/>
      <c r="T44" s="329">
        <v>33</v>
      </c>
      <c r="U44" s="364" t="s">
        <v>514</v>
      </c>
      <c r="W44" s="465"/>
      <c r="X44" s="254">
        <v>-102356.97</v>
      </c>
      <c r="Z44" s="256"/>
      <c r="AA44" s="256"/>
      <c r="AB44" s="256"/>
      <c r="AD44" s="261"/>
      <c r="AE44" s="261"/>
      <c r="AF44" s="261"/>
      <c r="AG44" s="261"/>
      <c r="AH44" s="261"/>
      <c r="AI44" s="261"/>
      <c r="AJ44" s="261"/>
      <c r="AK44" s="261"/>
      <c r="AL44" s="261"/>
      <c r="AM44" s="261"/>
      <c r="AN44" s="261"/>
      <c r="AO44" s="261"/>
      <c r="AP44" s="261"/>
      <c r="AQ44" s="524"/>
      <c r="AR44" s="524"/>
      <c r="AS44" s="524"/>
      <c r="AT44" s="524"/>
      <c r="AU44" s="524"/>
      <c r="AV44" s="524"/>
      <c r="AW44" s="524"/>
      <c r="AX44" s="524"/>
      <c r="AY44" s="524"/>
      <c r="BI44" s="525"/>
      <c r="BJ44" s="525"/>
      <c r="BK44" s="525"/>
      <c r="BL44" s="526" t="s">
        <v>210</v>
      </c>
      <c r="BM44" s="254"/>
      <c r="BZ44" s="329">
        <f t="shared" si="14"/>
        <v>33</v>
      </c>
      <c r="CA44" s="533"/>
      <c r="CB44" s="533"/>
      <c r="CC44" s="534" t="s">
        <v>515</v>
      </c>
      <c r="CD44" s="535">
        <f>+CD24-CD42</f>
        <v>-5073157.0063563194</v>
      </c>
      <c r="CY44" s="346"/>
      <c r="CZ44" s="346"/>
      <c r="DA44" s="346"/>
      <c r="DB44" s="346"/>
      <c r="DC44" s="263"/>
      <c r="DD44" s="329">
        <f t="shared" si="21"/>
        <v>31</v>
      </c>
      <c r="DE44" s="111" t="s">
        <v>516</v>
      </c>
      <c r="DF44" s="398">
        <v>63821212.819999993</v>
      </c>
      <c r="DG44" s="398"/>
      <c r="DH44" s="398"/>
      <c r="DI44" s="398">
        <f>O28</f>
        <v>-60852082.353969991</v>
      </c>
      <c r="DJ44" s="343">
        <f>S27</f>
        <v>0</v>
      </c>
      <c r="DK44" s="398"/>
      <c r="DL44" s="398"/>
      <c r="DM44" s="398"/>
      <c r="DN44" s="343"/>
      <c r="DO44" s="398"/>
      <c r="DP44" s="398"/>
      <c r="DQ44" s="398"/>
      <c r="DR44" s="329">
        <f t="shared" si="22"/>
        <v>31</v>
      </c>
      <c r="DS44" s="111" t="s">
        <v>516</v>
      </c>
      <c r="DT44" s="343"/>
      <c r="DU44" s="343"/>
      <c r="DV44" s="343">
        <f>BR18</f>
        <v>0</v>
      </c>
      <c r="DW44" s="343"/>
      <c r="DX44" s="398"/>
      <c r="DY44" s="398"/>
      <c r="DZ44" s="343"/>
      <c r="EA44" s="343"/>
      <c r="EB44" s="343"/>
      <c r="EC44" s="343">
        <f t="shared" si="24"/>
        <v>-60852082.353969991</v>
      </c>
      <c r="ED44" s="329">
        <f t="shared" si="23"/>
        <v>31</v>
      </c>
      <c r="EE44" s="111" t="s">
        <v>516</v>
      </c>
      <c r="EF44" s="254">
        <f t="shared" si="29"/>
        <v>63821212.819999993</v>
      </c>
      <c r="EG44" s="254">
        <f t="shared" si="30"/>
        <v>-60852082.353969991</v>
      </c>
      <c r="EH44" s="343">
        <f t="shared" si="31"/>
        <v>2969130.4660300016</v>
      </c>
      <c r="ES44" s="256"/>
      <c r="ET44" s="256"/>
      <c r="EU44" s="256"/>
      <c r="EV44" s="256"/>
      <c r="EW44" s="256"/>
    </row>
    <row r="45" spans="1:153" ht="15" customHeight="1">
      <c r="A45" s="350">
        <f t="shared" si="0"/>
        <v>35</v>
      </c>
      <c r="B45" s="331"/>
      <c r="C45" s="331"/>
      <c r="D45" s="331"/>
      <c r="E45" s="387"/>
      <c r="G45" s="254"/>
      <c r="H45" s="350"/>
      <c r="Q45" s="256"/>
      <c r="R45" s="256"/>
      <c r="S45" s="256"/>
      <c r="T45" s="329">
        <v>34</v>
      </c>
      <c r="U45" s="364" t="s">
        <v>517</v>
      </c>
      <c r="W45" s="435"/>
      <c r="X45" s="254">
        <v>-28095.02</v>
      </c>
      <c r="Z45" s="256"/>
      <c r="AA45" s="256"/>
      <c r="AB45" s="256"/>
      <c r="AD45" s="261"/>
      <c r="AE45" s="261"/>
      <c r="AF45" s="261"/>
      <c r="AG45" s="261"/>
      <c r="AH45" s="261"/>
      <c r="AI45" s="261"/>
      <c r="AJ45" s="261"/>
      <c r="AK45" s="261"/>
      <c r="AL45" s="261"/>
      <c r="AM45" s="261"/>
      <c r="AN45" s="261"/>
      <c r="AO45" s="261"/>
      <c r="AP45" s="261"/>
      <c r="AQ45" s="524"/>
      <c r="AR45" s="524"/>
      <c r="AS45" s="524"/>
      <c r="AT45" s="524"/>
      <c r="AU45" s="524"/>
      <c r="AV45" s="524"/>
      <c r="AW45" s="524"/>
      <c r="AX45" s="524"/>
      <c r="AY45" s="524"/>
      <c r="BI45" s="525"/>
      <c r="BJ45" s="525"/>
      <c r="BK45" s="525"/>
      <c r="BL45" s="526"/>
      <c r="BM45" s="254"/>
      <c r="BS45" s="261"/>
      <c r="BT45" s="261"/>
      <c r="BU45" s="261"/>
      <c r="BV45" s="261"/>
      <c r="BW45" s="261"/>
      <c r="BX45" s="261"/>
      <c r="BY45" s="261"/>
      <c r="CJ45" s="261"/>
      <c r="CK45" s="261"/>
      <c r="CL45" s="261"/>
      <c r="CM45" s="261"/>
      <c r="CN45" s="261"/>
      <c r="CO45" s="261"/>
      <c r="CP45" s="261"/>
      <c r="CQ45" s="261"/>
      <c r="CR45" s="261"/>
      <c r="CS45" s="261"/>
      <c r="CT45" s="261"/>
      <c r="CU45" s="261"/>
      <c r="CV45" s="261"/>
      <c r="CW45" s="261"/>
      <c r="CX45" s="261"/>
      <c r="CY45" s="536"/>
      <c r="CZ45" s="537"/>
      <c r="DA45" s="282"/>
      <c r="DB45" s="537"/>
      <c r="DC45" s="263"/>
      <c r="DD45" s="329">
        <f t="shared" si="21"/>
        <v>32</v>
      </c>
      <c r="DE45" s="331" t="s">
        <v>518</v>
      </c>
      <c r="DF45" s="516">
        <f t="shared" ref="DF45:DQ45" si="33">SUM(DF28:DF44)</f>
        <v>2077667625.7900004</v>
      </c>
      <c r="DG45" s="516">
        <f t="shared" si="33"/>
        <v>1496460</v>
      </c>
      <c r="DH45" s="516">
        <f t="shared" si="33"/>
        <v>36456467.010638237</v>
      </c>
      <c r="DI45" s="516">
        <f t="shared" si="33"/>
        <v>-27433582.280275136</v>
      </c>
      <c r="DJ45" s="516">
        <f t="shared" si="33"/>
        <v>-29895333.891126335</v>
      </c>
      <c r="DK45" s="516">
        <f>SUM(DK28:DK44)</f>
        <v>-162300027.29524186</v>
      </c>
      <c r="DL45" s="516">
        <f t="shared" si="33"/>
        <v>-344482.23261000006</v>
      </c>
      <c r="DM45" s="516">
        <f t="shared" si="33"/>
        <v>-1534815</v>
      </c>
      <c r="DN45" s="516">
        <f t="shared" si="33"/>
        <v>2651230.1910769334</v>
      </c>
      <c r="DO45" s="516">
        <f t="shared" si="33"/>
        <v>-109951.43120000232</v>
      </c>
      <c r="DP45" s="516">
        <f t="shared" si="33"/>
        <v>-14930.082039208184</v>
      </c>
      <c r="DQ45" s="516">
        <f t="shared" si="33"/>
        <v>316905.9521234514</v>
      </c>
      <c r="DR45" s="329">
        <f t="shared" si="22"/>
        <v>32</v>
      </c>
      <c r="DS45" s="331" t="s">
        <v>518</v>
      </c>
      <c r="DT45" s="516">
        <f t="shared" ref="DT45:EB45" si="34">SUM(DT28:DT44)</f>
        <v>251088.83089665661</v>
      </c>
      <c r="DU45" s="516">
        <f t="shared" si="34"/>
        <v>1486108.7675058593</v>
      </c>
      <c r="DV45" s="516">
        <f t="shared" si="34"/>
        <v>0</v>
      </c>
      <c r="DW45" s="516">
        <f t="shared" si="34"/>
        <v>-308052.46701666887</v>
      </c>
      <c r="DX45" s="516">
        <f t="shared" si="34"/>
        <v>8854932.0205563195</v>
      </c>
      <c r="DY45" s="516">
        <f t="shared" si="34"/>
        <v>-5469.3556499999886</v>
      </c>
      <c r="DZ45" s="516">
        <f t="shared" si="34"/>
        <v>-167530.56</v>
      </c>
      <c r="EA45" s="516">
        <f t="shared" si="34"/>
        <v>0</v>
      </c>
      <c r="EB45" s="516">
        <f t="shared" si="34"/>
        <v>-127011.0176342465</v>
      </c>
      <c r="EC45" s="516">
        <f t="shared" si="24"/>
        <v>-170727992.83999598</v>
      </c>
      <c r="ED45" s="329">
        <f t="shared" si="23"/>
        <v>32</v>
      </c>
      <c r="EE45" s="331" t="s">
        <v>518</v>
      </c>
      <c r="EF45" s="516">
        <f>SUM(EF28:EF44)</f>
        <v>2077667625.7900004</v>
      </c>
      <c r="EG45" s="516">
        <f>SUM(EG28:EG44)</f>
        <v>-170727992.83999601</v>
      </c>
      <c r="EH45" s="516">
        <f>SUM(EH28:EH44)</f>
        <v>1906939632.9500046</v>
      </c>
      <c r="ES45" s="256"/>
      <c r="ET45" s="256"/>
      <c r="EU45" s="256"/>
      <c r="EV45" s="256"/>
      <c r="EW45" s="256"/>
    </row>
    <row r="46" spans="1:153" ht="15" customHeight="1">
      <c r="A46" s="350">
        <f t="shared" si="0"/>
        <v>36</v>
      </c>
      <c r="B46" s="331" t="s">
        <v>380</v>
      </c>
      <c r="C46" s="331"/>
      <c r="D46" s="331"/>
      <c r="E46" s="387"/>
      <c r="F46" s="381"/>
      <c r="G46" s="441">
        <f>G37-G41-G44</f>
        <v>5748424</v>
      </c>
      <c r="H46" s="350"/>
      <c r="Q46" s="256"/>
      <c r="R46" s="256"/>
      <c r="S46" s="256"/>
      <c r="T46" s="329">
        <v>35</v>
      </c>
      <c r="U46" s="364" t="s">
        <v>519</v>
      </c>
      <c r="X46" s="254">
        <v>-4369621.26</v>
      </c>
      <c r="Z46" s="256"/>
      <c r="AA46" s="256"/>
      <c r="AB46" s="256"/>
      <c r="AD46" s="261"/>
      <c r="AE46" s="261"/>
      <c r="AF46" s="261"/>
      <c r="AG46" s="261"/>
      <c r="AH46" s="261"/>
      <c r="AI46" s="261"/>
      <c r="AJ46" s="261"/>
      <c r="AK46" s="261"/>
      <c r="AL46" s="261"/>
      <c r="AM46" s="261"/>
      <c r="AN46" s="261"/>
      <c r="AO46" s="261"/>
      <c r="AP46" s="261"/>
      <c r="AQ46" s="524"/>
      <c r="AR46" s="524"/>
      <c r="AS46" s="524"/>
      <c r="AT46" s="524"/>
      <c r="AU46" s="524"/>
      <c r="AV46" s="524"/>
      <c r="AW46" s="524"/>
      <c r="AX46" s="524"/>
      <c r="AY46" s="524"/>
      <c r="BI46" s="526"/>
      <c r="BJ46" s="526" t="s">
        <v>210</v>
      </c>
      <c r="BK46" s="526"/>
      <c r="BL46" s="526"/>
      <c r="BM46" s="254"/>
      <c r="BS46" s="261"/>
      <c r="BT46" s="261"/>
      <c r="BU46" s="261"/>
      <c r="BV46" s="261"/>
      <c r="BW46" s="261"/>
      <c r="BX46" s="261"/>
      <c r="BY46" s="261"/>
      <c r="BZ46" s="261"/>
      <c r="CA46" s="261"/>
      <c r="CB46" s="261"/>
      <c r="CC46" s="261"/>
      <c r="CD46" s="261"/>
      <c r="CE46" s="261"/>
      <c r="CF46" s="261"/>
      <c r="CG46" s="261"/>
      <c r="CH46" s="261"/>
      <c r="CI46" s="261"/>
      <c r="CJ46" s="261"/>
      <c r="CK46" s="261"/>
      <c r="CL46" s="261"/>
      <c r="CM46" s="261"/>
      <c r="CN46" s="261"/>
      <c r="CO46" s="261"/>
      <c r="CP46" s="261"/>
      <c r="CQ46" s="261"/>
      <c r="CR46" s="261"/>
      <c r="CS46" s="261"/>
      <c r="CT46" s="261"/>
      <c r="CU46" s="261"/>
      <c r="CV46" s="261"/>
      <c r="CW46" s="261"/>
      <c r="CX46" s="261"/>
      <c r="CY46" s="538"/>
      <c r="CZ46" s="537"/>
      <c r="DA46" s="282"/>
      <c r="DB46" s="537"/>
      <c r="DC46" s="539"/>
      <c r="DD46" s="329">
        <f t="shared" si="21"/>
        <v>33</v>
      </c>
      <c r="DF46" s="369"/>
      <c r="DG46" s="369" t="s">
        <v>203</v>
      </c>
      <c r="DH46" s="369" t="s">
        <v>203</v>
      </c>
      <c r="DI46" s="369" t="s">
        <v>203</v>
      </c>
      <c r="DJ46" s="369" t="s">
        <v>203</v>
      </c>
      <c r="DK46" s="369" t="s">
        <v>203</v>
      </c>
      <c r="DL46" s="369" t="s">
        <v>203</v>
      </c>
      <c r="DM46" s="369" t="s">
        <v>203</v>
      </c>
      <c r="DN46" s="369"/>
      <c r="DO46" s="369" t="s">
        <v>203</v>
      </c>
      <c r="DP46" s="369"/>
      <c r="DQ46" s="369" t="s">
        <v>203</v>
      </c>
      <c r="DR46" s="329">
        <f t="shared" si="22"/>
        <v>33</v>
      </c>
      <c r="DT46" s="369"/>
      <c r="DU46" s="369"/>
      <c r="DV46" s="369"/>
      <c r="DW46" s="369"/>
      <c r="DX46" s="369" t="s">
        <v>203</v>
      </c>
      <c r="DY46" s="369" t="s">
        <v>203</v>
      </c>
      <c r="DZ46" s="369"/>
      <c r="EA46" s="369"/>
      <c r="EB46" s="369"/>
      <c r="EC46" s="369"/>
      <c r="ED46" s="329">
        <f t="shared" si="23"/>
        <v>33</v>
      </c>
      <c r="EF46" s="369"/>
      <c r="EG46" s="369"/>
      <c r="EH46" s="369"/>
      <c r="ES46" s="256"/>
      <c r="ET46" s="256"/>
      <c r="EU46" s="256"/>
      <c r="EV46" s="256"/>
      <c r="EW46" s="256"/>
    </row>
    <row r="47" spans="1:153" ht="15" customHeight="1">
      <c r="A47" s="350">
        <f t="shared" si="0"/>
        <v>37</v>
      </c>
      <c r="B47" s="331"/>
      <c r="C47" s="331"/>
      <c r="D47" s="331"/>
      <c r="E47" s="387"/>
      <c r="F47" s="381"/>
      <c r="G47" s="381"/>
      <c r="H47" s="350"/>
      <c r="L47" s="254"/>
      <c r="Q47" s="256"/>
      <c r="R47" s="256"/>
      <c r="S47" s="256"/>
      <c r="T47" s="329">
        <v>36</v>
      </c>
      <c r="U47" s="364" t="s">
        <v>458</v>
      </c>
      <c r="V47" s="346"/>
      <c r="W47" s="346"/>
      <c r="X47" s="254">
        <v>10720950.98</v>
      </c>
      <c r="Z47" s="256"/>
      <c r="AA47" s="256"/>
      <c r="AB47" s="256"/>
      <c r="AD47" s="261"/>
      <c r="AE47" s="261"/>
      <c r="AF47" s="261"/>
      <c r="AG47" s="261"/>
      <c r="AH47" s="261"/>
      <c r="AI47" s="261"/>
      <c r="AJ47" s="261"/>
      <c r="AK47" s="261"/>
      <c r="AL47" s="261"/>
      <c r="AM47" s="261"/>
      <c r="AN47" s="261"/>
      <c r="AO47" s="261"/>
      <c r="AP47" s="261"/>
      <c r="BI47" s="526"/>
      <c r="BJ47" s="526" t="s">
        <v>210</v>
      </c>
      <c r="BK47" s="526"/>
      <c r="BL47" s="526"/>
      <c r="BM47" s="254"/>
      <c r="BS47" s="261"/>
      <c r="BT47" s="261"/>
      <c r="BU47" s="261"/>
      <c r="BV47" s="261"/>
      <c r="BW47" s="261"/>
      <c r="BX47" s="261"/>
      <c r="BY47" s="261"/>
      <c r="BZ47" s="261"/>
      <c r="CA47" s="261"/>
      <c r="CB47" s="261"/>
      <c r="CC47" s="261"/>
      <c r="CD47" s="261"/>
      <c r="CE47" s="261"/>
      <c r="CF47" s="261"/>
      <c r="CG47" s="261"/>
      <c r="CH47" s="261"/>
      <c r="CI47" s="261"/>
      <c r="CJ47" s="261"/>
      <c r="CK47" s="261"/>
      <c r="CL47" s="261"/>
      <c r="CM47" s="261"/>
      <c r="CN47" s="261"/>
      <c r="CO47" s="261"/>
      <c r="CP47" s="261"/>
      <c r="CQ47" s="261"/>
      <c r="CR47" s="261"/>
      <c r="CS47" s="261"/>
      <c r="CT47" s="261"/>
      <c r="CU47" s="261"/>
      <c r="CV47" s="261"/>
      <c r="CW47" s="261"/>
      <c r="CX47" s="261"/>
      <c r="CY47" s="538"/>
      <c r="CZ47" s="537"/>
      <c r="DA47" s="282"/>
      <c r="DB47" s="537"/>
      <c r="DC47" s="537"/>
      <c r="DD47" s="329">
        <f t="shared" si="21"/>
        <v>34</v>
      </c>
      <c r="DE47" s="331" t="s">
        <v>520</v>
      </c>
      <c r="DF47" s="357">
        <f>DF19-DF45</f>
        <v>281553948.53999949</v>
      </c>
      <c r="DG47" s="357">
        <f>DG19-DG45</f>
        <v>4541255</v>
      </c>
      <c r="DH47" s="357">
        <f>DH19-DH45</f>
        <v>17482731.149361759</v>
      </c>
      <c r="DI47" s="357">
        <f>DI19-DI45</f>
        <v>27433582.280275136</v>
      </c>
      <c r="DJ47" s="357">
        <f>DJ19-DJ45</f>
        <v>29895333.891126335</v>
      </c>
      <c r="DK47" s="357">
        <f>ROUND(DK19-DK45,0)</f>
        <v>-1059432</v>
      </c>
      <c r="DL47" s="357">
        <f>ROUND(DL19-DL45,0)</f>
        <v>344482</v>
      </c>
      <c r="DM47" s="357">
        <f>DM19-DM45</f>
        <v>1534815</v>
      </c>
      <c r="DN47" s="357">
        <f>DN19-DN45</f>
        <v>-2651230.1910769334</v>
      </c>
      <c r="DO47" s="357">
        <f>DO19-DO45</f>
        <v>109951.43120000232</v>
      </c>
      <c r="DP47" s="357">
        <f>DP19-DP45</f>
        <v>14930.082039208184</v>
      </c>
      <c r="DQ47" s="357">
        <f>DQ19-DQ45</f>
        <v>-316905.9521234514</v>
      </c>
      <c r="DR47" s="329">
        <f t="shared" si="22"/>
        <v>34</v>
      </c>
      <c r="DS47" s="331" t="s">
        <v>520</v>
      </c>
      <c r="DT47" s="357">
        <f t="shared" ref="DT47:EB47" si="35">DT19-DT45</f>
        <v>-251088.83089665661</v>
      </c>
      <c r="DU47" s="357">
        <f t="shared" si="35"/>
        <v>-1486108.7675058593</v>
      </c>
      <c r="DV47" s="357">
        <f t="shared" si="35"/>
        <v>0</v>
      </c>
      <c r="DW47" s="357">
        <f t="shared" si="35"/>
        <v>308052.46701666887</v>
      </c>
      <c r="DX47" s="357">
        <f t="shared" si="35"/>
        <v>-8854932.0205563195</v>
      </c>
      <c r="DY47" s="357">
        <f t="shared" si="35"/>
        <v>5469.3556499999886</v>
      </c>
      <c r="DZ47" s="357">
        <f t="shared" si="35"/>
        <v>167530.56</v>
      </c>
      <c r="EA47" s="357">
        <f t="shared" si="35"/>
        <v>0</v>
      </c>
      <c r="EB47" s="357">
        <f t="shared" si="35"/>
        <v>127011.0176342465</v>
      </c>
      <c r="EC47" s="357">
        <f t="shared" si="24"/>
        <v>67345446.472144127</v>
      </c>
      <c r="ED47" s="329">
        <f t="shared" si="23"/>
        <v>34</v>
      </c>
      <c r="EE47" s="111" t="str">
        <f>DE47</f>
        <v>NET OPERATING INCOME</v>
      </c>
      <c r="EF47" s="357">
        <f>EF19-EF45</f>
        <v>281553948.53999949</v>
      </c>
      <c r="EG47" s="357">
        <f>EG19-EG45</f>
        <v>67345446.8452169</v>
      </c>
      <c r="EH47" s="357">
        <f>EH19-EH45</f>
        <v>348899395.38521624</v>
      </c>
      <c r="ES47" s="256"/>
      <c r="ET47" s="256"/>
      <c r="EU47" s="256"/>
      <c r="EV47" s="256"/>
      <c r="EW47" s="256"/>
    </row>
    <row r="48" spans="1:153" ht="15" customHeight="1">
      <c r="A48" s="350">
        <f t="shared" si="0"/>
        <v>38</v>
      </c>
      <c r="B48" s="331" t="s">
        <v>392</v>
      </c>
      <c r="C48" s="331"/>
      <c r="D48" s="331"/>
      <c r="E48" s="440">
        <f>FIT</f>
        <v>0.21</v>
      </c>
      <c r="F48" s="381"/>
      <c r="G48" s="391">
        <f>ROUND(G46*E48,0)</f>
        <v>1207169</v>
      </c>
      <c r="H48" s="350"/>
      <c r="L48" s="254"/>
      <c r="Q48" s="256"/>
      <c r="R48" s="256"/>
      <c r="S48" s="256"/>
      <c r="T48" s="329">
        <v>37</v>
      </c>
      <c r="U48" s="433" t="s">
        <v>469</v>
      </c>
      <c r="V48" s="346"/>
      <c r="W48" s="346"/>
      <c r="X48" s="512">
        <f>SUM(X36:X47)</f>
        <v>-154304961.86999997</v>
      </c>
      <c r="Z48" s="256"/>
      <c r="AA48" s="256"/>
      <c r="AB48" s="256"/>
      <c r="AD48" s="261"/>
      <c r="AE48" s="261"/>
      <c r="AF48" s="261"/>
      <c r="AG48" s="261"/>
      <c r="AH48" s="261"/>
      <c r="AI48" s="261"/>
      <c r="AJ48" s="261"/>
      <c r="AK48" s="261"/>
      <c r="AL48" s="261"/>
      <c r="AM48" s="261"/>
      <c r="AN48" s="261"/>
      <c r="AO48" s="261"/>
      <c r="AP48" s="261"/>
      <c r="BI48" s="526" t="s">
        <v>210</v>
      </c>
      <c r="BJ48" s="526" t="s">
        <v>210</v>
      </c>
      <c r="BK48" s="526" t="s">
        <v>210</v>
      </c>
      <c r="BL48" s="526" t="s">
        <v>210</v>
      </c>
      <c r="BM48" s="254"/>
      <c r="BS48" s="261"/>
      <c r="BT48" s="261"/>
      <c r="BU48" s="261"/>
      <c r="BV48" s="261"/>
      <c r="BW48" s="261"/>
      <c r="BX48" s="261"/>
      <c r="BY48" s="261"/>
      <c r="BZ48" s="261"/>
      <c r="CA48" s="261"/>
      <c r="CB48" s="261"/>
      <c r="CC48" s="261"/>
      <c r="CD48" s="261"/>
      <c r="CE48" s="261"/>
      <c r="CF48" s="261"/>
      <c r="CG48" s="261"/>
      <c r="CH48" s="261"/>
      <c r="CI48" s="261"/>
      <c r="CJ48" s="261"/>
      <c r="CK48" s="261"/>
      <c r="CL48" s="261"/>
      <c r="CM48" s="261"/>
      <c r="CN48" s="261"/>
      <c r="CO48" s="261"/>
      <c r="CP48" s="261"/>
      <c r="CQ48" s="261"/>
      <c r="CR48" s="261"/>
      <c r="CS48" s="261"/>
      <c r="CT48" s="261"/>
      <c r="CU48" s="261"/>
      <c r="CV48" s="261"/>
      <c r="CW48" s="261"/>
      <c r="CX48" s="261"/>
      <c r="CY48" s="282"/>
      <c r="CZ48" s="537"/>
      <c r="DA48" s="282"/>
      <c r="DB48" s="537"/>
      <c r="DC48" s="537"/>
      <c r="DD48" s="329">
        <f t="shared" si="21"/>
        <v>35</v>
      </c>
      <c r="DF48" s="540"/>
      <c r="DG48" s="540"/>
      <c r="DH48" s="540"/>
      <c r="DI48" s="540"/>
      <c r="DJ48" s="540"/>
      <c r="DK48" s="540"/>
      <c r="DL48" s="540"/>
      <c r="DM48" s="540"/>
      <c r="DN48" s="540"/>
      <c r="DO48" s="540"/>
      <c r="DP48" s="540"/>
      <c r="DQ48" s="540"/>
      <c r="DR48" s="329">
        <f t="shared" si="22"/>
        <v>35</v>
      </c>
      <c r="DT48" s="540"/>
      <c r="DU48" s="540"/>
      <c r="DV48" s="540"/>
      <c r="DW48" s="540"/>
      <c r="DX48" s="540"/>
      <c r="DY48" s="540"/>
      <c r="DZ48" s="540"/>
      <c r="EA48" s="540"/>
      <c r="EB48" s="540"/>
      <c r="EC48" s="540"/>
      <c r="ED48" s="329">
        <f t="shared" si="23"/>
        <v>35</v>
      </c>
      <c r="EE48" s="331"/>
      <c r="EF48" s="540"/>
      <c r="EG48" s="540"/>
      <c r="EH48" s="540"/>
      <c r="ES48" s="256"/>
      <c r="ET48" s="256"/>
      <c r="EU48" s="256"/>
      <c r="EV48" s="256"/>
      <c r="EW48" s="256"/>
    </row>
    <row r="49" spans="1:153" ht="15" customHeight="1" thickBot="1">
      <c r="A49" s="350">
        <f t="shared" si="0"/>
        <v>39</v>
      </c>
      <c r="B49" s="331" t="s">
        <v>369</v>
      </c>
      <c r="C49" s="331"/>
      <c r="D49" s="331"/>
      <c r="F49" s="381"/>
      <c r="G49" s="452">
        <f>G46-G48</f>
        <v>4541255</v>
      </c>
      <c r="H49" s="350"/>
      <c r="L49" s="254"/>
      <c r="O49" s="256"/>
      <c r="Q49" s="256"/>
      <c r="R49" s="256"/>
      <c r="S49" s="256"/>
      <c r="T49" s="329">
        <v>38</v>
      </c>
      <c r="U49" s="433"/>
      <c r="V49" s="346"/>
      <c r="W49" s="346"/>
      <c r="X49" s="492"/>
      <c r="Z49" s="256"/>
      <c r="AA49" s="256"/>
      <c r="AB49" s="256"/>
      <c r="AD49" s="261"/>
      <c r="AE49" s="261"/>
      <c r="AF49" s="261"/>
      <c r="AG49" s="261"/>
      <c r="AH49" s="261"/>
      <c r="AI49" s="261"/>
      <c r="AJ49" s="261"/>
      <c r="AK49" s="261"/>
      <c r="AL49" s="261"/>
      <c r="AM49" s="261"/>
      <c r="AN49" s="261"/>
      <c r="AO49" s="261"/>
      <c r="AP49" s="261"/>
      <c r="BI49" s="526" t="s">
        <v>210</v>
      </c>
      <c r="BJ49" s="526" t="s">
        <v>210</v>
      </c>
      <c r="BK49" s="526" t="s">
        <v>210</v>
      </c>
      <c r="BL49" s="526" t="s">
        <v>210</v>
      </c>
      <c r="BM49" s="254"/>
      <c r="BS49" s="261"/>
      <c r="BT49" s="261"/>
      <c r="BU49" s="261"/>
      <c r="BV49" s="261"/>
      <c r="BW49" s="261"/>
      <c r="BX49" s="261"/>
      <c r="BY49" s="261"/>
      <c r="BZ49" s="261"/>
      <c r="CA49" s="261"/>
      <c r="CB49" s="261"/>
      <c r="CC49" s="261"/>
      <c r="CD49" s="261"/>
      <c r="CE49" s="261"/>
      <c r="CF49" s="261"/>
      <c r="CG49" s="261"/>
      <c r="CH49" s="261"/>
      <c r="CI49" s="261"/>
      <c r="CJ49" s="261"/>
      <c r="CK49" s="261"/>
      <c r="CL49" s="261"/>
      <c r="CM49" s="261"/>
      <c r="CN49" s="261"/>
      <c r="CO49" s="261"/>
      <c r="CP49" s="261"/>
      <c r="CQ49" s="261"/>
      <c r="CR49" s="261"/>
      <c r="CS49" s="261"/>
      <c r="CT49" s="261"/>
      <c r="CU49" s="261"/>
      <c r="CV49" s="261"/>
      <c r="CW49" s="261"/>
      <c r="CX49" s="261"/>
      <c r="CY49" s="538"/>
      <c r="CZ49" s="541"/>
      <c r="DA49" s="537"/>
      <c r="DB49" s="537"/>
      <c r="DC49" s="537"/>
      <c r="DD49" s="329">
        <f t="shared" si="21"/>
        <v>36</v>
      </c>
      <c r="DE49" s="331" t="s">
        <v>521</v>
      </c>
      <c r="DF49" s="369">
        <f>DF60</f>
        <v>5443851882.2468576</v>
      </c>
      <c r="DG49" s="369">
        <v>0</v>
      </c>
      <c r="DH49" s="369">
        <v>0</v>
      </c>
      <c r="DI49" s="369">
        <v>0</v>
      </c>
      <c r="DJ49" s="369">
        <v>0</v>
      </c>
      <c r="DK49" s="369"/>
      <c r="DL49" s="369"/>
      <c r="DM49" s="369">
        <v>0</v>
      </c>
      <c r="DN49" s="369">
        <v>0</v>
      </c>
      <c r="DO49" s="369">
        <v>0</v>
      </c>
      <c r="DP49" s="369">
        <v>0</v>
      </c>
      <c r="DQ49" s="369">
        <v>0</v>
      </c>
      <c r="DR49" s="329">
        <f t="shared" si="22"/>
        <v>36</v>
      </c>
      <c r="DS49" s="331" t="s">
        <v>521</v>
      </c>
      <c r="DT49" s="369">
        <v>0</v>
      </c>
      <c r="DU49" s="369">
        <v>0</v>
      </c>
      <c r="DV49" s="369">
        <v>0</v>
      </c>
      <c r="DW49" s="369">
        <v>0</v>
      </c>
      <c r="DX49" s="369">
        <v>0</v>
      </c>
      <c r="DY49" s="369">
        <v>0</v>
      </c>
      <c r="DZ49" s="369">
        <f>CN17</f>
        <v>-1402186.52</v>
      </c>
      <c r="EA49" s="369">
        <f>CS17</f>
        <v>-108497311.58370547</v>
      </c>
      <c r="EB49" s="369">
        <f>CX17</f>
        <v>-2164638.2672226988</v>
      </c>
      <c r="EC49" s="369">
        <f t="shared" si="24"/>
        <v>-112064136.37092817</v>
      </c>
      <c r="ED49" s="329">
        <f t="shared" si="23"/>
        <v>36</v>
      </c>
      <c r="EE49" s="111" t="str">
        <f>DE49</f>
        <v xml:space="preserve">RATE BASE </v>
      </c>
      <c r="EF49" s="369">
        <f>EF60</f>
        <v>5443851882.2468576</v>
      </c>
      <c r="EG49" s="369">
        <f>+EC49</f>
        <v>-112064136.37092817</v>
      </c>
      <c r="EH49" s="369">
        <f>SUM(EF49:EG49)</f>
        <v>5331787745.8759298</v>
      </c>
      <c r="ES49" s="256"/>
      <c r="ET49" s="256"/>
      <c r="EU49" s="256"/>
      <c r="EV49" s="256"/>
      <c r="EW49" s="256"/>
    </row>
    <row r="50" spans="1:153" ht="15" customHeight="1" thickTop="1">
      <c r="A50" s="350"/>
      <c r="G50" s="369"/>
      <c r="H50" s="254"/>
      <c r="L50" s="254"/>
      <c r="Q50" s="256"/>
      <c r="R50" s="256"/>
      <c r="S50" s="256"/>
      <c r="T50" s="329">
        <v>39</v>
      </c>
      <c r="U50" s="433" t="s">
        <v>501</v>
      </c>
      <c r="X50" s="369">
        <f>-X27-X33-X48</f>
        <v>-1341052.9867560267</v>
      </c>
      <c r="Z50" s="256"/>
      <c r="AA50" s="256"/>
      <c r="AB50" s="256"/>
      <c r="AD50" s="261"/>
      <c r="AE50" s="261"/>
      <c r="AF50" s="261"/>
      <c r="AG50" s="261"/>
      <c r="AH50" s="261"/>
      <c r="AI50" s="261"/>
      <c r="AJ50" s="261"/>
      <c r="AK50" s="261"/>
      <c r="AL50" s="261"/>
      <c r="AM50" s="261"/>
      <c r="AN50" s="261"/>
      <c r="AO50" s="261"/>
      <c r="AP50" s="261"/>
      <c r="BI50" s="526" t="s">
        <v>210</v>
      </c>
      <c r="BJ50" s="526" t="s">
        <v>210</v>
      </c>
      <c r="BK50" s="526" t="s">
        <v>210</v>
      </c>
      <c r="BL50" s="526" t="s">
        <v>210</v>
      </c>
      <c r="BM50" s="254"/>
      <c r="BS50" s="261"/>
      <c r="BT50" s="261"/>
      <c r="BU50" s="261"/>
      <c r="BV50" s="261"/>
      <c r="BW50" s="261"/>
      <c r="BX50" s="261"/>
      <c r="BY50" s="254">
        <f>ROUND(BH19-DT47,0)</f>
        <v>0</v>
      </c>
      <c r="BZ50" s="261"/>
      <c r="CA50" s="261"/>
      <c r="CB50" s="261"/>
      <c r="CC50" s="261"/>
      <c r="CD50" s="261"/>
      <c r="CE50" s="261"/>
      <c r="CF50" s="261"/>
      <c r="CG50" s="261"/>
      <c r="CH50" s="261"/>
      <c r="CI50" s="261"/>
      <c r="CJ50" s="254"/>
      <c r="CK50" s="254"/>
      <c r="CL50" s="254"/>
      <c r="CM50" s="254"/>
      <c r="CN50" s="254"/>
      <c r="CO50" s="254"/>
      <c r="CP50" s="254"/>
      <c r="CQ50" s="254"/>
      <c r="CR50" s="254"/>
      <c r="CS50" s="254"/>
      <c r="CT50" s="254"/>
      <c r="CU50" s="254"/>
      <c r="CV50" s="254"/>
      <c r="CW50" s="254"/>
      <c r="CX50" s="254"/>
      <c r="CY50" s="346"/>
      <c r="CZ50" s="346"/>
      <c r="DA50" s="346"/>
      <c r="DB50" s="346"/>
      <c r="DC50" s="346"/>
      <c r="DD50" s="329">
        <f t="shared" si="21"/>
        <v>37</v>
      </c>
      <c r="DF50" s="365"/>
      <c r="DN50" s="331"/>
      <c r="DR50" s="329">
        <f t="shared" si="22"/>
        <v>37</v>
      </c>
      <c r="DT50" s="331"/>
      <c r="DU50" s="331"/>
      <c r="DV50" s="331"/>
      <c r="DW50" s="331"/>
      <c r="DX50" s="365"/>
      <c r="DZ50" s="331"/>
      <c r="EA50" s="331"/>
      <c r="EB50" s="331"/>
      <c r="ED50" s="329">
        <f t="shared" si="23"/>
        <v>37</v>
      </c>
      <c r="EF50" s="369"/>
      <c r="EG50" s="369"/>
      <c r="ES50" s="256"/>
      <c r="ET50" s="256"/>
      <c r="EU50" s="256"/>
      <c r="EV50" s="256"/>
      <c r="EW50" s="256"/>
    </row>
    <row r="51" spans="1:153" ht="15" customHeight="1">
      <c r="A51" s="350"/>
      <c r="G51" s="254"/>
      <c r="H51" s="441"/>
      <c r="L51" s="254"/>
      <c r="Q51" s="256"/>
      <c r="R51" s="256"/>
      <c r="S51" s="256"/>
      <c r="T51" s="329">
        <v>40</v>
      </c>
      <c r="U51" s="433" t="s">
        <v>392</v>
      </c>
      <c r="W51" s="439">
        <f>FIT</f>
        <v>0.21</v>
      </c>
      <c r="X51" s="254">
        <f>X50*W51</f>
        <v>-281621.12721876561</v>
      </c>
      <c r="Z51" s="256"/>
      <c r="AA51" s="256"/>
      <c r="AB51" s="256"/>
      <c r="AD51" s="261"/>
      <c r="AE51" s="261"/>
      <c r="AF51" s="261"/>
      <c r="AG51" s="261"/>
      <c r="AH51" s="261"/>
      <c r="AI51" s="261"/>
      <c r="AJ51" s="261"/>
      <c r="AK51" s="261"/>
      <c r="AL51" s="261"/>
      <c r="AM51" s="261"/>
      <c r="AN51" s="261"/>
      <c r="AO51" s="261"/>
      <c r="AP51" s="261"/>
      <c r="AT51" s="254">
        <f>ROUND(AT26-DO47,0)</f>
        <v>0</v>
      </c>
      <c r="AY51" s="254">
        <f>ROUND(AY20-DP47,0)</f>
        <v>0</v>
      </c>
      <c r="BD51" s="254">
        <f>ROUND(CI25-DY47,0)</f>
        <v>0</v>
      </c>
      <c r="BH51" s="254">
        <f>ROUND(BC15-DQ47,0)</f>
        <v>0</v>
      </c>
      <c r="BI51" s="526" t="s">
        <v>210</v>
      </c>
      <c r="BJ51" s="542"/>
      <c r="BK51" s="526"/>
      <c r="BL51" s="526" t="s">
        <v>210</v>
      </c>
      <c r="BM51" s="254">
        <f>ROUND(BR20-DV47,0)</f>
        <v>0</v>
      </c>
      <c r="BS51" s="261"/>
      <c r="BT51" s="261"/>
      <c r="BU51" s="261"/>
      <c r="BV51" s="261"/>
      <c r="BW51" s="261"/>
      <c r="BX51" s="261"/>
      <c r="BY51" s="261"/>
      <c r="BZ51" s="254"/>
      <c r="CA51" s="254"/>
      <c r="CB51" s="254"/>
      <c r="CC51" s="254"/>
      <c r="CD51" s="254"/>
      <c r="CE51" s="254"/>
      <c r="CF51" s="254"/>
      <c r="CG51" s="254"/>
      <c r="CH51" s="254"/>
      <c r="CI51" s="254"/>
      <c r="CJ51" s="261"/>
      <c r="CK51" s="261"/>
      <c r="CL51" s="261"/>
      <c r="CM51" s="261"/>
      <c r="CN51" s="261"/>
      <c r="CO51" s="261"/>
      <c r="CP51" s="261"/>
      <c r="CQ51" s="261"/>
      <c r="CR51" s="261"/>
      <c r="CS51" s="261"/>
      <c r="CT51" s="261"/>
      <c r="CU51" s="261"/>
      <c r="CV51" s="261"/>
      <c r="CW51" s="261"/>
      <c r="CX51" s="261"/>
      <c r="CY51" s="298"/>
      <c r="CZ51" s="346"/>
      <c r="DA51" s="346"/>
      <c r="DB51" s="346"/>
      <c r="DC51" s="336"/>
      <c r="DD51" s="329">
        <f t="shared" si="21"/>
        <v>38</v>
      </c>
      <c r="DE51" s="331" t="s">
        <v>522</v>
      </c>
      <c r="DF51" s="543">
        <f>DF47/DF49</f>
        <v>5.1719619605776791E-2</v>
      </c>
      <c r="DN51" s="331"/>
      <c r="DR51" s="329">
        <f t="shared" si="22"/>
        <v>38</v>
      </c>
      <c r="DS51" s="331" t="s">
        <v>522</v>
      </c>
      <c r="DT51" s="331"/>
      <c r="DU51" s="331"/>
      <c r="DV51" s="331"/>
      <c r="DW51" s="331"/>
      <c r="DX51" s="365"/>
      <c r="DZ51" s="331"/>
      <c r="EA51" s="331"/>
      <c r="EB51" s="331"/>
      <c r="EC51" s="465">
        <f>EC47/EC49</f>
        <v>-0.60095449492630881</v>
      </c>
      <c r="ED51" s="329">
        <f t="shared" si="23"/>
        <v>38</v>
      </c>
      <c r="EE51" s="111" t="str">
        <f>DE51</f>
        <v>RATE OF RETURN</v>
      </c>
      <c r="EF51" s="465">
        <f>EF47/EF49</f>
        <v>5.1719619605776791E-2</v>
      </c>
      <c r="EG51" s="465"/>
      <c r="EH51" s="465">
        <f>EH47/EH49</f>
        <v>6.5437600297402213E-2</v>
      </c>
      <c r="ES51" s="256"/>
      <c r="ET51" s="256"/>
      <c r="EU51" s="256"/>
      <c r="EV51" s="256"/>
      <c r="EW51" s="256"/>
    </row>
    <row r="52" spans="1:153" ht="15" customHeight="1" thickBot="1">
      <c r="A52" s="350"/>
      <c r="H52" s="254"/>
      <c r="L52" s="254"/>
      <c r="Q52" s="256"/>
      <c r="R52" s="256"/>
      <c r="S52" s="256"/>
      <c r="T52" s="329">
        <v>41</v>
      </c>
      <c r="U52" s="433" t="s">
        <v>369</v>
      </c>
      <c r="X52" s="472">
        <f>X50-X51</f>
        <v>-1059431.8595372611</v>
      </c>
      <c r="Z52" s="254"/>
      <c r="AA52" s="254"/>
      <c r="AB52" s="254"/>
      <c r="AD52" s="261"/>
      <c r="AE52" s="261"/>
      <c r="AF52" s="261"/>
      <c r="AG52" s="261"/>
      <c r="AH52" s="261"/>
      <c r="AI52" s="261"/>
      <c r="AJ52" s="261"/>
      <c r="AK52" s="261"/>
      <c r="AL52" s="261"/>
      <c r="AM52" s="261"/>
      <c r="AN52" s="261"/>
      <c r="AO52" s="261"/>
      <c r="AP52" s="261"/>
      <c r="BI52" s="526" t="s">
        <v>210</v>
      </c>
      <c r="BJ52" s="542"/>
      <c r="BK52" s="526"/>
      <c r="BL52" s="526" t="s">
        <v>210</v>
      </c>
      <c r="BM52" s="254"/>
      <c r="BS52" s="261"/>
      <c r="BT52" s="261"/>
      <c r="BU52" s="261"/>
      <c r="BV52" s="261"/>
      <c r="BW52" s="261"/>
      <c r="BX52" s="261"/>
      <c r="BY52" s="261"/>
      <c r="BZ52" s="261"/>
      <c r="CA52" s="261"/>
      <c r="CB52" s="261"/>
      <c r="CC52" s="261"/>
      <c r="CD52" s="261"/>
      <c r="CE52" s="261"/>
      <c r="CF52" s="261"/>
      <c r="CG52" s="261"/>
      <c r="CH52" s="261"/>
      <c r="CI52" s="261"/>
      <c r="CJ52" s="261"/>
      <c r="CK52" s="261"/>
      <c r="CL52" s="261"/>
      <c r="CM52" s="261"/>
      <c r="CN52" s="261"/>
      <c r="CO52" s="261"/>
      <c r="CP52" s="261"/>
      <c r="CQ52" s="261"/>
      <c r="CR52" s="261"/>
      <c r="CS52" s="261"/>
      <c r="CT52" s="261"/>
      <c r="CU52" s="261"/>
      <c r="CV52" s="261"/>
      <c r="CW52" s="261"/>
      <c r="CX52" s="261"/>
      <c r="CY52" s="298"/>
      <c r="CZ52" s="544"/>
      <c r="DA52" s="346"/>
      <c r="DB52" s="346"/>
      <c r="DC52" s="336"/>
      <c r="DD52" s="329">
        <f t="shared" si="21"/>
        <v>39</v>
      </c>
      <c r="DR52" s="329">
        <f t="shared" si="22"/>
        <v>39</v>
      </c>
      <c r="ED52" s="329">
        <f t="shared" si="23"/>
        <v>39</v>
      </c>
      <c r="ES52" s="256"/>
      <c r="ET52" s="256"/>
      <c r="EU52" s="256"/>
      <c r="EV52" s="256"/>
      <c r="EW52" s="256"/>
    </row>
    <row r="53" spans="1:153" ht="15" customHeight="1" thickTop="1">
      <c r="A53" s="350"/>
      <c r="B53" s="364"/>
      <c r="H53" s="441"/>
      <c r="L53" s="254"/>
      <c r="Q53" s="256"/>
      <c r="R53" s="256"/>
      <c r="S53" s="256"/>
      <c r="U53" s="261"/>
      <c r="V53" s="261"/>
      <c r="W53" s="261"/>
      <c r="X53" s="261"/>
      <c r="Y53" s="254"/>
      <c r="AD53" s="261"/>
      <c r="AE53" s="261"/>
      <c r="AF53" s="261"/>
      <c r="AG53" s="261"/>
      <c r="AH53" s="261"/>
      <c r="AI53" s="261"/>
      <c r="AJ53" s="261"/>
      <c r="AK53" s="261"/>
      <c r="AL53" s="261"/>
      <c r="AM53" s="261"/>
      <c r="AN53" s="261"/>
      <c r="AO53" s="261"/>
      <c r="AP53" s="261"/>
      <c r="BK53" s="254"/>
      <c r="BL53" s="254"/>
      <c r="BM53" s="254"/>
      <c r="BS53" s="261"/>
      <c r="BT53" s="261"/>
      <c r="BU53" s="261"/>
      <c r="BV53" s="261"/>
      <c r="BW53" s="261"/>
      <c r="BX53" s="261"/>
      <c r="BY53" s="261"/>
      <c r="BZ53" s="261"/>
      <c r="CA53" s="261"/>
      <c r="CB53" s="261"/>
      <c r="CC53" s="261"/>
      <c r="CD53" s="261"/>
      <c r="CE53" s="261"/>
      <c r="CF53" s="261"/>
      <c r="CG53" s="261"/>
      <c r="CH53" s="261"/>
      <c r="CI53" s="261"/>
      <c r="CJ53" s="261"/>
      <c r="CK53" s="261"/>
      <c r="CL53" s="261"/>
      <c r="CM53" s="261"/>
      <c r="CN53" s="261"/>
      <c r="CO53" s="261"/>
      <c r="CP53" s="261"/>
      <c r="CQ53" s="261"/>
      <c r="CR53" s="261"/>
      <c r="CS53" s="261"/>
      <c r="CT53" s="261"/>
      <c r="CU53" s="261"/>
      <c r="CV53" s="261"/>
      <c r="CW53" s="261"/>
      <c r="CX53" s="261"/>
      <c r="CY53" s="346"/>
      <c r="CZ53" s="346"/>
      <c r="DA53" s="346"/>
      <c r="DB53" s="346"/>
      <c r="DC53" s="346"/>
      <c r="DD53" s="329">
        <f t="shared" si="21"/>
        <v>40</v>
      </c>
      <c r="DE53" s="111" t="s">
        <v>523</v>
      </c>
      <c r="DF53" s="299"/>
      <c r="DR53" s="329">
        <f t="shared" si="22"/>
        <v>40</v>
      </c>
      <c r="DS53" s="111" t="s">
        <v>523</v>
      </c>
      <c r="ED53" s="329">
        <f t="shared" si="23"/>
        <v>40</v>
      </c>
      <c r="EE53" s="111" t="s">
        <v>523</v>
      </c>
      <c r="ES53" s="256"/>
      <c r="ET53" s="256"/>
      <c r="EU53" s="256"/>
      <c r="EV53" s="256"/>
      <c r="EW53" s="256"/>
    </row>
    <row r="54" spans="1:153" ht="15" customHeight="1">
      <c r="A54" s="350"/>
      <c r="H54" s="381"/>
      <c r="L54" s="254"/>
      <c r="P54" s="346"/>
      <c r="Q54" s="256"/>
      <c r="R54" s="256"/>
      <c r="S54" s="256"/>
      <c r="T54" s="261"/>
      <c r="U54" s="261"/>
      <c r="V54" s="261"/>
      <c r="W54" s="261"/>
      <c r="X54" s="261"/>
      <c r="AD54" s="261"/>
      <c r="AE54" s="261"/>
      <c r="AF54" s="261"/>
      <c r="AG54" s="261"/>
      <c r="AH54" s="261"/>
      <c r="AI54" s="261"/>
      <c r="AJ54" s="261"/>
      <c r="AK54" s="261"/>
      <c r="AL54" s="261"/>
      <c r="AM54" s="261"/>
      <c r="AN54" s="261"/>
      <c r="AO54" s="261"/>
      <c r="AP54" s="261"/>
      <c r="BK54" s="254"/>
      <c r="BL54" s="254"/>
      <c r="BM54" s="254"/>
      <c r="BS54" s="261"/>
      <c r="BT54" s="261"/>
      <c r="BU54" s="261"/>
      <c r="BV54" s="261"/>
      <c r="BW54" s="261"/>
      <c r="BX54" s="261"/>
      <c r="BY54" s="261"/>
      <c r="BZ54" s="261"/>
      <c r="CA54" s="261"/>
      <c r="CB54" s="261"/>
      <c r="CC54" s="261"/>
      <c r="CD54" s="261"/>
      <c r="CE54" s="261"/>
      <c r="CF54" s="261"/>
      <c r="CG54" s="261"/>
      <c r="CH54" s="261"/>
      <c r="CI54" s="261"/>
      <c r="CJ54" s="261"/>
      <c r="CK54" s="261"/>
      <c r="CL54" s="261"/>
      <c r="CM54" s="261"/>
      <c r="CN54" s="261"/>
      <c r="CO54" s="261"/>
      <c r="CP54" s="261"/>
      <c r="CQ54" s="261"/>
      <c r="CR54" s="261"/>
      <c r="CS54" s="261"/>
      <c r="CT54" s="261"/>
      <c r="CU54" s="261"/>
      <c r="CV54" s="261"/>
      <c r="CW54" s="261"/>
      <c r="CX54" s="261"/>
      <c r="CY54" s="336"/>
      <c r="CZ54" s="346"/>
      <c r="DA54" s="346"/>
      <c r="DB54" s="346"/>
      <c r="DC54" s="545"/>
      <c r="DD54" s="329">
        <f t="shared" si="21"/>
        <v>41</v>
      </c>
      <c r="DE54" s="546" t="s">
        <v>524</v>
      </c>
      <c r="DF54" s="547">
        <v>11042232704.161736</v>
      </c>
      <c r="DG54" s="369">
        <v>0</v>
      </c>
      <c r="DH54" s="369">
        <v>0</v>
      </c>
      <c r="DI54" s="369">
        <v>0</v>
      </c>
      <c r="DJ54" s="369">
        <v>0</v>
      </c>
      <c r="DK54" s="369">
        <v>0</v>
      </c>
      <c r="DL54" s="369">
        <v>0</v>
      </c>
      <c r="DM54" s="369">
        <v>0</v>
      </c>
      <c r="DN54" s="369">
        <v>0</v>
      </c>
      <c r="DO54" s="369">
        <v>0</v>
      </c>
      <c r="DP54" s="369">
        <v>0</v>
      </c>
      <c r="DQ54" s="369">
        <v>0</v>
      </c>
      <c r="DR54" s="329">
        <f t="shared" si="22"/>
        <v>41</v>
      </c>
      <c r="DS54" s="546" t="s">
        <v>524</v>
      </c>
      <c r="DT54" s="369">
        <v>0</v>
      </c>
      <c r="DU54" s="369">
        <v>0</v>
      </c>
      <c r="DV54" s="369">
        <v>0</v>
      </c>
      <c r="DW54" s="369"/>
      <c r="DX54" s="369">
        <v>0</v>
      </c>
      <c r="DY54" s="369">
        <v>0</v>
      </c>
      <c r="DZ54" s="369">
        <f>CN14</f>
        <v>-4539303</v>
      </c>
      <c r="EA54" s="369">
        <f>CS14</f>
        <v>-140623727.13213542</v>
      </c>
      <c r="EB54" s="369">
        <f>CX14</f>
        <v>-3322158.5023114588</v>
      </c>
      <c r="EC54" s="369">
        <f t="shared" si="24"/>
        <v>-148485188.63444689</v>
      </c>
      <c r="ED54" s="329">
        <f t="shared" ref="ED54:ED60" si="36">ED53+1</f>
        <v>41</v>
      </c>
      <c r="EE54" s="546" t="s">
        <v>524</v>
      </c>
      <c r="EF54" s="369">
        <f t="shared" ref="EF54:EF59" si="37">DF54</f>
        <v>11042232704.161736</v>
      </c>
      <c r="EG54" s="369">
        <f t="shared" ref="EG54:EG59" si="38">+EC54</f>
        <v>-148485188.63444689</v>
      </c>
      <c r="EH54" s="369">
        <f t="shared" ref="EH54:EH59" si="39">+EG54+EF54</f>
        <v>10893747515.527288</v>
      </c>
      <c r="ES54" s="256"/>
      <c r="ET54" s="256"/>
      <c r="EU54" s="256"/>
      <c r="EV54" s="256"/>
      <c r="EW54" s="256"/>
    </row>
    <row r="55" spans="1:153" ht="15" customHeight="1">
      <c r="A55" s="350"/>
      <c r="H55" s="441"/>
      <c r="L55" s="254"/>
      <c r="P55" s="346"/>
      <c r="Q55" s="256"/>
      <c r="R55" s="256"/>
      <c r="S55" s="256"/>
      <c r="T55" s="261"/>
      <c r="U55" s="261"/>
      <c r="V55" s="261"/>
      <c r="W55" s="261"/>
      <c r="X55" s="261"/>
      <c r="AD55" s="261"/>
      <c r="AE55" s="261"/>
      <c r="AF55" s="261"/>
      <c r="AG55" s="261"/>
      <c r="AH55" s="261"/>
      <c r="AI55" s="261"/>
      <c r="AJ55" s="261"/>
      <c r="AK55" s="261"/>
      <c r="AL55" s="261"/>
      <c r="AM55" s="261"/>
      <c r="AN55" s="261"/>
      <c r="AO55" s="261"/>
      <c r="AP55" s="261"/>
      <c r="BK55" s="254"/>
      <c r="BL55" s="254"/>
      <c r="BM55" s="254"/>
      <c r="BS55" s="261"/>
      <c r="BT55" s="261"/>
      <c r="BU55" s="261"/>
      <c r="BV55" s="261"/>
      <c r="BW55" s="261"/>
      <c r="BX55" s="261"/>
      <c r="BY55" s="261"/>
      <c r="BZ55" s="261"/>
      <c r="CA55" s="261"/>
      <c r="CB55" s="261"/>
      <c r="CC55" s="261"/>
      <c r="CD55" s="261"/>
      <c r="CE55" s="261"/>
      <c r="CF55" s="261"/>
      <c r="CG55" s="261"/>
      <c r="CH55" s="261"/>
      <c r="CI55" s="261"/>
      <c r="CJ55" s="261"/>
      <c r="CK55" s="261"/>
      <c r="CL55" s="261"/>
      <c r="CM55" s="261"/>
      <c r="CN55" s="261"/>
      <c r="CO55" s="261"/>
      <c r="CP55" s="261"/>
      <c r="CQ55" s="261"/>
      <c r="CR55" s="261"/>
      <c r="CS55" s="261"/>
      <c r="CT55" s="261"/>
      <c r="CU55" s="261"/>
      <c r="CV55" s="261"/>
      <c r="CW55" s="261"/>
      <c r="CX55" s="261"/>
      <c r="CY55" s="336"/>
      <c r="CZ55" s="471"/>
      <c r="DA55" s="346"/>
      <c r="DB55" s="346"/>
      <c r="DC55" s="548"/>
      <c r="DD55" s="329">
        <f t="shared" si="21"/>
        <v>42</v>
      </c>
      <c r="DE55" s="546" t="s">
        <v>525</v>
      </c>
      <c r="DF55" s="549">
        <v>-4641992174.5613737</v>
      </c>
      <c r="DG55" s="369"/>
      <c r="DH55" s="369"/>
      <c r="DI55" s="369"/>
      <c r="DJ55" s="369"/>
      <c r="DK55" s="369"/>
      <c r="DL55" s="369"/>
      <c r="DM55" s="369"/>
      <c r="DN55" s="369"/>
      <c r="DO55" s="369"/>
      <c r="DP55" s="369"/>
      <c r="DQ55" s="369"/>
      <c r="DR55" s="329">
        <f t="shared" si="22"/>
        <v>42</v>
      </c>
      <c r="DS55" s="546" t="s">
        <v>525</v>
      </c>
      <c r="DT55" s="369"/>
      <c r="DU55" s="369"/>
      <c r="DV55" s="369"/>
      <c r="DW55" s="254"/>
      <c r="DX55" s="369"/>
      <c r="DY55" s="369"/>
      <c r="DZ55" s="254">
        <f>+CN15</f>
        <v>2438326</v>
      </c>
      <c r="EA55" s="254">
        <f>+CS15</f>
        <v>22362458.725304946</v>
      </c>
      <c r="EB55" s="254">
        <f>CX15</f>
        <v>379466.07733488001</v>
      </c>
      <c r="EC55" s="343">
        <f t="shared" si="24"/>
        <v>25180250.802639827</v>
      </c>
      <c r="ED55" s="329">
        <f t="shared" si="36"/>
        <v>42</v>
      </c>
      <c r="EE55" s="546" t="s">
        <v>525</v>
      </c>
      <c r="EF55" s="343">
        <f t="shared" si="37"/>
        <v>-4641992174.5613737</v>
      </c>
      <c r="EG55" s="343">
        <f t="shared" si="38"/>
        <v>25180250.802639827</v>
      </c>
      <c r="EH55" s="343">
        <f t="shared" si="39"/>
        <v>-4616811923.7587337</v>
      </c>
      <c r="ES55" s="256"/>
      <c r="ET55" s="256"/>
      <c r="EU55" s="256"/>
      <c r="EV55" s="256"/>
      <c r="EW55" s="256"/>
    </row>
    <row r="56" spans="1:153" ht="15" customHeight="1">
      <c r="A56" s="350"/>
      <c r="H56" s="355"/>
      <c r="L56" s="254"/>
      <c r="P56" s="346"/>
      <c r="Q56" s="256"/>
      <c r="R56" s="256"/>
      <c r="S56" s="256"/>
      <c r="T56" s="261"/>
      <c r="U56" s="261"/>
      <c r="V56" s="261"/>
      <c r="W56" s="261"/>
      <c r="X56" s="261"/>
      <c r="AD56" s="261"/>
      <c r="AE56" s="261"/>
      <c r="AF56" s="261"/>
      <c r="AG56" s="261"/>
      <c r="AH56" s="261"/>
      <c r="AI56" s="261"/>
      <c r="AJ56" s="261"/>
      <c r="AK56" s="261"/>
      <c r="AL56" s="261"/>
      <c r="AM56" s="261"/>
      <c r="AN56" s="261"/>
      <c r="AO56" s="261"/>
      <c r="AP56" s="261"/>
      <c r="BK56" s="254"/>
      <c r="BL56" s="254"/>
      <c r="BM56" s="254"/>
      <c r="BS56" s="261"/>
      <c r="BT56" s="261"/>
      <c r="BU56" s="261"/>
      <c r="BV56" s="261"/>
      <c r="BW56" s="261"/>
      <c r="BX56" s="261"/>
      <c r="BY56" s="261"/>
      <c r="BZ56" s="261"/>
      <c r="CA56" s="261"/>
      <c r="CB56" s="261"/>
      <c r="CC56" s="261"/>
      <c r="CD56" s="261"/>
      <c r="CE56" s="261"/>
      <c r="CF56" s="261"/>
      <c r="CG56" s="261"/>
      <c r="CH56" s="261"/>
      <c r="CI56" s="261"/>
      <c r="CJ56" s="261"/>
      <c r="CK56" s="261"/>
      <c r="CL56" s="261"/>
      <c r="CM56" s="261"/>
      <c r="CN56" s="261"/>
      <c r="CO56" s="261"/>
      <c r="CP56" s="261"/>
      <c r="CQ56" s="261"/>
      <c r="CR56" s="261"/>
      <c r="CS56" s="261"/>
      <c r="CT56" s="261"/>
      <c r="CU56" s="261"/>
      <c r="CV56" s="261"/>
      <c r="CW56" s="261"/>
      <c r="CX56" s="261"/>
      <c r="CY56" s="336"/>
      <c r="CZ56" s="471"/>
      <c r="DA56" s="469"/>
      <c r="DB56" s="346"/>
      <c r="DC56" s="346"/>
      <c r="DD56" s="329">
        <f t="shared" si="21"/>
        <v>43</v>
      </c>
      <c r="DE56" s="111" t="s">
        <v>526</v>
      </c>
      <c r="DF56" s="549">
        <v>369525014.03135419</v>
      </c>
      <c r="DG56" s="254"/>
      <c r="DH56" s="254"/>
      <c r="DI56" s="254"/>
      <c r="DJ56" s="254"/>
      <c r="DK56" s="254"/>
      <c r="DL56" s="254"/>
      <c r="DM56" s="254"/>
      <c r="DN56" s="254"/>
      <c r="DO56" s="254"/>
      <c r="DP56" s="254"/>
      <c r="DQ56" s="254"/>
      <c r="DR56" s="329">
        <f t="shared" si="22"/>
        <v>43</v>
      </c>
      <c r="DS56" s="111" t="s">
        <v>526</v>
      </c>
      <c r="DT56" s="254"/>
      <c r="DU56" s="254"/>
      <c r="DV56" s="254"/>
      <c r="DW56" s="254"/>
      <c r="DX56" s="254"/>
      <c r="DY56" s="254"/>
      <c r="DZ56" s="254"/>
      <c r="EA56" s="254"/>
      <c r="EB56" s="254"/>
      <c r="EC56" s="343">
        <f t="shared" si="24"/>
        <v>0</v>
      </c>
      <c r="ED56" s="329">
        <f t="shared" si="36"/>
        <v>43</v>
      </c>
      <c r="EE56" s="111" t="s">
        <v>526</v>
      </c>
      <c r="EF56" s="343">
        <f t="shared" si="37"/>
        <v>369525014.03135419</v>
      </c>
      <c r="EG56" s="343">
        <f t="shared" si="38"/>
        <v>0</v>
      </c>
      <c r="EH56" s="343">
        <f t="shared" si="39"/>
        <v>369525014.03135419</v>
      </c>
      <c r="ES56" s="256"/>
      <c r="ET56" s="256"/>
      <c r="EU56" s="256"/>
      <c r="EV56" s="256"/>
      <c r="EW56" s="256"/>
    </row>
    <row r="57" spans="1:153" ht="15" customHeight="1">
      <c r="A57" s="350"/>
      <c r="L57" s="254"/>
      <c r="P57" s="346"/>
      <c r="Q57" s="256"/>
      <c r="R57" s="256"/>
      <c r="S57" s="256"/>
      <c r="T57" s="261"/>
      <c r="U57" s="261"/>
      <c r="V57" s="261"/>
      <c r="W57" s="261"/>
      <c r="X57" s="261"/>
      <c r="AD57" s="261"/>
      <c r="AE57" s="261"/>
      <c r="AF57" s="261"/>
      <c r="AG57" s="261"/>
      <c r="AH57" s="261"/>
      <c r="AI57" s="261"/>
      <c r="AJ57" s="261"/>
      <c r="AK57" s="261"/>
      <c r="AL57" s="261"/>
      <c r="AM57" s="261"/>
      <c r="AN57" s="261"/>
      <c r="AO57" s="261"/>
      <c r="AP57" s="261"/>
      <c r="BK57" s="254"/>
      <c r="BL57" s="254"/>
      <c r="BM57" s="254"/>
      <c r="BS57" s="261"/>
      <c r="BT57" s="261"/>
      <c r="BU57" s="261"/>
      <c r="BV57" s="261"/>
      <c r="BW57" s="261"/>
      <c r="BX57" s="261"/>
      <c r="BY57" s="261"/>
      <c r="BZ57" s="261"/>
      <c r="CA57" s="261"/>
      <c r="CB57" s="261"/>
      <c r="CC57" s="261"/>
      <c r="CD57" s="261"/>
      <c r="CE57" s="261"/>
      <c r="CF57" s="261"/>
      <c r="CG57" s="261"/>
      <c r="CH57" s="261"/>
      <c r="CI57" s="261"/>
      <c r="CJ57" s="261"/>
      <c r="CK57" s="261"/>
      <c r="CL57" s="261"/>
      <c r="CM57" s="261"/>
      <c r="CN57" s="261"/>
      <c r="CO57" s="261"/>
      <c r="CP57" s="261"/>
      <c r="CQ57" s="261"/>
      <c r="CR57" s="261"/>
      <c r="CS57" s="261"/>
      <c r="CT57" s="261"/>
      <c r="CU57" s="261"/>
      <c r="CV57" s="261"/>
      <c r="CW57" s="261"/>
      <c r="CX57" s="261"/>
      <c r="CY57" s="336"/>
      <c r="CZ57" s="346"/>
      <c r="DA57" s="346"/>
      <c r="DB57" s="346"/>
      <c r="DC57" s="469"/>
      <c r="DD57" s="329">
        <f t="shared" si="21"/>
        <v>44</v>
      </c>
      <c r="DE57" s="111" t="s">
        <v>527</v>
      </c>
      <c r="DF57" s="549">
        <v>-1374807259.5834534</v>
      </c>
      <c r="DG57" s="254"/>
      <c r="DH57" s="254"/>
      <c r="DI57" s="254"/>
      <c r="DJ57" s="254"/>
      <c r="DK57" s="254"/>
      <c r="DL57" s="254"/>
      <c r="DM57" s="254"/>
      <c r="DN57" s="254"/>
      <c r="DO57" s="254"/>
      <c r="DP57" s="254"/>
      <c r="DQ57" s="254"/>
      <c r="DR57" s="329">
        <f t="shared" si="22"/>
        <v>44</v>
      </c>
      <c r="DS57" s="111" t="s">
        <v>527</v>
      </c>
      <c r="DT57" s="254"/>
      <c r="DU57" s="254"/>
      <c r="DV57" s="254"/>
      <c r="DW57" s="254"/>
      <c r="DX57" s="254"/>
      <c r="DY57" s="254"/>
      <c r="DZ57" s="254">
        <f>CN16</f>
        <v>698790.4800000001</v>
      </c>
      <c r="EA57" s="254">
        <f>CS16</f>
        <v>9763956.8231250029</v>
      </c>
      <c r="EB57" s="254">
        <f>CX16</f>
        <v>778054.15775388014</v>
      </c>
      <c r="EC57" s="343">
        <f t="shared" si="24"/>
        <v>11240801.460878883</v>
      </c>
      <c r="ED57" s="329">
        <f t="shared" si="36"/>
        <v>44</v>
      </c>
      <c r="EE57" s="111" t="s">
        <v>527</v>
      </c>
      <c r="EF57" s="343">
        <f t="shared" si="37"/>
        <v>-1374807259.5834534</v>
      </c>
      <c r="EG57" s="343">
        <f t="shared" si="38"/>
        <v>11240801.460878883</v>
      </c>
      <c r="EH57" s="343">
        <f t="shared" si="39"/>
        <v>-1363566458.1225746</v>
      </c>
      <c r="ES57" s="256"/>
      <c r="ET57" s="256"/>
      <c r="EU57" s="256"/>
      <c r="EV57" s="256"/>
      <c r="EW57" s="256"/>
    </row>
    <row r="58" spans="1:153" s="550" customFormat="1" ht="15" customHeight="1">
      <c r="A58" s="350"/>
      <c r="B58" s="111"/>
      <c r="C58" s="111"/>
      <c r="D58" s="111"/>
      <c r="E58" s="111"/>
      <c r="F58" s="111"/>
      <c r="G58" s="111"/>
      <c r="H58" s="111"/>
      <c r="I58" s="111"/>
      <c r="J58" s="111"/>
      <c r="K58" s="111"/>
      <c r="L58" s="254"/>
      <c r="M58" s="111"/>
      <c r="N58" s="111"/>
      <c r="O58" s="111"/>
      <c r="P58" s="346"/>
      <c r="Q58" s="346"/>
      <c r="R58" s="346"/>
      <c r="S58" s="346"/>
      <c r="T58" s="261"/>
      <c r="U58" s="261"/>
      <c r="V58" s="261"/>
      <c r="W58" s="261"/>
      <c r="X58" s="261"/>
      <c r="Y58" s="111"/>
      <c r="Z58" s="111"/>
      <c r="AA58" s="111"/>
      <c r="AB58" s="111"/>
      <c r="AC58" s="111"/>
      <c r="AD58" s="261"/>
      <c r="AE58" s="261"/>
      <c r="AF58" s="261"/>
      <c r="AG58" s="261"/>
      <c r="AH58" s="261"/>
      <c r="AI58" s="261"/>
      <c r="AJ58" s="261"/>
      <c r="AK58" s="261"/>
      <c r="AL58" s="261"/>
      <c r="AM58" s="261"/>
      <c r="AN58" s="261"/>
      <c r="AO58" s="261"/>
      <c r="AP58" s="261"/>
      <c r="AQ58" s="259"/>
      <c r="AR58" s="259"/>
      <c r="AS58" s="259"/>
      <c r="AT58" s="259"/>
      <c r="AU58" s="259"/>
      <c r="AV58" s="259"/>
      <c r="AW58" s="259"/>
      <c r="AX58" s="259"/>
      <c r="AY58" s="259"/>
      <c r="AZ58" s="111"/>
      <c r="BA58" s="111"/>
      <c r="BB58" s="111"/>
      <c r="BC58" s="111"/>
      <c r="BD58" s="111"/>
      <c r="BE58" s="111"/>
      <c r="BF58" s="111"/>
      <c r="BG58" s="111"/>
      <c r="BH58" s="111"/>
      <c r="BI58" s="111"/>
      <c r="BJ58" s="111"/>
      <c r="BK58" s="254"/>
      <c r="BL58" s="254"/>
      <c r="BM58" s="254"/>
      <c r="BN58" s="256"/>
      <c r="BO58" s="256"/>
      <c r="BP58" s="111"/>
      <c r="BQ58" s="111"/>
      <c r="BR58" s="111"/>
      <c r="BS58" s="261"/>
      <c r="BT58" s="261"/>
      <c r="BU58" s="261"/>
      <c r="BV58" s="261"/>
      <c r="BW58" s="261"/>
      <c r="BX58" s="261"/>
      <c r="BY58" s="261"/>
      <c r="BZ58" s="261"/>
      <c r="CA58" s="261"/>
      <c r="CB58" s="261"/>
      <c r="CC58" s="261"/>
      <c r="CD58" s="261"/>
      <c r="CE58" s="261"/>
      <c r="CF58" s="261"/>
      <c r="CG58" s="261"/>
      <c r="CH58" s="261"/>
      <c r="CI58" s="261"/>
      <c r="CJ58" s="261"/>
      <c r="CK58" s="261"/>
      <c r="CL58" s="261"/>
      <c r="CM58" s="261"/>
      <c r="CN58" s="261"/>
      <c r="CO58" s="261"/>
      <c r="CP58" s="261"/>
      <c r="CQ58" s="261"/>
      <c r="CR58" s="261"/>
      <c r="CS58" s="261"/>
      <c r="CT58" s="261"/>
      <c r="CU58" s="261"/>
      <c r="CV58" s="261"/>
      <c r="CW58" s="261"/>
      <c r="CX58" s="261"/>
      <c r="CY58" s="336"/>
      <c r="CZ58" s="471"/>
      <c r="DA58" s="346"/>
      <c r="DB58" s="346"/>
      <c r="DC58" s="469"/>
      <c r="DD58" s="329">
        <f t="shared" si="21"/>
        <v>45</v>
      </c>
      <c r="DE58" s="111" t="s">
        <v>528</v>
      </c>
      <c r="DF58" s="549">
        <v>158492779.51326612</v>
      </c>
      <c r="DG58" s="254"/>
      <c r="DH58" s="254"/>
      <c r="DI58" s="254"/>
      <c r="DJ58" s="254"/>
      <c r="DK58" s="254"/>
      <c r="DL58" s="254"/>
      <c r="DM58" s="254"/>
      <c r="DN58" s="254"/>
      <c r="DO58" s="254"/>
      <c r="DP58" s="254"/>
      <c r="DQ58" s="254"/>
      <c r="DR58" s="329">
        <f t="shared" si="22"/>
        <v>45</v>
      </c>
      <c r="DS58" s="111" t="s">
        <v>528</v>
      </c>
      <c r="DT58" s="254"/>
      <c r="DU58" s="254"/>
      <c r="DV58" s="254"/>
      <c r="DW58" s="254"/>
      <c r="DX58" s="254"/>
      <c r="DY58" s="254"/>
      <c r="DZ58" s="254"/>
      <c r="EA58" s="254"/>
      <c r="EB58" s="254"/>
      <c r="EC58" s="343">
        <f t="shared" si="24"/>
        <v>0</v>
      </c>
      <c r="ED58" s="329">
        <f t="shared" si="36"/>
        <v>45</v>
      </c>
      <c r="EE58" s="111" t="s">
        <v>528</v>
      </c>
      <c r="EF58" s="343">
        <f t="shared" si="37"/>
        <v>158492779.51326612</v>
      </c>
      <c r="EG58" s="343">
        <f t="shared" si="38"/>
        <v>0</v>
      </c>
      <c r="EH58" s="343">
        <f t="shared" si="39"/>
        <v>158492779.51326612</v>
      </c>
      <c r="EI58" s="256"/>
      <c r="EJ58" s="256"/>
      <c r="EK58" s="256"/>
      <c r="EQ58" s="111"/>
      <c r="ER58" s="111"/>
      <c r="ES58" s="256"/>
      <c r="ET58" s="256"/>
      <c r="EU58" s="256"/>
      <c r="EV58" s="256"/>
      <c r="EW58" s="256"/>
    </row>
    <row r="59" spans="1:153" s="550" customFormat="1" ht="15" customHeight="1">
      <c r="A59" s="350"/>
      <c r="B59" s="111"/>
      <c r="C59" s="111"/>
      <c r="D59" s="111"/>
      <c r="E59" s="111"/>
      <c r="F59" s="111"/>
      <c r="G59" s="111"/>
      <c r="H59" s="111"/>
      <c r="I59" s="111"/>
      <c r="J59" s="111"/>
      <c r="K59" s="111"/>
      <c r="L59" s="254"/>
      <c r="M59" s="111"/>
      <c r="N59" s="111"/>
      <c r="O59" s="111"/>
      <c r="P59" s="346"/>
      <c r="Q59" s="346"/>
      <c r="R59" s="346"/>
      <c r="S59" s="346"/>
      <c r="T59" s="261"/>
      <c r="U59" s="261"/>
      <c r="V59" s="261"/>
      <c r="W59" s="261"/>
      <c r="X59" s="261"/>
      <c r="Y59" s="111"/>
      <c r="Z59" s="111"/>
      <c r="AA59" s="111"/>
      <c r="AB59" s="111"/>
      <c r="AC59" s="111"/>
      <c r="AD59" s="261"/>
      <c r="AE59" s="261"/>
      <c r="AF59" s="261"/>
      <c r="AG59" s="261"/>
      <c r="AH59" s="261"/>
      <c r="AI59" s="261"/>
      <c r="AJ59" s="261"/>
      <c r="AK59" s="261"/>
      <c r="AL59" s="261"/>
      <c r="AM59" s="261"/>
      <c r="AN59" s="261"/>
      <c r="AO59" s="261"/>
      <c r="AP59" s="261"/>
      <c r="AQ59" s="524"/>
      <c r="AR59" s="259"/>
      <c r="AS59" s="259"/>
      <c r="AT59" s="259"/>
      <c r="AU59" s="259"/>
      <c r="AV59" s="524"/>
      <c r="AW59" s="259"/>
      <c r="AX59" s="259"/>
      <c r="AY59" s="259"/>
      <c r="AZ59" s="111"/>
      <c r="BA59" s="111"/>
      <c r="BB59" s="111"/>
      <c r="BC59" s="111"/>
      <c r="BD59" s="111"/>
      <c r="BE59" s="111"/>
      <c r="BF59" s="111"/>
      <c r="BG59" s="111"/>
      <c r="BH59" s="111"/>
      <c r="BI59" s="111"/>
      <c r="BJ59" s="111"/>
      <c r="BK59" s="254"/>
      <c r="BL59" s="254"/>
      <c r="BM59" s="254"/>
      <c r="BN59" s="256"/>
      <c r="BO59" s="256"/>
      <c r="BS59" s="261"/>
      <c r="BT59" s="261"/>
      <c r="BU59" s="261"/>
      <c r="BV59" s="261"/>
      <c r="BW59" s="261"/>
      <c r="BX59" s="261"/>
      <c r="BY59" s="261"/>
      <c r="BZ59" s="261"/>
      <c r="CA59" s="261"/>
      <c r="CB59" s="261"/>
      <c r="CC59" s="261"/>
      <c r="CD59" s="261"/>
      <c r="CE59" s="261"/>
      <c r="CF59" s="261"/>
      <c r="CG59" s="261"/>
      <c r="CH59" s="261"/>
      <c r="CI59" s="261"/>
      <c r="CJ59" s="261"/>
      <c r="CK59" s="261"/>
      <c r="CL59" s="261"/>
      <c r="CM59" s="261"/>
      <c r="CN59" s="261"/>
      <c r="CO59" s="261"/>
      <c r="CP59" s="261"/>
      <c r="CQ59" s="261"/>
      <c r="CR59" s="261"/>
      <c r="CS59" s="261"/>
      <c r="CT59" s="261"/>
      <c r="CU59" s="261"/>
      <c r="CV59" s="261"/>
      <c r="CW59" s="261"/>
      <c r="CX59" s="261"/>
      <c r="CY59" s="336"/>
      <c r="CZ59" s="471"/>
      <c r="DA59" s="346"/>
      <c r="DB59" s="346"/>
      <c r="DC59" s="469"/>
      <c r="DD59" s="329">
        <f t="shared" si="21"/>
        <v>46</v>
      </c>
      <c r="DE59" s="111" t="s">
        <v>529</v>
      </c>
      <c r="DF59" s="551">
        <v>-109599181.31467187</v>
      </c>
      <c r="DG59" s="391"/>
      <c r="DH59" s="391"/>
      <c r="DI59" s="391"/>
      <c r="DJ59" s="391"/>
      <c r="DK59" s="391"/>
      <c r="DL59" s="391"/>
      <c r="DM59" s="391"/>
      <c r="DN59" s="391"/>
      <c r="DO59" s="391"/>
      <c r="DP59" s="391"/>
      <c r="DQ59" s="391"/>
      <c r="DR59" s="329">
        <f t="shared" si="22"/>
        <v>46</v>
      </c>
      <c r="DS59" s="111" t="s">
        <v>529</v>
      </c>
      <c r="DT59" s="391"/>
      <c r="DU59" s="391"/>
      <c r="DV59" s="391"/>
      <c r="DW59" s="391"/>
      <c r="DX59" s="391"/>
      <c r="DY59" s="391"/>
      <c r="DZ59" s="391"/>
      <c r="EA59" s="391"/>
      <c r="EB59" s="391"/>
      <c r="EC59" s="343">
        <f t="shared" si="24"/>
        <v>0</v>
      </c>
      <c r="ED59" s="329">
        <f t="shared" si="36"/>
        <v>46</v>
      </c>
      <c r="EE59" s="111" t="s">
        <v>529</v>
      </c>
      <c r="EF59" s="343">
        <f t="shared" si="37"/>
        <v>-109599181.31467187</v>
      </c>
      <c r="EG59" s="343">
        <f t="shared" si="38"/>
        <v>0</v>
      </c>
      <c r="EH59" s="343">
        <f t="shared" si="39"/>
        <v>-109599181.31467187</v>
      </c>
      <c r="EI59" s="256"/>
      <c r="EJ59" s="256"/>
      <c r="EK59" s="256"/>
      <c r="ES59" s="111"/>
      <c r="ET59" s="111"/>
      <c r="EU59" s="111"/>
      <c r="EV59" s="111"/>
      <c r="EW59" s="111"/>
    </row>
    <row r="60" spans="1:153" s="550" customFormat="1" ht="15" customHeight="1" thickBot="1">
      <c r="A60" s="350"/>
      <c r="B60" s="111"/>
      <c r="C60" s="111"/>
      <c r="D60" s="111"/>
      <c r="E60" s="111"/>
      <c r="F60" s="111"/>
      <c r="G60" s="111"/>
      <c r="H60" s="111"/>
      <c r="I60" s="111"/>
      <c r="J60" s="111"/>
      <c r="K60" s="111"/>
      <c r="L60" s="254"/>
      <c r="M60" s="111"/>
      <c r="N60" s="111"/>
      <c r="O60" s="111"/>
      <c r="P60" s="346"/>
      <c r="Q60" s="346"/>
      <c r="R60" s="346"/>
      <c r="S60" s="346"/>
      <c r="T60" s="111"/>
      <c r="U60" s="111"/>
      <c r="V60" s="111"/>
      <c r="W60" s="111"/>
      <c r="X60" s="254"/>
      <c r="Y60" s="111"/>
      <c r="Z60" s="111"/>
      <c r="AA60" s="111"/>
      <c r="AB60" s="111"/>
      <c r="AC60" s="111"/>
      <c r="AD60" s="261"/>
      <c r="AE60" s="261"/>
      <c r="AF60" s="261"/>
      <c r="AG60" s="261"/>
      <c r="AH60" s="261"/>
      <c r="AI60" s="261"/>
      <c r="AJ60" s="261"/>
      <c r="AK60" s="261"/>
      <c r="AL60" s="261"/>
      <c r="AM60" s="261"/>
      <c r="AN60" s="261"/>
      <c r="AO60" s="261"/>
      <c r="AP60" s="261"/>
      <c r="AQ60" s="259"/>
      <c r="AR60" s="259"/>
      <c r="AS60" s="259"/>
      <c r="AT60" s="259"/>
      <c r="AU60" s="259"/>
      <c r="AV60" s="259"/>
      <c r="AW60" s="259"/>
      <c r="AX60" s="259"/>
      <c r="AY60" s="259"/>
      <c r="AZ60" s="111"/>
      <c r="BA60" s="111"/>
      <c r="BB60" s="111"/>
      <c r="BC60" s="111"/>
      <c r="BD60" s="111"/>
      <c r="BE60" s="111"/>
      <c r="BF60" s="111"/>
      <c r="BG60" s="111"/>
      <c r="BH60" s="111"/>
      <c r="BI60" s="111"/>
      <c r="BJ60" s="111"/>
      <c r="BK60" s="254"/>
      <c r="BL60" s="254"/>
      <c r="BM60" s="254"/>
      <c r="BN60" s="256"/>
      <c r="BO60" s="256"/>
      <c r="BS60" s="261"/>
      <c r="BT60" s="261"/>
      <c r="BU60" s="261"/>
      <c r="BV60" s="261"/>
      <c r="BW60" s="261"/>
      <c r="BX60" s="261"/>
      <c r="BY60" s="261"/>
      <c r="BZ60" s="261"/>
      <c r="CA60" s="261"/>
      <c r="CB60" s="261"/>
      <c r="CC60" s="261"/>
      <c r="CD60" s="261"/>
      <c r="CE60" s="261"/>
      <c r="CF60" s="261"/>
      <c r="CG60" s="261"/>
      <c r="CH60" s="261"/>
      <c r="CI60" s="261"/>
      <c r="CJ60" s="261"/>
      <c r="CK60" s="261"/>
      <c r="CL60" s="261"/>
      <c r="CM60" s="261"/>
      <c r="CN60" s="261"/>
      <c r="CO60" s="261"/>
      <c r="CP60" s="261"/>
      <c r="CQ60" s="261"/>
      <c r="CR60" s="261"/>
      <c r="CS60" s="261"/>
      <c r="CT60" s="261"/>
      <c r="CU60" s="261"/>
      <c r="CV60" s="261"/>
      <c r="CW60" s="261"/>
      <c r="CX60" s="261"/>
      <c r="CY60" s="336"/>
      <c r="CZ60" s="346"/>
      <c r="DA60" s="346"/>
      <c r="DB60" s="346"/>
      <c r="DC60" s="469"/>
      <c r="DD60" s="329">
        <f t="shared" si="21"/>
        <v>47</v>
      </c>
      <c r="DE60" s="111" t="s">
        <v>530</v>
      </c>
      <c r="DF60" s="552">
        <f t="shared" ref="DF60:DQ60" si="40">SUM(DF54:DF59)</f>
        <v>5443851882.2468576</v>
      </c>
      <c r="DG60" s="553">
        <f t="shared" si="40"/>
        <v>0</v>
      </c>
      <c r="DH60" s="553">
        <f t="shared" si="40"/>
        <v>0</v>
      </c>
      <c r="DI60" s="553">
        <f t="shared" si="40"/>
        <v>0</v>
      </c>
      <c r="DJ60" s="553">
        <f t="shared" si="40"/>
        <v>0</v>
      </c>
      <c r="DK60" s="553">
        <f t="shared" si="40"/>
        <v>0</v>
      </c>
      <c r="DL60" s="553">
        <f t="shared" si="40"/>
        <v>0</v>
      </c>
      <c r="DM60" s="553">
        <f t="shared" si="40"/>
        <v>0</v>
      </c>
      <c r="DN60" s="553">
        <f t="shared" si="40"/>
        <v>0</v>
      </c>
      <c r="DO60" s="553">
        <f t="shared" si="40"/>
        <v>0</v>
      </c>
      <c r="DP60" s="553">
        <f t="shared" si="40"/>
        <v>0</v>
      </c>
      <c r="DQ60" s="553">
        <f t="shared" si="40"/>
        <v>0</v>
      </c>
      <c r="DR60" s="329">
        <f t="shared" si="22"/>
        <v>47</v>
      </c>
      <c r="DS60" s="111" t="s">
        <v>530</v>
      </c>
      <c r="DT60" s="553">
        <f t="shared" ref="DT60:EB60" si="41">SUM(DT54:DT59)</f>
        <v>0</v>
      </c>
      <c r="DU60" s="553">
        <f t="shared" si="41"/>
        <v>0</v>
      </c>
      <c r="DV60" s="553">
        <f t="shared" si="41"/>
        <v>0</v>
      </c>
      <c r="DW60" s="553">
        <f t="shared" si="41"/>
        <v>0</v>
      </c>
      <c r="DX60" s="553">
        <f t="shared" si="41"/>
        <v>0</v>
      </c>
      <c r="DY60" s="553">
        <f t="shared" si="41"/>
        <v>0</v>
      </c>
      <c r="DZ60" s="553">
        <f t="shared" si="41"/>
        <v>-1402186.52</v>
      </c>
      <c r="EA60" s="553">
        <f t="shared" si="41"/>
        <v>-108497311.58370547</v>
      </c>
      <c r="EB60" s="553">
        <f t="shared" si="41"/>
        <v>-2164638.2672226988</v>
      </c>
      <c r="EC60" s="554">
        <f t="shared" si="24"/>
        <v>-112064136.37092817</v>
      </c>
      <c r="ED60" s="329">
        <f t="shared" si="36"/>
        <v>47</v>
      </c>
      <c r="EE60" s="111" t="s">
        <v>530</v>
      </c>
      <c r="EF60" s="554">
        <f>SUM(EF54:EF59)</f>
        <v>5443851882.2468576</v>
      </c>
      <c r="EG60" s="554">
        <f>SUM(EG54:EG59)</f>
        <v>-112064136.37092818</v>
      </c>
      <c r="EH60" s="554">
        <f>SUM(EH54:EH59)</f>
        <v>5331787745.8759289</v>
      </c>
      <c r="EI60" s="256"/>
      <c r="EJ60" s="256"/>
      <c r="EK60" s="256"/>
      <c r="ES60" s="111"/>
      <c r="ET60" s="111"/>
      <c r="EU60" s="111"/>
      <c r="EV60" s="111"/>
      <c r="EW60" s="111"/>
    </row>
    <row r="61" spans="1:153" ht="15" customHeight="1" thickTop="1">
      <c r="A61" s="350"/>
      <c r="L61" s="254"/>
      <c r="P61" s="346"/>
      <c r="Q61" s="346"/>
      <c r="R61" s="346"/>
      <c r="S61" s="346"/>
      <c r="AD61" s="261"/>
      <c r="AE61" s="261"/>
      <c r="AF61" s="261"/>
      <c r="AG61" s="261"/>
      <c r="AH61" s="261"/>
      <c r="AI61" s="261"/>
      <c r="AJ61" s="261"/>
      <c r="AK61" s="261"/>
      <c r="AL61" s="261"/>
      <c r="AM61" s="261"/>
      <c r="AN61" s="261"/>
      <c r="AO61" s="261"/>
      <c r="AP61" s="261"/>
      <c r="BK61" s="254"/>
      <c r="BL61" s="254"/>
      <c r="BM61" s="254"/>
      <c r="BP61" s="550"/>
      <c r="BQ61" s="550"/>
      <c r="BR61" s="550"/>
      <c r="BS61" s="261"/>
      <c r="BT61" s="261"/>
      <c r="BU61" s="261"/>
      <c r="BV61" s="261"/>
      <c r="BW61" s="261"/>
      <c r="BX61" s="261"/>
      <c r="BY61" s="261"/>
      <c r="BZ61" s="261"/>
      <c r="CA61" s="261"/>
      <c r="CB61" s="261"/>
      <c r="CC61" s="261"/>
      <c r="CD61" s="261"/>
      <c r="CE61" s="261"/>
      <c r="CF61" s="261"/>
      <c r="CG61" s="261"/>
      <c r="CH61" s="261"/>
      <c r="CI61" s="261"/>
      <c r="CJ61" s="261"/>
      <c r="CK61" s="261"/>
      <c r="CL61" s="261"/>
      <c r="CM61" s="261"/>
      <c r="CN61" s="261"/>
      <c r="CO61" s="261"/>
      <c r="CP61" s="261"/>
      <c r="CQ61" s="261"/>
      <c r="CR61" s="261"/>
      <c r="CS61" s="261"/>
      <c r="CT61" s="261"/>
      <c r="CU61" s="261"/>
      <c r="CV61" s="261"/>
      <c r="CW61" s="261"/>
      <c r="CX61" s="261"/>
      <c r="CY61" s="336"/>
      <c r="CZ61" s="346"/>
      <c r="DA61" s="346"/>
      <c r="DB61" s="346"/>
      <c r="DC61" s="555"/>
      <c r="DD61" s="556"/>
      <c r="DE61" s="550"/>
      <c r="DF61" s="557">
        <f t="shared" ref="DF61:DQ61" si="42">DF60-DF49</f>
        <v>0</v>
      </c>
      <c r="DG61" s="558">
        <f t="shared" si="42"/>
        <v>0</v>
      </c>
      <c r="DH61" s="558">
        <f t="shared" si="42"/>
        <v>0</v>
      </c>
      <c r="DI61" s="558">
        <f t="shared" si="42"/>
        <v>0</v>
      </c>
      <c r="DJ61" s="558">
        <f t="shared" si="42"/>
        <v>0</v>
      </c>
      <c r="DK61" s="558">
        <f t="shared" si="42"/>
        <v>0</v>
      </c>
      <c r="DL61" s="558">
        <f t="shared" si="42"/>
        <v>0</v>
      </c>
      <c r="DM61" s="558">
        <f t="shared" si="42"/>
        <v>0</v>
      </c>
      <c r="DN61" s="558">
        <f t="shared" si="42"/>
        <v>0</v>
      </c>
      <c r="DO61" s="558">
        <f t="shared" si="42"/>
        <v>0</v>
      </c>
      <c r="DP61" s="558">
        <f t="shared" si="42"/>
        <v>0</v>
      </c>
      <c r="DQ61" s="558">
        <f t="shared" si="42"/>
        <v>0</v>
      </c>
      <c r="DR61" s="550"/>
      <c r="DS61" s="550"/>
      <c r="DT61" s="558">
        <f>DT60-DT49</f>
        <v>0</v>
      </c>
      <c r="DU61" s="558">
        <f>DU60-DU49</f>
        <v>0</v>
      </c>
      <c r="DV61" s="558">
        <f>DV60-DV49</f>
        <v>0</v>
      </c>
      <c r="DW61" s="558"/>
      <c r="DX61" s="558">
        <f>DX60-DX49</f>
        <v>0</v>
      </c>
      <c r="DY61" s="558">
        <f>DY60-DY49</f>
        <v>0</v>
      </c>
      <c r="DZ61" s="558"/>
      <c r="EA61" s="558"/>
      <c r="EB61" s="558"/>
      <c r="EC61" s="550">
        <f t="shared" si="24"/>
        <v>0</v>
      </c>
      <c r="ED61" s="550"/>
      <c r="EE61" s="550" t="s">
        <v>203</v>
      </c>
      <c r="EF61" s="550"/>
      <c r="EG61" s="550"/>
      <c r="EH61" s="550"/>
      <c r="EQ61" s="550"/>
      <c r="ER61" s="550"/>
    </row>
    <row r="62" spans="1:153" ht="15" customHeight="1">
      <c r="L62" s="254"/>
      <c r="N62" s="346"/>
      <c r="O62" s="346"/>
      <c r="P62" s="346"/>
      <c r="Q62" s="346"/>
      <c r="R62" s="346"/>
      <c r="S62" s="346"/>
      <c r="AD62" s="261"/>
      <c r="AE62" s="261"/>
      <c r="AF62" s="261"/>
      <c r="AG62" s="261"/>
      <c r="AH62" s="261"/>
      <c r="AI62" s="261"/>
      <c r="AJ62" s="261"/>
      <c r="AK62" s="261"/>
      <c r="AL62" s="261"/>
      <c r="AM62" s="261"/>
      <c r="AN62" s="261"/>
      <c r="AO62" s="261"/>
      <c r="AP62" s="261"/>
      <c r="BK62" s="254"/>
      <c r="BL62" s="254"/>
      <c r="BM62" s="254"/>
      <c r="BS62" s="261"/>
      <c r="BT62" s="261"/>
      <c r="BU62" s="261"/>
      <c r="BV62" s="261"/>
      <c r="BW62" s="261"/>
      <c r="BX62" s="261"/>
      <c r="BY62" s="261"/>
      <c r="BZ62" s="261"/>
      <c r="CA62" s="261"/>
      <c r="CB62" s="261"/>
      <c r="CC62" s="261"/>
      <c r="CD62" s="261"/>
      <c r="CE62" s="261"/>
      <c r="CF62" s="261"/>
      <c r="CG62" s="261"/>
      <c r="CH62" s="261"/>
      <c r="CI62" s="261"/>
      <c r="CJ62" s="261"/>
      <c r="CK62" s="261"/>
      <c r="CL62" s="261"/>
      <c r="CM62" s="261"/>
      <c r="CN62" s="261"/>
      <c r="CO62" s="261"/>
      <c r="CP62" s="261"/>
      <c r="CQ62" s="261"/>
      <c r="CR62" s="261"/>
      <c r="CS62" s="261"/>
      <c r="CT62" s="261"/>
      <c r="CU62" s="261"/>
      <c r="CV62" s="261"/>
      <c r="CW62" s="261"/>
      <c r="CX62" s="261"/>
      <c r="CY62" s="336"/>
      <c r="CZ62" s="346"/>
      <c r="DA62" s="346"/>
      <c r="DB62" s="347"/>
      <c r="DC62" s="469"/>
      <c r="DD62" s="556"/>
      <c r="DE62" s="550"/>
      <c r="DF62" s="369" t="str">
        <f t="shared" ref="DF62:DQ62" si="43">IF(DF60=DF49,"OK","ERROR")</f>
        <v>OK</v>
      </c>
      <c r="DG62" s="559" t="str">
        <f t="shared" si="43"/>
        <v>OK</v>
      </c>
      <c r="DH62" s="559" t="str">
        <f t="shared" si="43"/>
        <v>OK</v>
      </c>
      <c r="DI62" s="559" t="str">
        <f t="shared" si="43"/>
        <v>OK</v>
      </c>
      <c r="DJ62" s="559" t="str">
        <f t="shared" si="43"/>
        <v>OK</v>
      </c>
      <c r="DK62" s="559" t="str">
        <f t="shared" si="43"/>
        <v>OK</v>
      </c>
      <c r="DL62" s="559" t="str">
        <f t="shared" si="43"/>
        <v>OK</v>
      </c>
      <c r="DM62" s="559" t="str">
        <f t="shared" si="43"/>
        <v>OK</v>
      </c>
      <c r="DN62" s="559" t="str">
        <f t="shared" si="43"/>
        <v>OK</v>
      </c>
      <c r="DO62" s="559" t="str">
        <f t="shared" si="43"/>
        <v>OK</v>
      </c>
      <c r="DP62" s="559" t="str">
        <f t="shared" si="43"/>
        <v>OK</v>
      </c>
      <c r="DQ62" s="559" t="str">
        <f t="shared" si="43"/>
        <v>OK</v>
      </c>
      <c r="DR62" s="559"/>
      <c r="DS62" s="559"/>
      <c r="DT62" s="559" t="str">
        <f t="shared" ref="DT62:EA62" si="44">IF(DT60=DT49,"OK","ERROR")</f>
        <v>OK</v>
      </c>
      <c r="DU62" s="559" t="str">
        <f t="shared" si="44"/>
        <v>OK</v>
      </c>
      <c r="DV62" s="559" t="str">
        <f t="shared" si="44"/>
        <v>OK</v>
      </c>
      <c r="DW62" s="559" t="str">
        <f t="shared" si="44"/>
        <v>OK</v>
      </c>
      <c r="DX62" s="559" t="str">
        <f t="shared" si="44"/>
        <v>OK</v>
      </c>
      <c r="DY62" s="559" t="str">
        <f t="shared" si="44"/>
        <v>OK</v>
      </c>
      <c r="DZ62" s="559" t="str">
        <f t="shared" si="44"/>
        <v>OK</v>
      </c>
      <c r="EA62" s="559" t="str">
        <f t="shared" si="44"/>
        <v>OK</v>
      </c>
      <c r="EB62" s="559" t="str">
        <f>IF(EB60=EB49,"OK","ERROR")</f>
        <v>OK</v>
      </c>
      <c r="EC62" s="559">
        <f t="shared" si="24"/>
        <v>0</v>
      </c>
      <c r="ED62" s="550"/>
      <c r="EE62" s="559"/>
      <c r="EF62" s="559" t="str">
        <f>IF(EF60=EF49,"OK","ERROR")</f>
        <v>OK</v>
      </c>
      <c r="EG62" s="559" t="str">
        <f>IF(EG60=EG49,"OK","ERROR")</f>
        <v>OK</v>
      </c>
      <c r="EH62" s="559" t="str">
        <f>IF(ROUND(EH60,0)=ROUND(EH49,0),"OK","ERROR")</f>
        <v>OK</v>
      </c>
    </row>
    <row r="63" spans="1:153" ht="15" customHeight="1">
      <c r="L63" s="254"/>
      <c r="N63" s="346"/>
      <c r="O63" s="346"/>
      <c r="P63" s="346"/>
      <c r="Q63" s="346"/>
      <c r="R63" s="346"/>
      <c r="S63" s="346"/>
      <c r="AD63" s="261"/>
      <c r="AE63" s="261"/>
      <c r="AF63" s="261"/>
      <c r="AG63" s="261"/>
      <c r="AH63" s="261"/>
      <c r="AI63" s="261"/>
      <c r="AJ63" s="261"/>
      <c r="AK63" s="261"/>
      <c r="AL63" s="261"/>
      <c r="AM63" s="261"/>
      <c r="AN63" s="261"/>
      <c r="AO63" s="261"/>
      <c r="AP63" s="261"/>
      <c r="BK63" s="254"/>
      <c r="BL63" s="254"/>
      <c r="BM63" s="254"/>
      <c r="BS63" s="261"/>
      <c r="BT63" s="261"/>
      <c r="BU63" s="261"/>
      <c r="BV63" s="261"/>
      <c r="BW63" s="261"/>
      <c r="BX63" s="261"/>
      <c r="BY63" s="261"/>
      <c r="BZ63" s="261"/>
      <c r="CA63" s="261"/>
      <c r="CB63" s="261"/>
      <c r="CC63" s="261"/>
      <c r="CD63" s="261"/>
      <c r="CE63" s="261"/>
      <c r="CF63" s="261"/>
      <c r="CG63" s="261"/>
      <c r="CH63" s="261"/>
      <c r="CI63" s="261"/>
      <c r="CJ63" s="261"/>
      <c r="CK63" s="261"/>
      <c r="CL63" s="261"/>
      <c r="CM63" s="261"/>
      <c r="CN63" s="261"/>
      <c r="CO63" s="261"/>
      <c r="CP63" s="261"/>
      <c r="CQ63" s="261"/>
      <c r="CR63" s="261"/>
      <c r="CS63" s="261"/>
      <c r="CT63" s="261"/>
      <c r="CU63" s="261"/>
      <c r="CV63" s="261"/>
      <c r="CW63" s="261"/>
      <c r="CX63" s="261"/>
      <c r="CY63" s="336"/>
      <c r="CZ63" s="346"/>
      <c r="DA63" s="346"/>
      <c r="DB63" s="346"/>
      <c r="DC63" s="560"/>
      <c r="DD63" s="556"/>
      <c r="DE63" s="561" t="s">
        <v>531</v>
      </c>
      <c r="DF63" s="561"/>
      <c r="DG63" s="561"/>
      <c r="DH63" s="561"/>
      <c r="DI63" s="561"/>
      <c r="DJ63" s="561"/>
      <c r="DK63" s="561"/>
      <c r="DL63" s="561"/>
      <c r="DM63" s="561"/>
      <c r="DN63" s="561"/>
      <c r="DO63" s="561"/>
      <c r="DP63" s="561"/>
      <c r="DQ63" s="561"/>
      <c r="DR63" s="561"/>
      <c r="DS63" s="561"/>
      <c r="DT63" s="561"/>
      <c r="DU63" s="561"/>
      <c r="DV63" s="561"/>
      <c r="DW63" s="561"/>
      <c r="DX63" s="561"/>
      <c r="DY63" s="561"/>
      <c r="DZ63" s="561"/>
      <c r="EA63" s="561"/>
      <c r="EB63" s="561"/>
      <c r="EC63" s="561">
        <f t="shared" si="24"/>
        <v>0</v>
      </c>
      <c r="ED63" s="562"/>
      <c r="EE63" s="561"/>
      <c r="EF63" s="561"/>
      <c r="EG63" s="561"/>
      <c r="EH63" s="561"/>
    </row>
    <row r="64" spans="1:153" ht="15" customHeight="1">
      <c r="L64" s="254"/>
      <c r="N64" s="346"/>
      <c r="O64" s="346"/>
      <c r="P64" s="346"/>
      <c r="Q64" s="346"/>
      <c r="R64" s="346"/>
      <c r="S64" s="346"/>
      <c r="AD64" s="261"/>
      <c r="AE64" s="261"/>
      <c r="AF64" s="261"/>
      <c r="AG64" s="261"/>
      <c r="AH64" s="261"/>
      <c r="AI64" s="261"/>
      <c r="AJ64" s="261"/>
      <c r="AK64" s="261"/>
      <c r="AL64" s="261"/>
      <c r="AM64" s="261"/>
      <c r="AN64" s="261"/>
      <c r="AO64" s="261"/>
      <c r="AP64" s="261"/>
      <c r="BK64" s="254"/>
      <c r="BL64" s="254"/>
      <c r="BM64" s="254"/>
      <c r="BS64" s="261"/>
      <c r="BT64" s="261"/>
      <c r="BU64" s="261"/>
      <c r="BV64" s="261"/>
      <c r="BW64" s="261"/>
      <c r="BX64" s="261"/>
      <c r="BY64" s="261"/>
      <c r="BZ64" s="261"/>
      <c r="CA64" s="261"/>
      <c r="CB64" s="261"/>
      <c r="CC64" s="261"/>
      <c r="CD64" s="261"/>
      <c r="CE64" s="261"/>
      <c r="CF64" s="261"/>
      <c r="CG64" s="261"/>
      <c r="CH64" s="261"/>
      <c r="CI64" s="261"/>
      <c r="CJ64" s="261"/>
      <c r="CK64" s="261"/>
      <c r="CL64" s="261"/>
      <c r="CM64" s="261"/>
      <c r="CN64" s="261"/>
      <c r="CO64" s="261"/>
      <c r="CP64" s="261"/>
      <c r="CQ64" s="261"/>
      <c r="CR64" s="261"/>
      <c r="CS64" s="261"/>
      <c r="CT64" s="261"/>
      <c r="CU64" s="261"/>
      <c r="CV64" s="261"/>
      <c r="CW64" s="261"/>
      <c r="CX64" s="261"/>
      <c r="CY64" s="336"/>
      <c r="CZ64" s="346"/>
      <c r="DA64" s="346"/>
      <c r="DB64" s="346"/>
      <c r="DC64" s="560"/>
      <c r="DD64" s="556"/>
      <c r="DE64" s="254" t="s">
        <v>532</v>
      </c>
      <c r="DF64" s="254">
        <v>281553948.53999949</v>
      </c>
      <c r="DG64" s="254">
        <v>4541255</v>
      </c>
      <c r="DH64" s="254">
        <v>17482731.149361759</v>
      </c>
      <c r="DI64" s="254">
        <v>27433582.280275136</v>
      </c>
      <c r="DJ64" s="254">
        <v>29895333.891126335</v>
      </c>
      <c r="DK64" s="254">
        <v>-1059432</v>
      </c>
      <c r="DL64" s="254">
        <v>344482</v>
      </c>
      <c r="DM64" s="254">
        <v>1534815</v>
      </c>
      <c r="DN64" s="254">
        <v>-2651230.1910769334</v>
      </c>
      <c r="DO64" s="254">
        <v>109951.43120000232</v>
      </c>
      <c r="DP64" s="254">
        <v>14930.082039208184</v>
      </c>
      <c r="DQ64" s="254">
        <v>-316905.9521234514</v>
      </c>
      <c r="DR64" s="254">
        <v>34</v>
      </c>
      <c r="DS64" s="254" t="s">
        <v>520</v>
      </c>
      <c r="DT64" s="254">
        <v>-251088.83089665661</v>
      </c>
      <c r="DU64" s="254">
        <v>-1486108.7675058593</v>
      </c>
      <c r="DV64" s="254">
        <v>0</v>
      </c>
      <c r="DW64" s="254">
        <v>308052.46701666887</v>
      </c>
      <c r="DX64" s="254">
        <v>-8854473.9894934427</v>
      </c>
      <c r="DY64" s="254">
        <v>5469.3556499999886</v>
      </c>
      <c r="DZ64" s="254">
        <v>167530.56</v>
      </c>
      <c r="EA64" s="254">
        <v>0</v>
      </c>
      <c r="EB64" s="254">
        <v>127011.0176342465</v>
      </c>
      <c r="EC64" s="254">
        <v>67474782.234668598</v>
      </c>
      <c r="ED64" s="254">
        <v>34</v>
      </c>
      <c r="EE64" s="254" t="s">
        <v>520</v>
      </c>
      <c r="EF64" s="254">
        <v>281553948.53999949</v>
      </c>
      <c r="EG64" s="254">
        <v>67345904.876279771</v>
      </c>
      <c r="EH64" s="254">
        <v>348899853.41627932</v>
      </c>
    </row>
    <row r="65" spans="12:151" ht="6.75" customHeight="1">
      <c r="L65" s="254"/>
      <c r="N65" s="346"/>
      <c r="O65" s="346"/>
      <c r="P65" s="346"/>
      <c r="Q65" s="346"/>
      <c r="R65" s="346"/>
      <c r="S65" s="346"/>
      <c r="AD65" s="261"/>
      <c r="AE65" s="261"/>
      <c r="AF65" s="261"/>
      <c r="AG65" s="261"/>
      <c r="AH65" s="261"/>
      <c r="AI65" s="261"/>
      <c r="AJ65" s="261"/>
      <c r="AK65" s="261"/>
      <c r="AL65" s="261"/>
      <c r="AM65" s="261"/>
      <c r="AN65" s="261"/>
      <c r="AO65" s="261"/>
      <c r="AP65" s="261"/>
      <c r="BK65" s="254"/>
      <c r="BL65" s="254"/>
      <c r="BM65" s="254"/>
      <c r="BS65" s="261"/>
      <c r="BT65" s="261"/>
      <c r="BU65" s="261"/>
      <c r="BV65" s="261"/>
      <c r="BW65" s="261"/>
      <c r="BX65" s="261"/>
      <c r="BY65" s="261"/>
      <c r="BZ65" s="261"/>
      <c r="CA65" s="261"/>
      <c r="CB65" s="261"/>
      <c r="CC65" s="261"/>
      <c r="CD65" s="261"/>
      <c r="CE65" s="261"/>
      <c r="CF65" s="261"/>
      <c r="CG65" s="261"/>
      <c r="CH65" s="261"/>
      <c r="CI65" s="261"/>
      <c r="CJ65" s="261"/>
      <c r="CK65" s="261"/>
      <c r="CL65" s="261"/>
      <c r="CM65" s="261"/>
      <c r="CN65" s="261"/>
      <c r="CO65" s="261"/>
      <c r="CP65" s="261"/>
      <c r="CQ65" s="261"/>
      <c r="CR65" s="261"/>
      <c r="CS65" s="261"/>
      <c r="CT65" s="261"/>
      <c r="CU65" s="261"/>
      <c r="CV65" s="261"/>
      <c r="CW65" s="261"/>
      <c r="CX65" s="261"/>
      <c r="CY65" s="336"/>
      <c r="CZ65" s="346"/>
      <c r="DA65" s="346"/>
      <c r="DB65" s="346"/>
      <c r="DC65" s="469"/>
      <c r="DJ65" s="254"/>
      <c r="DK65" s="254"/>
      <c r="DL65" s="254"/>
      <c r="DM65" s="254"/>
      <c r="DN65" s="254"/>
      <c r="DO65" s="254"/>
      <c r="DP65" s="254"/>
      <c r="DQ65" s="254"/>
      <c r="DR65" s="254">
        <v>35</v>
      </c>
      <c r="DS65" s="254"/>
      <c r="DT65" s="254"/>
      <c r="DU65" s="254"/>
      <c r="DV65" s="254"/>
      <c r="DW65" s="254"/>
      <c r="DX65" s="254"/>
      <c r="DY65" s="254"/>
      <c r="DZ65" s="254"/>
      <c r="EA65" s="254"/>
      <c r="EB65" s="254"/>
      <c r="EC65" s="254"/>
      <c r="ED65" s="254">
        <v>35</v>
      </c>
      <c r="EE65" s="254"/>
      <c r="EF65" s="254"/>
      <c r="EG65" s="254"/>
      <c r="EH65" s="254"/>
    </row>
    <row r="66" spans="12:151" ht="15" customHeight="1">
      <c r="L66" s="254"/>
      <c r="N66" s="346"/>
      <c r="O66" s="346"/>
      <c r="P66" s="346"/>
      <c r="Q66" s="346"/>
      <c r="R66" s="346"/>
      <c r="S66" s="346"/>
      <c r="AD66" s="261"/>
      <c r="AE66" s="261"/>
      <c r="AF66" s="261"/>
      <c r="AG66" s="261"/>
      <c r="AH66" s="261"/>
      <c r="AI66" s="261"/>
      <c r="AJ66" s="261"/>
      <c r="AK66" s="261"/>
      <c r="AN66" s="381"/>
      <c r="AP66" s="381"/>
      <c r="BS66" s="261"/>
      <c r="BT66" s="261"/>
      <c r="BU66" s="261"/>
      <c r="BV66" s="261"/>
      <c r="BW66" s="261"/>
      <c r="BX66" s="261"/>
      <c r="BY66" s="261"/>
      <c r="BZ66" s="261"/>
      <c r="CA66" s="261"/>
      <c r="CB66" s="261"/>
      <c r="CC66" s="261"/>
      <c r="CD66" s="261"/>
      <c r="CE66" s="261"/>
      <c r="CF66" s="261"/>
      <c r="CG66" s="261"/>
      <c r="CH66" s="261"/>
      <c r="CI66" s="261"/>
      <c r="CJ66" s="261"/>
      <c r="CK66" s="261"/>
      <c r="CL66" s="261"/>
      <c r="CM66" s="261"/>
      <c r="CN66" s="261"/>
      <c r="CO66" s="261"/>
      <c r="CP66" s="261"/>
      <c r="CQ66" s="261"/>
      <c r="CR66" s="261"/>
      <c r="CS66" s="261"/>
      <c r="CT66" s="261"/>
      <c r="CU66" s="261"/>
      <c r="CV66" s="261"/>
      <c r="CW66" s="261"/>
      <c r="CX66" s="261"/>
      <c r="DE66" s="254" t="s">
        <v>533</v>
      </c>
      <c r="DF66" s="254">
        <v>5443851882.2468576</v>
      </c>
      <c r="DG66" s="254">
        <v>0</v>
      </c>
      <c r="DH66" s="254">
        <v>0</v>
      </c>
      <c r="DI66" s="254">
        <v>0</v>
      </c>
      <c r="DJ66" s="254">
        <v>0</v>
      </c>
      <c r="DK66" s="254"/>
      <c r="DL66" s="254"/>
      <c r="DM66" s="254">
        <v>0</v>
      </c>
      <c r="DN66" s="254">
        <v>0</v>
      </c>
      <c r="DO66" s="254">
        <v>0</v>
      </c>
      <c r="DP66" s="254">
        <v>0</v>
      </c>
      <c r="DQ66" s="254">
        <v>0</v>
      </c>
      <c r="DR66" s="254">
        <v>36</v>
      </c>
      <c r="DS66" s="254" t="s">
        <v>521</v>
      </c>
      <c r="DT66" s="254">
        <v>0</v>
      </c>
      <c r="DU66" s="254">
        <v>0</v>
      </c>
      <c r="DV66" s="254">
        <v>0</v>
      </c>
      <c r="DW66" s="254">
        <v>0</v>
      </c>
      <c r="DX66" s="254">
        <v>0</v>
      </c>
      <c r="DY66" s="254">
        <v>0</v>
      </c>
      <c r="DZ66" s="254">
        <v>-1402186.52</v>
      </c>
      <c r="EA66" s="254">
        <v>-108497311.58370547</v>
      </c>
      <c r="EB66" s="441">
        <v>-2164638.2672226988</v>
      </c>
      <c r="EC66" s="254">
        <v>-112064136.37092817</v>
      </c>
      <c r="ED66" s="254">
        <v>36</v>
      </c>
      <c r="EE66" s="254" t="s">
        <v>521</v>
      </c>
      <c r="EF66" s="254">
        <v>5443851882.2468576</v>
      </c>
      <c r="EG66" s="254">
        <v>-112064136.37092817</v>
      </c>
      <c r="EH66" s="254">
        <v>5331787745.8759298</v>
      </c>
    </row>
    <row r="67" spans="12:151" ht="15" customHeight="1">
      <c r="L67" s="254"/>
      <c r="N67" s="346"/>
      <c r="O67" s="346"/>
      <c r="P67" s="346"/>
      <c r="Q67" s="346"/>
      <c r="R67" s="346"/>
      <c r="S67" s="346"/>
      <c r="BS67" s="261"/>
      <c r="BT67" s="261"/>
      <c r="BU67" s="261"/>
      <c r="BV67" s="261"/>
      <c r="BW67" s="261"/>
      <c r="BX67" s="261"/>
      <c r="BY67" s="261"/>
      <c r="BZ67" s="261"/>
      <c r="CA67" s="261"/>
      <c r="CB67" s="261"/>
      <c r="CC67" s="261"/>
      <c r="CD67" s="261"/>
      <c r="CE67" s="261"/>
      <c r="CF67" s="261"/>
      <c r="CG67" s="261"/>
      <c r="CH67" s="261"/>
      <c r="CI67" s="261"/>
      <c r="CJ67" s="261"/>
      <c r="CK67" s="261"/>
      <c r="CL67" s="261"/>
      <c r="CM67" s="261"/>
      <c r="CN67" s="261"/>
      <c r="CO67" s="261"/>
      <c r="CP67" s="261"/>
      <c r="CQ67" s="261"/>
      <c r="CR67" s="261"/>
      <c r="CS67" s="261"/>
      <c r="CT67" s="261"/>
      <c r="CU67" s="261"/>
      <c r="CV67" s="261"/>
      <c r="CW67" s="261"/>
      <c r="CX67" s="261"/>
      <c r="DE67" s="563" t="s">
        <v>534</v>
      </c>
      <c r="DF67" s="563"/>
      <c r="DG67" s="563"/>
      <c r="DH67" s="563"/>
      <c r="DI67" s="563"/>
      <c r="DJ67" s="563"/>
      <c r="DK67" s="563"/>
      <c r="DL67" s="563"/>
      <c r="DM67" s="563"/>
      <c r="DN67" s="563"/>
      <c r="DO67" s="563"/>
      <c r="DP67" s="563"/>
      <c r="DQ67" s="563"/>
      <c r="DR67" s="563"/>
      <c r="DS67" s="563"/>
      <c r="DT67" s="563"/>
      <c r="DU67" s="563"/>
      <c r="DV67" s="563"/>
      <c r="DW67" s="563"/>
      <c r="DX67" s="563"/>
      <c r="DY67" s="563"/>
      <c r="DZ67" s="563"/>
      <c r="EA67" s="563"/>
      <c r="EB67" s="563"/>
      <c r="EC67" s="563">
        <f t="shared" ref="EC67:EC72" si="45">SUM(DG67:EB67)-DR67</f>
        <v>0</v>
      </c>
      <c r="ED67" s="563"/>
      <c r="EE67" s="563"/>
      <c r="EF67" s="563"/>
      <c r="EG67" s="563"/>
      <c r="EH67" s="563"/>
    </row>
    <row r="68" spans="12:151" ht="15" customHeight="1">
      <c r="L68" s="254"/>
      <c r="N68" s="346"/>
      <c r="O68" s="346"/>
      <c r="P68" s="346"/>
      <c r="Q68" s="346"/>
      <c r="R68" s="346"/>
      <c r="S68" s="346"/>
      <c r="BE68" s="261"/>
      <c r="BS68" s="261"/>
      <c r="BT68" s="261"/>
      <c r="BU68" s="261"/>
      <c r="BV68" s="261"/>
      <c r="BW68" s="261"/>
      <c r="BX68" s="261"/>
      <c r="BY68" s="261"/>
      <c r="BZ68" s="261"/>
      <c r="CA68" s="261"/>
      <c r="CB68" s="261"/>
      <c r="CC68" s="261"/>
      <c r="CD68" s="261"/>
      <c r="CE68" s="261"/>
      <c r="CF68" s="261"/>
      <c r="CG68" s="261"/>
      <c r="CH68" s="261"/>
      <c r="CI68" s="261"/>
      <c r="CJ68" s="261"/>
      <c r="CK68" s="261"/>
      <c r="CL68" s="261"/>
      <c r="CM68" s="261"/>
      <c r="CN68" s="261"/>
      <c r="CO68" s="261"/>
      <c r="CP68" s="261"/>
      <c r="CQ68" s="261"/>
      <c r="CR68" s="261"/>
      <c r="CS68" s="261"/>
      <c r="CT68" s="261"/>
      <c r="CU68" s="261"/>
      <c r="CV68" s="261"/>
      <c r="CW68" s="261"/>
      <c r="CX68" s="261"/>
      <c r="DE68" s="564" t="s">
        <v>532</v>
      </c>
      <c r="DF68" s="565">
        <f t="shared" ref="DF68:DQ68" si="46">+DF47</f>
        <v>281553948.53999949</v>
      </c>
      <c r="DG68" s="565">
        <f t="shared" si="46"/>
        <v>4541255</v>
      </c>
      <c r="DH68" s="565">
        <f t="shared" si="46"/>
        <v>17482731.149361759</v>
      </c>
      <c r="DI68" s="565">
        <f t="shared" si="46"/>
        <v>27433582.280275136</v>
      </c>
      <c r="DJ68" s="565">
        <f t="shared" si="46"/>
        <v>29895333.891126335</v>
      </c>
      <c r="DK68" s="565">
        <f t="shared" si="46"/>
        <v>-1059432</v>
      </c>
      <c r="DL68" s="565">
        <f t="shared" si="46"/>
        <v>344482</v>
      </c>
      <c r="DM68" s="565">
        <f t="shared" si="46"/>
        <v>1534815</v>
      </c>
      <c r="DN68" s="565">
        <f t="shared" si="46"/>
        <v>-2651230.1910769334</v>
      </c>
      <c r="DO68" s="565">
        <f t="shared" si="46"/>
        <v>109951.43120000232</v>
      </c>
      <c r="DP68" s="565">
        <f t="shared" si="46"/>
        <v>14930.082039208184</v>
      </c>
      <c r="DQ68" s="565">
        <f t="shared" si="46"/>
        <v>-316905.9521234514</v>
      </c>
      <c r="DR68" s="565">
        <v>0</v>
      </c>
      <c r="DS68" s="565" t="str">
        <f t="shared" ref="DS68:EB68" si="47">+DS47</f>
        <v>NET OPERATING INCOME</v>
      </c>
      <c r="DT68" s="565">
        <f t="shared" si="47"/>
        <v>-251088.83089665661</v>
      </c>
      <c r="DU68" s="565">
        <f t="shared" si="47"/>
        <v>-1486108.7675058593</v>
      </c>
      <c r="DV68" s="565">
        <f t="shared" si="47"/>
        <v>0</v>
      </c>
      <c r="DW68" s="565">
        <f t="shared" si="47"/>
        <v>308052.46701666887</v>
      </c>
      <c r="DX68" s="565">
        <f t="shared" si="47"/>
        <v>-8854932.0205563195</v>
      </c>
      <c r="DY68" s="565">
        <f t="shared" si="47"/>
        <v>5469.3556499999886</v>
      </c>
      <c r="DZ68" s="565">
        <f t="shared" si="47"/>
        <v>167530.56</v>
      </c>
      <c r="EA68" s="565">
        <f t="shared" si="47"/>
        <v>0</v>
      </c>
      <c r="EB68" s="565">
        <f t="shared" si="47"/>
        <v>127011.0176342465</v>
      </c>
      <c r="EC68" s="565">
        <f t="shared" si="45"/>
        <v>67345446.472144127</v>
      </c>
      <c r="ED68" s="565">
        <v>0</v>
      </c>
      <c r="EE68" s="565" t="str">
        <f>+EE47</f>
        <v>NET OPERATING INCOME</v>
      </c>
      <c r="EF68" s="565">
        <f>+EF47</f>
        <v>281553948.53999949</v>
      </c>
      <c r="EG68" s="565">
        <f>+EG47</f>
        <v>67345446.8452169</v>
      </c>
      <c r="EH68" s="565">
        <f>+EH47</f>
        <v>348899395.38521624</v>
      </c>
    </row>
    <row r="69" spans="12:151" ht="15" customHeight="1">
      <c r="L69" s="254"/>
      <c r="N69" s="346"/>
      <c r="O69" s="346"/>
      <c r="P69" s="346"/>
      <c r="Q69" s="346"/>
      <c r="R69" s="346"/>
      <c r="S69" s="346"/>
      <c r="BS69" s="261"/>
      <c r="BT69" s="261"/>
      <c r="BU69" s="261"/>
      <c r="BV69" s="261"/>
      <c r="BW69" s="261"/>
      <c r="BX69" s="261"/>
      <c r="BY69" s="261"/>
      <c r="BZ69" s="261"/>
      <c r="CA69" s="261"/>
      <c r="CB69" s="261"/>
      <c r="CC69" s="261"/>
      <c r="CD69" s="261"/>
      <c r="CE69" s="261"/>
      <c r="CF69" s="261"/>
      <c r="CG69" s="261"/>
      <c r="CH69" s="261"/>
      <c r="CI69" s="261"/>
      <c r="CJ69" s="261"/>
      <c r="CK69" s="261"/>
      <c r="CL69" s="261"/>
      <c r="CM69" s="261"/>
      <c r="CN69" s="261"/>
      <c r="CO69" s="261"/>
      <c r="CP69" s="261"/>
      <c r="CQ69" s="261"/>
      <c r="CR69" s="261"/>
      <c r="CS69" s="261"/>
      <c r="CT69" s="261"/>
      <c r="CU69" s="261"/>
      <c r="CV69" s="261"/>
      <c r="CW69" s="261"/>
      <c r="CX69" s="261"/>
      <c r="DE69" s="566" t="s">
        <v>533</v>
      </c>
      <c r="DF69" s="567">
        <f t="shared" ref="DF69:DQ69" si="48">+DF49</f>
        <v>5443851882.2468576</v>
      </c>
      <c r="DG69" s="567">
        <f t="shared" si="48"/>
        <v>0</v>
      </c>
      <c r="DH69" s="567">
        <f t="shared" si="48"/>
        <v>0</v>
      </c>
      <c r="DI69" s="567">
        <f t="shared" si="48"/>
        <v>0</v>
      </c>
      <c r="DJ69" s="567">
        <f t="shared" si="48"/>
        <v>0</v>
      </c>
      <c r="DK69" s="567">
        <f t="shared" si="48"/>
        <v>0</v>
      </c>
      <c r="DL69" s="567">
        <f t="shared" si="48"/>
        <v>0</v>
      </c>
      <c r="DM69" s="567">
        <f t="shared" si="48"/>
        <v>0</v>
      </c>
      <c r="DN69" s="567">
        <f t="shared" si="48"/>
        <v>0</v>
      </c>
      <c r="DO69" s="567">
        <f t="shared" si="48"/>
        <v>0</v>
      </c>
      <c r="DP69" s="567">
        <f t="shared" si="48"/>
        <v>0</v>
      </c>
      <c r="DQ69" s="567">
        <f t="shared" si="48"/>
        <v>0</v>
      </c>
      <c r="DR69" s="567">
        <v>0</v>
      </c>
      <c r="DS69" s="567" t="str">
        <f t="shared" ref="DS69:EB69" si="49">+DS49</f>
        <v xml:space="preserve">RATE BASE </v>
      </c>
      <c r="DT69" s="567">
        <f t="shared" si="49"/>
        <v>0</v>
      </c>
      <c r="DU69" s="567">
        <f t="shared" si="49"/>
        <v>0</v>
      </c>
      <c r="DV69" s="567">
        <f t="shared" si="49"/>
        <v>0</v>
      </c>
      <c r="DW69" s="567">
        <f t="shared" si="49"/>
        <v>0</v>
      </c>
      <c r="DX69" s="567">
        <f t="shared" si="49"/>
        <v>0</v>
      </c>
      <c r="DY69" s="567">
        <f t="shared" si="49"/>
        <v>0</v>
      </c>
      <c r="DZ69" s="567">
        <f t="shared" si="49"/>
        <v>-1402186.52</v>
      </c>
      <c r="EA69" s="567">
        <f t="shared" si="49"/>
        <v>-108497311.58370547</v>
      </c>
      <c r="EB69" s="567">
        <f t="shared" si="49"/>
        <v>-2164638.2672226988</v>
      </c>
      <c r="EC69" s="567">
        <f t="shared" si="45"/>
        <v>-112064136.37092817</v>
      </c>
      <c r="ED69" s="567">
        <v>0</v>
      </c>
      <c r="EE69" s="567" t="str">
        <f>+EE49</f>
        <v xml:space="preserve">RATE BASE </v>
      </c>
      <c r="EF69" s="567">
        <f>+EF49</f>
        <v>5443851882.2468576</v>
      </c>
      <c r="EG69" s="567">
        <f>+EG49</f>
        <v>-112064136.37092817</v>
      </c>
      <c r="EH69" s="567">
        <f>+EH49</f>
        <v>5331787745.8759298</v>
      </c>
    </row>
    <row r="70" spans="12:151" ht="15" customHeight="1">
      <c r="L70" s="254"/>
      <c r="N70" s="346"/>
      <c r="O70" s="346"/>
      <c r="P70" s="346"/>
      <c r="Q70" s="346"/>
      <c r="R70" s="346"/>
      <c r="S70" s="346"/>
      <c r="BS70" s="261"/>
      <c r="BT70" s="261"/>
      <c r="BU70" s="261"/>
      <c r="BV70" s="261"/>
      <c r="BW70" s="261"/>
      <c r="BX70" s="261"/>
      <c r="BY70" s="261"/>
      <c r="BZ70" s="261"/>
      <c r="CA70" s="261"/>
      <c r="CB70" s="261"/>
      <c r="CC70" s="261"/>
      <c r="CD70" s="261"/>
      <c r="CE70" s="261"/>
      <c r="CF70" s="261"/>
      <c r="CG70" s="261"/>
      <c r="CH70" s="261"/>
      <c r="CI70" s="261"/>
      <c r="CJ70" s="261"/>
      <c r="CK70" s="261"/>
      <c r="CL70" s="261"/>
      <c r="CM70" s="261"/>
      <c r="CN70" s="261"/>
      <c r="CO70" s="261"/>
      <c r="CP70" s="261"/>
      <c r="CQ70" s="261"/>
      <c r="CR70" s="261"/>
      <c r="CS70" s="261"/>
      <c r="CT70" s="261"/>
      <c r="CU70" s="261"/>
      <c r="CV70" s="261"/>
      <c r="CW70" s="261"/>
      <c r="CX70" s="261"/>
      <c r="DE70" s="563" t="s">
        <v>535</v>
      </c>
      <c r="DF70" s="563"/>
      <c r="DG70" s="563"/>
      <c r="DH70" s="563"/>
      <c r="DI70" s="563"/>
      <c r="DJ70" s="563"/>
      <c r="DK70" s="563"/>
      <c r="DL70" s="563"/>
      <c r="DM70" s="563"/>
      <c r="DN70" s="563"/>
      <c r="DO70" s="563"/>
      <c r="DP70" s="563"/>
      <c r="DQ70" s="563"/>
      <c r="DR70" s="563"/>
      <c r="DS70" s="563"/>
      <c r="DT70" s="563"/>
      <c r="DU70" s="563"/>
      <c r="DV70" s="563"/>
      <c r="DW70" s="563"/>
      <c r="DX70" s="563"/>
      <c r="DY70" s="563"/>
      <c r="DZ70" s="563"/>
      <c r="EA70" s="563"/>
      <c r="EB70" s="563"/>
      <c r="EC70" s="563">
        <f t="shared" si="45"/>
        <v>0</v>
      </c>
      <c r="ED70" s="563"/>
      <c r="EE70" s="563"/>
      <c r="EF70" s="563"/>
      <c r="EG70" s="563"/>
      <c r="EH70" s="563"/>
    </row>
    <row r="71" spans="12:151" ht="15" customHeight="1">
      <c r="L71" s="254"/>
      <c r="N71" s="346"/>
      <c r="O71" s="346"/>
      <c r="P71" s="346"/>
      <c r="Q71" s="346"/>
      <c r="R71" s="346"/>
      <c r="S71" s="346"/>
      <c r="BS71" s="261"/>
      <c r="BT71" s="261"/>
      <c r="BU71" s="261"/>
      <c r="BV71" s="261"/>
      <c r="BW71" s="261"/>
      <c r="BX71" s="261"/>
      <c r="BY71" s="261"/>
      <c r="BZ71" s="261"/>
      <c r="CA71" s="261"/>
      <c r="CB71" s="261"/>
      <c r="CC71" s="261"/>
      <c r="CD71" s="261"/>
      <c r="CE71" s="261"/>
      <c r="CF71" s="261"/>
      <c r="CG71" s="261"/>
      <c r="CH71" s="261"/>
      <c r="CI71" s="261"/>
      <c r="CJ71" s="261"/>
      <c r="CK71" s="261"/>
      <c r="CL71" s="261"/>
      <c r="CM71" s="261"/>
      <c r="CN71" s="261"/>
      <c r="CO71" s="261"/>
      <c r="CP71" s="261"/>
      <c r="CQ71" s="261"/>
      <c r="CR71" s="261"/>
      <c r="CS71" s="261"/>
      <c r="CT71" s="261"/>
      <c r="CU71" s="261"/>
      <c r="CV71" s="261"/>
      <c r="CW71" s="261"/>
      <c r="CX71" s="261"/>
      <c r="DE71" s="568" t="s">
        <v>536</v>
      </c>
      <c r="DF71" s="569">
        <f t="shared" ref="DF71:DQ71" si="50">DF68-DF64</f>
        <v>0</v>
      </c>
      <c r="DG71" s="569">
        <f t="shared" si="50"/>
        <v>0</v>
      </c>
      <c r="DH71" s="569">
        <f t="shared" si="50"/>
        <v>0</v>
      </c>
      <c r="DI71" s="569">
        <f t="shared" si="50"/>
        <v>0</v>
      </c>
      <c r="DJ71" s="569">
        <f t="shared" si="50"/>
        <v>0</v>
      </c>
      <c r="DK71" s="569">
        <f t="shared" si="50"/>
        <v>0</v>
      </c>
      <c r="DL71" s="569">
        <f t="shared" si="50"/>
        <v>0</v>
      </c>
      <c r="DM71" s="569">
        <f t="shared" si="50"/>
        <v>0</v>
      </c>
      <c r="DN71" s="569">
        <f t="shared" si="50"/>
        <v>0</v>
      </c>
      <c r="DO71" s="570">
        <f t="shared" si="50"/>
        <v>0</v>
      </c>
      <c r="DP71" s="569">
        <f t="shared" si="50"/>
        <v>0</v>
      </c>
      <c r="DQ71" s="569">
        <f t="shared" si="50"/>
        <v>0</v>
      </c>
      <c r="DR71" s="569"/>
      <c r="DS71" s="569"/>
      <c r="DT71" s="569">
        <f t="shared" ref="DT71:EB71" si="51">DT68-DT64</f>
        <v>0</v>
      </c>
      <c r="DU71" s="569">
        <f t="shared" si="51"/>
        <v>0</v>
      </c>
      <c r="DV71" s="569">
        <f t="shared" si="51"/>
        <v>0</v>
      </c>
      <c r="DW71" s="569">
        <f t="shared" si="51"/>
        <v>0</v>
      </c>
      <c r="DX71" s="569">
        <f t="shared" si="51"/>
        <v>-458.03106287680566</v>
      </c>
      <c r="DY71" s="569">
        <f t="shared" si="51"/>
        <v>0</v>
      </c>
      <c r="DZ71" s="569">
        <f t="shared" si="51"/>
        <v>0</v>
      </c>
      <c r="EA71" s="569">
        <f t="shared" si="51"/>
        <v>0</v>
      </c>
      <c r="EB71" s="569">
        <f t="shared" si="51"/>
        <v>0</v>
      </c>
      <c r="EC71" s="569">
        <f t="shared" si="45"/>
        <v>-458.03106287680566</v>
      </c>
      <c r="ED71" s="569"/>
      <c r="EE71" s="569"/>
      <c r="EF71" s="569">
        <f>EF68-EF64</f>
        <v>0</v>
      </c>
      <c r="EG71" s="569">
        <f>EG68-EG64</f>
        <v>-458.03106287121773</v>
      </c>
      <c r="EH71" s="569">
        <f>EH68-EH64</f>
        <v>-458.03106307983398</v>
      </c>
    </row>
    <row r="72" spans="12:151" ht="15" customHeight="1">
      <c r="L72" s="254"/>
      <c r="N72" s="346"/>
      <c r="O72" s="346"/>
      <c r="P72" s="346"/>
      <c r="Q72" s="346"/>
      <c r="R72" s="346"/>
      <c r="S72" s="346"/>
      <c r="BS72" s="261"/>
      <c r="BT72" s="261"/>
      <c r="BU72" s="261"/>
      <c r="BV72" s="261"/>
      <c r="BW72" s="261"/>
      <c r="BX72" s="261"/>
      <c r="BY72" s="261"/>
      <c r="BZ72" s="261"/>
      <c r="CA72" s="261"/>
      <c r="CB72" s="261"/>
      <c r="CC72" s="261"/>
      <c r="CD72" s="261"/>
      <c r="CE72" s="261"/>
      <c r="CF72" s="261"/>
      <c r="CG72" s="261"/>
      <c r="CH72" s="261"/>
      <c r="CI72" s="261"/>
      <c r="CJ72" s="261"/>
      <c r="CK72" s="261"/>
      <c r="CL72" s="261"/>
      <c r="CM72" s="261"/>
      <c r="CN72" s="261"/>
      <c r="CO72" s="261"/>
      <c r="CP72" s="261"/>
      <c r="CQ72" s="261"/>
      <c r="CR72" s="261"/>
      <c r="CS72" s="261"/>
      <c r="CT72" s="261"/>
      <c r="CU72" s="261"/>
      <c r="CV72" s="261"/>
      <c r="CW72" s="261"/>
      <c r="CX72" s="261"/>
      <c r="DE72" s="571" t="s">
        <v>308</v>
      </c>
      <c r="DF72" s="570">
        <f t="shared" ref="DF72:DQ72" si="52">DF69-DF66</f>
        <v>0</v>
      </c>
      <c r="DG72" s="570">
        <f t="shared" si="52"/>
        <v>0</v>
      </c>
      <c r="DH72" s="570">
        <f t="shared" si="52"/>
        <v>0</v>
      </c>
      <c r="DI72" s="570">
        <f t="shared" si="52"/>
        <v>0</v>
      </c>
      <c r="DJ72" s="570">
        <f t="shared" si="52"/>
        <v>0</v>
      </c>
      <c r="DK72" s="570">
        <f t="shared" si="52"/>
        <v>0</v>
      </c>
      <c r="DL72" s="570">
        <f t="shared" si="52"/>
        <v>0</v>
      </c>
      <c r="DM72" s="570">
        <f t="shared" si="52"/>
        <v>0</v>
      </c>
      <c r="DN72" s="570">
        <f t="shared" si="52"/>
        <v>0</v>
      </c>
      <c r="DO72" s="570">
        <f t="shared" si="52"/>
        <v>0</v>
      </c>
      <c r="DP72" s="570">
        <f t="shared" si="52"/>
        <v>0</v>
      </c>
      <c r="DQ72" s="570">
        <f t="shared" si="52"/>
        <v>0</v>
      </c>
      <c r="DR72" s="570"/>
      <c r="DS72" s="570"/>
      <c r="DT72" s="570">
        <f t="shared" ref="DT72:EB72" si="53">DT69-DT66</f>
        <v>0</v>
      </c>
      <c r="DU72" s="570">
        <f t="shared" si="53"/>
        <v>0</v>
      </c>
      <c r="DV72" s="570">
        <f t="shared" si="53"/>
        <v>0</v>
      </c>
      <c r="DW72" s="570">
        <f t="shared" si="53"/>
        <v>0</v>
      </c>
      <c r="DX72" s="570">
        <f t="shared" si="53"/>
        <v>0</v>
      </c>
      <c r="DY72" s="570">
        <f t="shared" si="53"/>
        <v>0</v>
      </c>
      <c r="DZ72" s="570">
        <f t="shared" si="53"/>
        <v>0</v>
      </c>
      <c r="EA72" s="570">
        <f t="shared" si="53"/>
        <v>0</v>
      </c>
      <c r="EB72" s="570">
        <f t="shared" si="53"/>
        <v>0</v>
      </c>
      <c r="EC72" s="570">
        <f t="shared" si="45"/>
        <v>0</v>
      </c>
      <c r="ED72" s="570"/>
      <c r="EE72" s="570"/>
      <c r="EF72" s="570">
        <f>EF69-EF66</f>
        <v>0</v>
      </c>
      <c r="EG72" s="570">
        <f>EG69-EG66</f>
        <v>0</v>
      </c>
      <c r="EH72" s="570">
        <f>EH69-EH66</f>
        <v>0</v>
      </c>
    </row>
    <row r="73" spans="12:151" ht="15" customHeight="1">
      <c r="L73" s="254"/>
      <c r="N73" s="346"/>
      <c r="O73" s="346"/>
      <c r="P73" s="346"/>
      <c r="Q73" s="346"/>
      <c r="R73" s="346"/>
      <c r="S73" s="346"/>
      <c r="BS73" s="261"/>
      <c r="BT73" s="261"/>
      <c r="BU73" s="261"/>
      <c r="BV73" s="261"/>
      <c r="BW73" s="261"/>
      <c r="BX73" s="261"/>
      <c r="BY73" s="261"/>
      <c r="BZ73" s="261"/>
      <c r="CA73" s="261"/>
      <c r="CB73" s="261"/>
      <c r="CC73" s="261"/>
      <c r="CD73" s="261"/>
      <c r="CE73" s="261"/>
      <c r="CF73" s="261"/>
      <c r="CG73" s="261"/>
      <c r="CH73" s="261"/>
      <c r="CI73" s="261"/>
      <c r="CJ73" s="261"/>
      <c r="CK73" s="261"/>
      <c r="CL73" s="261"/>
      <c r="CM73" s="261"/>
      <c r="CN73" s="261"/>
      <c r="CO73" s="261"/>
      <c r="CP73" s="261"/>
      <c r="CQ73" s="261"/>
      <c r="CR73" s="261"/>
      <c r="CS73" s="261"/>
      <c r="CT73" s="261"/>
      <c r="CU73" s="261"/>
      <c r="CV73" s="261"/>
      <c r="CW73" s="261"/>
      <c r="CX73" s="261"/>
      <c r="DF73" s="254"/>
      <c r="DI73" s="256"/>
      <c r="DJ73" s="256"/>
      <c r="DK73" s="256"/>
    </row>
    <row r="74" spans="12:151" ht="15" customHeight="1">
      <c r="L74" s="254"/>
      <c r="N74" s="346"/>
      <c r="O74" s="346"/>
      <c r="P74" s="346"/>
      <c r="Q74" s="346"/>
      <c r="R74" s="346"/>
      <c r="S74" s="346"/>
      <c r="BS74" s="261"/>
      <c r="BT74" s="261"/>
      <c r="BU74" s="261"/>
      <c r="BV74" s="261"/>
      <c r="BW74" s="261"/>
      <c r="BX74" s="261"/>
      <c r="BY74" s="261"/>
      <c r="BZ74" s="261"/>
      <c r="CA74" s="261"/>
      <c r="CB74" s="261"/>
      <c r="CC74" s="261"/>
      <c r="CD74" s="261"/>
      <c r="CE74" s="261"/>
      <c r="CF74" s="261"/>
      <c r="CG74" s="261"/>
      <c r="CH74" s="261"/>
      <c r="CI74" s="261"/>
      <c r="CJ74" s="261"/>
      <c r="CK74" s="261"/>
      <c r="CL74" s="261"/>
      <c r="CM74" s="261"/>
      <c r="CN74" s="261"/>
      <c r="CO74" s="261"/>
      <c r="CP74" s="261"/>
      <c r="CQ74" s="261"/>
      <c r="CR74" s="261"/>
      <c r="CS74" s="261"/>
      <c r="CT74" s="261"/>
      <c r="CU74" s="261"/>
      <c r="CV74" s="261"/>
      <c r="CW74" s="261"/>
      <c r="CX74" s="261"/>
      <c r="DE74" s="256"/>
      <c r="DF74" s="470"/>
      <c r="DG74" s="256"/>
      <c r="DH74" s="256"/>
      <c r="DI74" s="256"/>
      <c r="DJ74" s="256"/>
      <c r="DK74" s="256"/>
      <c r="DL74" s="256"/>
      <c r="DM74" s="256"/>
      <c r="DN74" s="256"/>
      <c r="DO74" s="256"/>
      <c r="DP74" s="256"/>
      <c r="DQ74" s="256"/>
      <c r="DR74" s="256"/>
      <c r="DS74" s="256"/>
      <c r="DT74" s="256"/>
      <c r="DU74" s="256"/>
      <c r="DV74" s="256"/>
      <c r="DW74" s="256"/>
      <c r="DX74" s="256"/>
      <c r="DY74" s="256"/>
      <c r="DZ74" s="256"/>
      <c r="EA74" s="256"/>
      <c r="EB74" s="256"/>
      <c r="EC74" s="256"/>
      <c r="ED74" s="256"/>
      <c r="EE74" s="256"/>
      <c r="EF74" s="256"/>
      <c r="EG74" s="256"/>
      <c r="EH74" s="256"/>
      <c r="EQ74" s="256"/>
      <c r="ER74" s="256"/>
      <c r="ES74" s="256"/>
      <c r="ET74" s="256"/>
      <c r="EU74" s="256"/>
    </row>
    <row r="75" spans="12:151" s="259" customFormat="1" ht="15" customHeight="1">
      <c r="N75" s="560"/>
      <c r="O75" s="560"/>
      <c r="P75" s="560"/>
      <c r="Q75" s="560"/>
      <c r="R75" s="560"/>
      <c r="S75" s="560"/>
      <c r="T75" s="111"/>
      <c r="U75" s="111"/>
      <c r="V75" s="111"/>
      <c r="W75" s="111"/>
      <c r="X75" s="111"/>
      <c r="BN75" s="572"/>
      <c r="BO75" s="572"/>
      <c r="BS75" s="524"/>
      <c r="BT75" s="524"/>
      <c r="BU75" s="524"/>
      <c r="BV75" s="524"/>
      <c r="BW75" s="524"/>
      <c r="BX75" s="524"/>
      <c r="BY75" s="524"/>
      <c r="BZ75" s="524"/>
      <c r="CA75" s="524"/>
      <c r="CB75" s="524"/>
      <c r="CC75" s="524"/>
      <c r="CD75" s="524"/>
      <c r="CE75" s="524"/>
      <c r="CF75" s="524"/>
      <c r="CG75" s="524"/>
      <c r="CH75" s="524"/>
      <c r="CI75" s="524"/>
      <c r="CJ75" s="524"/>
      <c r="CK75" s="524"/>
      <c r="CL75" s="524"/>
      <c r="CM75" s="524"/>
      <c r="CN75" s="524"/>
      <c r="CO75" s="524"/>
      <c r="CP75" s="524"/>
      <c r="CQ75" s="524"/>
      <c r="CR75" s="524"/>
      <c r="CS75" s="524"/>
      <c r="CT75" s="524"/>
      <c r="CU75" s="524"/>
      <c r="CV75" s="524"/>
      <c r="CW75" s="524"/>
      <c r="CX75" s="524"/>
      <c r="DE75" s="256"/>
      <c r="DF75" s="470"/>
      <c r="DG75" s="256"/>
      <c r="DH75" s="256"/>
      <c r="DI75" s="256"/>
      <c r="DJ75" s="256"/>
      <c r="DK75" s="256"/>
      <c r="DL75" s="256"/>
      <c r="DM75" s="256"/>
      <c r="DN75" s="256"/>
      <c r="DO75" s="256"/>
      <c r="DP75" s="256"/>
      <c r="DQ75" s="256"/>
      <c r="DR75" s="256"/>
      <c r="DS75" s="256"/>
      <c r="DT75" s="256"/>
      <c r="DU75" s="256"/>
      <c r="DV75" s="256"/>
      <c r="DW75" s="256"/>
      <c r="DX75" s="256"/>
      <c r="DY75" s="256"/>
      <c r="DZ75" s="256"/>
      <c r="EA75" s="256"/>
      <c r="EB75" s="256"/>
      <c r="EC75" s="256"/>
      <c r="ED75" s="256"/>
      <c r="EE75" s="256"/>
      <c r="EF75" s="256"/>
      <c r="EG75" s="256"/>
      <c r="EH75" s="256"/>
      <c r="EI75" s="256"/>
      <c r="EJ75" s="256"/>
      <c r="EK75" s="256"/>
      <c r="EL75" s="256"/>
      <c r="EM75" s="256"/>
      <c r="EN75" s="256"/>
      <c r="EO75" s="256"/>
      <c r="EP75" s="256"/>
      <c r="EQ75" s="256"/>
      <c r="ER75" s="256"/>
      <c r="ES75" s="256"/>
      <c r="ET75" s="256"/>
      <c r="EU75" s="256"/>
    </row>
    <row r="76" spans="12:151" ht="15" customHeight="1">
      <c r="L76" s="254"/>
      <c r="N76" s="346"/>
      <c r="O76" s="346"/>
      <c r="P76" s="346"/>
      <c r="Q76" s="346"/>
      <c r="R76" s="346"/>
      <c r="S76" s="346"/>
      <c r="BS76" s="261"/>
      <c r="BT76" s="261"/>
      <c r="BU76" s="261"/>
      <c r="BV76" s="261"/>
      <c r="BW76" s="261"/>
      <c r="BX76" s="261"/>
      <c r="BY76" s="261"/>
      <c r="BZ76" s="261"/>
      <c r="CA76" s="261"/>
      <c r="CB76" s="261"/>
      <c r="CC76" s="261"/>
      <c r="CD76" s="261"/>
      <c r="CE76" s="261"/>
      <c r="CF76" s="261"/>
      <c r="CG76" s="261"/>
      <c r="CH76" s="261"/>
      <c r="CI76" s="261"/>
      <c r="CJ76" s="261"/>
      <c r="CK76" s="261"/>
      <c r="CL76" s="261"/>
      <c r="CM76" s="261"/>
      <c r="CN76" s="261"/>
      <c r="CO76" s="261"/>
      <c r="CP76" s="261"/>
      <c r="CQ76" s="261"/>
      <c r="CR76" s="261"/>
      <c r="CS76" s="261"/>
      <c r="CT76" s="261"/>
      <c r="CU76" s="261"/>
      <c r="CV76" s="261"/>
      <c r="CW76" s="261"/>
      <c r="CX76" s="261"/>
      <c r="DE76" s="256"/>
      <c r="DF76" s="470"/>
      <c r="DG76" s="256"/>
      <c r="DH76" s="256"/>
      <c r="DI76" s="256"/>
      <c r="DJ76" s="256"/>
      <c r="DK76" s="256"/>
      <c r="DL76" s="256"/>
      <c r="DM76" s="256"/>
      <c r="DN76" s="256"/>
      <c r="DO76" s="256"/>
      <c r="DP76" s="256"/>
      <c r="DQ76" s="256"/>
      <c r="DR76" s="256"/>
      <c r="DS76" s="256"/>
      <c r="DT76" s="256"/>
      <c r="DU76" s="256"/>
      <c r="DV76" s="256"/>
      <c r="DW76" s="256"/>
      <c r="DX76" s="256"/>
      <c r="DY76" s="256"/>
      <c r="DZ76" s="256"/>
      <c r="EA76" s="256"/>
      <c r="EB76" s="256"/>
      <c r="EC76" s="256"/>
      <c r="ED76" s="256"/>
      <c r="EE76" s="256"/>
      <c r="EF76" s="256"/>
      <c r="EG76" s="256"/>
      <c r="EH76" s="256"/>
      <c r="EQ76" s="256"/>
      <c r="ER76" s="256"/>
      <c r="ES76" s="256"/>
      <c r="ET76" s="256"/>
      <c r="EU76" s="256"/>
    </row>
    <row r="77" spans="12:151" ht="15" customHeight="1">
      <c r="L77" s="254"/>
      <c r="N77" s="346"/>
      <c r="O77" s="346"/>
      <c r="P77" s="346"/>
      <c r="Q77" s="346"/>
      <c r="R77" s="346"/>
      <c r="S77" s="346"/>
      <c r="BU77" s="381"/>
      <c r="BY77" s="381"/>
      <c r="BZ77" s="261"/>
      <c r="CA77" s="261"/>
      <c r="CB77" s="261"/>
      <c r="CC77" s="261"/>
      <c r="CD77" s="261"/>
      <c r="CE77" s="261"/>
      <c r="CF77" s="261"/>
      <c r="CG77" s="261"/>
      <c r="CH77" s="261"/>
      <c r="CI77" s="261"/>
      <c r="CJ77" s="381"/>
      <c r="CK77" s="381"/>
      <c r="CL77" s="381"/>
      <c r="CM77" s="381"/>
      <c r="CN77" s="381"/>
      <c r="CO77" s="381"/>
      <c r="CP77" s="381"/>
      <c r="CQ77" s="381"/>
      <c r="CR77" s="381"/>
      <c r="CS77" s="381"/>
      <c r="CT77" s="381"/>
      <c r="CU77" s="381"/>
      <c r="CV77" s="381"/>
      <c r="CW77" s="381"/>
      <c r="CX77" s="381"/>
      <c r="DE77" s="256"/>
      <c r="DF77" s="470"/>
      <c r="DG77" s="256"/>
      <c r="DH77" s="256"/>
      <c r="DI77" s="256"/>
      <c r="DJ77" s="256"/>
      <c r="DK77" s="256"/>
      <c r="DL77" s="256"/>
      <c r="DM77" s="256"/>
      <c r="DN77" s="256"/>
      <c r="DO77" s="256"/>
      <c r="DP77" s="256"/>
      <c r="DQ77" s="256"/>
      <c r="DR77" s="256"/>
      <c r="DS77" s="256"/>
      <c r="DT77" s="256"/>
      <c r="DU77" s="256"/>
      <c r="DV77" s="256"/>
      <c r="DW77" s="256"/>
      <c r="DX77" s="256"/>
      <c r="DY77" s="256"/>
      <c r="DZ77" s="256"/>
      <c r="EA77" s="256"/>
      <c r="EB77" s="256"/>
      <c r="EC77" s="256"/>
      <c r="ED77" s="256"/>
      <c r="EE77" s="256"/>
      <c r="EF77" s="256"/>
      <c r="EG77" s="256"/>
      <c r="EH77" s="256"/>
      <c r="EQ77" s="256"/>
      <c r="ER77" s="256"/>
      <c r="ES77" s="256"/>
      <c r="ET77" s="256"/>
      <c r="EU77" s="256"/>
    </row>
    <row r="78" spans="12:151" ht="15" customHeight="1">
      <c r="L78" s="254"/>
      <c r="N78" s="346"/>
      <c r="O78" s="346"/>
      <c r="P78" s="346"/>
      <c r="Q78" s="346"/>
      <c r="R78" s="346"/>
      <c r="S78" s="346"/>
      <c r="T78" s="259"/>
      <c r="U78" s="259"/>
      <c r="V78" s="259"/>
      <c r="W78" s="259"/>
      <c r="X78" s="259"/>
      <c r="BZ78" s="381"/>
      <c r="CA78" s="381"/>
      <c r="CB78" s="381"/>
      <c r="CC78" s="381"/>
      <c r="CD78" s="381"/>
      <c r="CE78" s="381"/>
      <c r="CF78" s="381"/>
      <c r="CG78" s="381"/>
      <c r="CH78" s="381"/>
      <c r="CI78" s="381"/>
      <c r="DE78" s="256"/>
      <c r="DF78" s="470"/>
      <c r="DG78" s="256"/>
      <c r="DH78" s="256"/>
      <c r="DI78" s="256"/>
      <c r="DJ78" s="256"/>
      <c r="DK78" s="256"/>
      <c r="DL78" s="256"/>
      <c r="DM78" s="256"/>
      <c r="DN78" s="256"/>
      <c r="DO78" s="256"/>
      <c r="DP78" s="256"/>
      <c r="DQ78" s="256"/>
      <c r="DR78" s="256"/>
      <c r="DS78" s="256"/>
      <c r="DT78" s="256"/>
      <c r="DU78" s="256"/>
      <c r="DV78" s="256"/>
      <c r="DW78" s="256"/>
      <c r="DX78" s="256"/>
      <c r="DY78" s="256"/>
      <c r="DZ78" s="256"/>
      <c r="EA78" s="256"/>
      <c r="EB78" s="256"/>
      <c r="EC78" s="256"/>
      <c r="ED78" s="256"/>
      <c r="EE78" s="256"/>
      <c r="EF78" s="256"/>
      <c r="EG78" s="256"/>
      <c r="EH78" s="256"/>
      <c r="EQ78" s="256"/>
      <c r="ER78" s="256"/>
      <c r="ES78" s="256"/>
      <c r="ET78" s="256"/>
      <c r="EU78" s="256"/>
    </row>
    <row r="79" spans="12:151" ht="15" customHeight="1">
      <c r="L79" s="254"/>
      <c r="N79" s="346"/>
      <c r="O79" s="346"/>
      <c r="P79" s="346"/>
      <c r="Q79" s="346"/>
      <c r="R79" s="346"/>
      <c r="S79" s="346"/>
      <c r="DE79" s="256"/>
      <c r="DF79" s="470"/>
      <c r="DG79" s="256"/>
      <c r="DH79" s="256"/>
      <c r="DI79" s="256"/>
      <c r="DJ79" s="256"/>
      <c r="DK79" s="256"/>
      <c r="DL79" s="256"/>
      <c r="DM79" s="256"/>
      <c r="DN79" s="256"/>
      <c r="DO79" s="256"/>
      <c r="DP79" s="256"/>
      <c r="DQ79" s="256"/>
      <c r="DR79" s="256"/>
      <c r="DS79" s="256"/>
      <c r="DT79" s="256"/>
      <c r="DU79" s="256"/>
      <c r="DV79" s="256"/>
      <c r="DW79" s="256"/>
      <c r="DX79" s="256"/>
      <c r="DY79" s="256"/>
      <c r="DZ79" s="256"/>
      <c r="EA79" s="256"/>
      <c r="EB79" s="256"/>
      <c r="EC79" s="256"/>
      <c r="ED79" s="256"/>
      <c r="EE79" s="256"/>
      <c r="EF79" s="256"/>
      <c r="EG79" s="256"/>
      <c r="EH79" s="256"/>
      <c r="EQ79" s="256"/>
      <c r="ER79" s="256"/>
      <c r="ES79" s="256"/>
      <c r="ET79" s="256"/>
      <c r="EU79" s="256"/>
    </row>
    <row r="80" spans="12:151" ht="15" customHeight="1">
      <c r="L80" s="254"/>
      <c r="N80" s="346"/>
      <c r="O80" s="346"/>
      <c r="P80" s="346"/>
      <c r="Q80" s="346"/>
      <c r="R80" s="346"/>
      <c r="S80" s="346"/>
      <c r="DE80" s="256"/>
      <c r="DF80" s="470"/>
      <c r="DG80" s="256"/>
      <c r="DH80" s="256"/>
      <c r="DI80" s="256"/>
      <c r="DJ80" s="256"/>
      <c r="DK80" s="256"/>
      <c r="DL80" s="256"/>
      <c r="DM80" s="256"/>
      <c r="DN80" s="256"/>
      <c r="DO80" s="256"/>
      <c r="DP80" s="256"/>
      <c r="DQ80" s="256"/>
      <c r="DR80" s="256"/>
      <c r="DS80" s="256"/>
      <c r="DT80" s="256"/>
      <c r="DU80" s="256"/>
      <c r="DV80" s="256"/>
      <c r="DW80" s="256"/>
      <c r="DX80" s="256"/>
      <c r="DY80" s="256"/>
      <c r="DZ80" s="256"/>
      <c r="EA80" s="256"/>
      <c r="EB80" s="256"/>
      <c r="EC80" s="256"/>
      <c r="ED80" s="256"/>
      <c r="EE80" s="256"/>
      <c r="EF80" s="256"/>
      <c r="EG80" s="256"/>
      <c r="EH80" s="256"/>
      <c r="EQ80" s="256"/>
      <c r="ER80" s="256"/>
      <c r="ES80" s="256"/>
      <c r="ET80" s="256"/>
      <c r="EU80" s="256"/>
    </row>
    <row r="81" spans="12:151" ht="15" customHeight="1">
      <c r="L81" s="254"/>
      <c r="N81" s="346"/>
      <c r="O81" s="346"/>
      <c r="P81" s="346"/>
      <c r="Q81" s="346"/>
      <c r="R81" s="346"/>
      <c r="S81" s="346"/>
      <c r="DE81" s="256"/>
      <c r="DF81" s="470"/>
      <c r="DG81" s="256"/>
      <c r="DH81" s="256"/>
      <c r="DI81" s="256"/>
      <c r="DJ81" s="256"/>
      <c r="DK81" s="256"/>
      <c r="DL81" s="256"/>
      <c r="DM81" s="256"/>
      <c r="DN81" s="256"/>
      <c r="DO81" s="256"/>
      <c r="DP81" s="256"/>
      <c r="DQ81" s="256"/>
      <c r="DR81" s="256"/>
      <c r="DS81" s="256"/>
      <c r="DT81" s="256"/>
      <c r="DU81" s="256"/>
      <c r="DV81" s="256"/>
      <c r="DW81" s="256"/>
      <c r="DX81" s="256"/>
      <c r="DY81" s="256"/>
      <c r="DZ81" s="256"/>
      <c r="EA81" s="256"/>
      <c r="EB81" s="256"/>
      <c r="EC81" s="256"/>
      <c r="ED81" s="256"/>
      <c r="EE81" s="256"/>
      <c r="EF81" s="256"/>
      <c r="EG81" s="256"/>
      <c r="EH81" s="256"/>
      <c r="EQ81" s="256"/>
      <c r="ER81" s="256"/>
      <c r="ES81" s="256"/>
      <c r="ET81" s="256"/>
      <c r="EU81" s="256"/>
    </row>
    <row r="82" spans="12:151" ht="15" customHeight="1">
      <c r="L82" s="254"/>
      <c r="N82" s="346"/>
      <c r="O82" s="346"/>
      <c r="P82" s="346"/>
      <c r="Q82" s="346"/>
      <c r="R82" s="346"/>
      <c r="S82" s="346"/>
      <c r="DE82" s="256"/>
      <c r="DF82" s="470"/>
      <c r="DG82" s="256"/>
      <c r="DH82" s="256"/>
      <c r="DI82" s="256"/>
      <c r="DJ82" s="256"/>
      <c r="DK82" s="256"/>
      <c r="DL82" s="256"/>
      <c r="DM82" s="256"/>
      <c r="DN82" s="256"/>
      <c r="DO82" s="256"/>
      <c r="DP82" s="256"/>
      <c r="DQ82" s="256"/>
      <c r="DR82" s="256"/>
      <c r="DS82" s="256"/>
      <c r="DT82" s="256"/>
      <c r="DU82" s="256"/>
      <c r="DV82" s="256"/>
      <c r="DW82" s="256"/>
      <c r="DX82" s="256"/>
      <c r="DY82" s="256"/>
      <c r="DZ82" s="256"/>
      <c r="EA82" s="256"/>
      <c r="EB82" s="256"/>
      <c r="EC82" s="256"/>
      <c r="ED82" s="256"/>
      <c r="EE82" s="256"/>
      <c r="EF82" s="256"/>
      <c r="EG82" s="256"/>
      <c r="EH82" s="256"/>
      <c r="EQ82" s="256"/>
      <c r="ER82" s="256"/>
      <c r="ES82" s="256"/>
      <c r="ET82" s="256"/>
      <c r="EU82" s="256"/>
    </row>
    <row r="83" spans="12:151" ht="15" customHeight="1">
      <c r="L83" s="254"/>
      <c r="N83" s="346"/>
      <c r="O83" s="346"/>
      <c r="P83" s="346"/>
      <c r="Q83" s="346"/>
      <c r="R83" s="346"/>
      <c r="S83" s="346"/>
      <c r="EQ83" s="256"/>
      <c r="ER83" s="256"/>
      <c r="ES83" s="256"/>
      <c r="ET83" s="256"/>
      <c r="EU83" s="256"/>
    </row>
    <row r="84" spans="12:151" ht="15" customHeight="1">
      <c r="L84" s="254"/>
      <c r="N84" s="346"/>
      <c r="O84" s="346"/>
      <c r="P84" s="346"/>
      <c r="Q84" s="346"/>
      <c r="R84" s="346"/>
      <c r="S84" s="346"/>
    </row>
    <row r="85" spans="12:151" ht="15" customHeight="1">
      <c r="L85" s="254"/>
      <c r="N85" s="346"/>
      <c r="O85" s="346"/>
      <c r="P85" s="346"/>
      <c r="Q85" s="346"/>
      <c r="R85" s="346"/>
      <c r="S85" s="346"/>
    </row>
    <row r="86" spans="12:151" ht="15" customHeight="1">
      <c r="L86" s="254"/>
      <c r="N86" s="346"/>
      <c r="O86" s="346"/>
      <c r="P86" s="346"/>
      <c r="Q86" s="346"/>
      <c r="R86" s="346"/>
      <c r="S86" s="346"/>
    </row>
    <row r="87" spans="12:151" ht="15" customHeight="1">
      <c r="L87" s="254"/>
      <c r="N87" s="346"/>
      <c r="O87" s="346"/>
      <c r="P87" s="346"/>
      <c r="Q87" s="346"/>
      <c r="R87" s="346"/>
      <c r="S87" s="346"/>
      <c r="DE87" s="256"/>
      <c r="DF87" s="470"/>
      <c r="DG87" s="256"/>
      <c r="DH87" s="256"/>
      <c r="DI87" s="256"/>
      <c r="DJ87" s="256"/>
      <c r="DK87" s="256"/>
      <c r="DL87" s="256"/>
      <c r="DM87" s="256"/>
      <c r="DN87" s="256"/>
      <c r="DO87" s="256"/>
      <c r="DP87" s="256"/>
      <c r="DQ87" s="256"/>
      <c r="DR87" s="256"/>
      <c r="DS87" s="256"/>
      <c r="DT87" s="256"/>
      <c r="DU87" s="256"/>
      <c r="DV87" s="256"/>
      <c r="DW87" s="256"/>
      <c r="DX87" s="256"/>
      <c r="DY87" s="256"/>
      <c r="DZ87" s="256"/>
      <c r="EA87" s="256"/>
      <c r="EB87" s="256"/>
      <c r="EC87" s="256"/>
      <c r="ED87" s="256"/>
      <c r="EE87" s="256"/>
      <c r="EF87" s="256"/>
      <c r="EG87" s="256"/>
      <c r="EH87" s="256"/>
    </row>
    <row r="88" spans="12:151" ht="15" customHeight="1">
      <c r="L88" s="254"/>
      <c r="N88" s="346"/>
      <c r="O88" s="346"/>
      <c r="P88" s="346"/>
      <c r="Q88" s="346"/>
      <c r="R88" s="346"/>
      <c r="S88" s="346"/>
      <c r="BP88" s="256"/>
      <c r="DE88" s="256"/>
      <c r="DF88" s="470"/>
      <c r="DG88" s="256"/>
      <c r="DH88" s="256"/>
      <c r="DI88" s="256"/>
      <c r="DJ88" s="256"/>
      <c r="DK88" s="256"/>
      <c r="DL88" s="256"/>
      <c r="DM88" s="256"/>
      <c r="DN88" s="256"/>
      <c r="DO88" s="256"/>
      <c r="DP88" s="256"/>
      <c r="DQ88" s="256"/>
      <c r="DR88" s="256"/>
      <c r="DS88" s="256"/>
      <c r="DT88" s="256"/>
      <c r="DU88" s="256"/>
      <c r="DV88" s="256"/>
      <c r="DW88" s="256"/>
      <c r="DX88" s="256"/>
      <c r="DY88" s="256"/>
      <c r="DZ88" s="256"/>
      <c r="EA88" s="256"/>
      <c r="EB88" s="256"/>
      <c r="EC88" s="256"/>
      <c r="ED88" s="256"/>
      <c r="EE88" s="256"/>
      <c r="EF88" s="256"/>
      <c r="EG88" s="256"/>
      <c r="EH88" s="256"/>
    </row>
    <row r="89" spans="12:151" ht="15" customHeight="1">
      <c r="L89" s="254"/>
      <c r="N89" s="346"/>
      <c r="O89" s="346"/>
      <c r="P89" s="346"/>
      <c r="Q89" s="346"/>
      <c r="R89" s="346"/>
      <c r="S89" s="346"/>
      <c r="BP89" s="256"/>
      <c r="DE89" s="256"/>
      <c r="DF89" s="470"/>
      <c r="DG89" s="256"/>
      <c r="DH89" s="256"/>
      <c r="DI89" s="256"/>
      <c r="DJ89" s="256"/>
      <c r="DK89" s="256"/>
      <c r="DN89" s="256"/>
      <c r="DO89" s="256"/>
      <c r="DP89" s="256"/>
      <c r="DQ89" s="256"/>
      <c r="DR89" s="256"/>
      <c r="DS89" s="256"/>
      <c r="DT89" s="256"/>
      <c r="DU89" s="256"/>
      <c r="DV89" s="256"/>
      <c r="DW89" s="256"/>
      <c r="DX89" s="256"/>
      <c r="DY89" s="256"/>
      <c r="DZ89" s="256"/>
      <c r="EA89" s="256"/>
      <c r="EB89" s="256"/>
      <c r="EC89" s="256"/>
      <c r="ED89" s="256"/>
      <c r="EE89" s="256"/>
      <c r="EF89" s="256"/>
      <c r="EG89" s="256"/>
      <c r="EH89" s="256"/>
    </row>
    <row r="90" spans="12:151" ht="15" customHeight="1">
      <c r="L90" s="254"/>
      <c r="N90" s="346"/>
      <c r="O90" s="346"/>
      <c r="P90" s="346"/>
      <c r="Q90" s="346"/>
      <c r="R90" s="346"/>
      <c r="S90" s="346"/>
      <c r="BP90" s="256"/>
      <c r="DE90" s="256"/>
      <c r="DF90" s="470"/>
      <c r="DG90" s="256"/>
      <c r="DH90" s="256"/>
      <c r="DI90" s="256"/>
      <c r="DJ90" s="256"/>
      <c r="DK90" s="256"/>
      <c r="DN90" s="256"/>
      <c r="DO90" s="256"/>
      <c r="DP90" s="256"/>
      <c r="DQ90" s="256"/>
      <c r="DR90" s="256"/>
      <c r="DS90" s="256"/>
      <c r="DT90" s="256"/>
      <c r="DU90" s="256"/>
      <c r="DV90" s="256"/>
      <c r="DW90" s="256"/>
      <c r="DX90" s="256"/>
      <c r="DY90" s="256"/>
      <c r="DZ90" s="256"/>
      <c r="EA90" s="256"/>
      <c r="EB90" s="256"/>
      <c r="EC90" s="256"/>
      <c r="ED90" s="256"/>
      <c r="EE90" s="256"/>
      <c r="EF90" s="256"/>
      <c r="EG90" s="256"/>
      <c r="EH90" s="256"/>
    </row>
    <row r="91" spans="12:151" ht="15" customHeight="1">
      <c r="L91" s="254"/>
      <c r="N91" s="346"/>
      <c r="O91" s="346"/>
      <c r="P91" s="346"/>
      <c r="Q91" s="346"/>
      <c r="R91" s="346"/>
      <c r="S91" s="346"/>
      <c r="BP91" s="256"/>
      <c r="DE91" s="256"/>
      <c r="DF91" s="470"/>
      <c r="DG91" s="256"/>
      <c r="DH91" s="256"/>
      <c r="DI91" s="256"/>
      <c r="DJ91" s="256"/>
      <c r="DK91" s="256"/>
      <c r="DN91" s="256"/>
      <c r="DO91" s="256"/>
      <c r="DP91" s="256"/>
      <c r="DQ91" s="256"/>
      <c r="DR91" s="256"/>
      <c r="DS91" s="256"/>
      <c r="DT91" s="256"/>
      <c r="DU91" s="256"/>
      <c r="DV91" s="256"/>
      <c r="DW91" s="256"/>
      <c r="DX91" s="256"/>
      <c r="DY91" s="256"/>
      <c r="DZ91" s="256"/>
      <c r="EA91" s="256"/>
      <c r="EB91" s="256"/>
      <c r="EC91" s="256"/>
      <c r="ED91" s="256"/>
      <c r="EE91" s="256"/>
      <c r="EF91" s="256"/>
      <c r="EG91" s="256"/>
      <c r="EH91" s="256"/>
    </row>
    <row r="92" spans="12:151" ht="15" customHeight="1">
      <c r="L92" s="254"/>
      <c r="N92" s="346"/>
      <c r="O92" s="346"/>
      <c r="P92" s="346"/>
      <c r="Q92" s="346"/>
      <c r="R92" s="346"/>
      <c r="S92" s="346"/>
      <c r="BP92" s="256"/>
      <c r="DE92" s="256"/>
      <c r="DF92" s="470"/>
      <c r="DG92" s="256"/>
      <c r="DH92" s="256"/>
      <c r="DI92" s="256"/>
      <c r="DJ92" s="256"/>
      <c r="DK92" s="256"/>
      <c r="DL92" s="256"/>
      <c r="DP92" s="256"/>
      <c r="DQ92" s="256"/>
      <c r="DR92" s="256"/>
      <c r="DS92" s="256"/>
      <c r="DT92" s="256"/>
      <c r="DU92" s="256"/>
      <c r="DV92" s="256"/>
      <c r="DW92" s="256"/>
      <c r="DX92" s="256"/>
      <c r="DY92" s="256"/>
      <c r="DZ92" s="256"/>
      <c r="EA92" s="256"/>
      <c r="EB92" s="256"/>
      <c r="EC92" s="256"/>
      <c r="ED92" s="256"/>
      <c r="EE92" s="256"/>
      <c r="EF92" s="256"/>
      <c r="EG92" s="256"/>
      <c r="EH92" s="256"/>
    </row>
    <row r="93" spans="12:151" ht="15" customHeight="1">
      <c r="L93" s="254"/>
      <c r="N93" s="346"/>
      <c r="O93" s="346"/>
      <c r="P93" s="346"/>
      <c r="Q93" s="346"/>
      <c r="R93" s="346"/>
      <c r="S93" s="346"/>
      <c r="BP93" s="256"/>
      <c r="DE93" s="256"/>
      <c r="DF93" s="470"/>
      <c r="DG93" s="256"/>
      <c r="DH93" s="256"/>
      <c r="DI93" s="256"/>
      <c r="DJ93" s="256"/>
      <c r="DK93" s="256"/>
      <c r="DL93" s="256"/>
      <c r="DP93" s="256"/>
      <c r="DQ93" s="256"/>
      <c r="DR93" s="256"/>
      <c r="DS93" s="256"/>
      <c r="DT93" s="256"/>
      <c r="DU93" s="256"/>
      <c r="DV93" s="256"/>
      <c r="DW93" s="256"/>
      <c r="DX93" s="256"/>
      <c r="DY93" s="256"/>
      <c r="DZ93" s="256"/>
      <c r="EA93" s="256"/>
      <c r="EB93" s="256"/>
      <c r="EC93" s="256"/>
      <c r="ED93" s="256"/>
      <c r="EE93" s="256"/>
      <c r="EF93" s="256"/>
      <c r="EG93" s="256"/>
      <c r="EH93" s="256"/>
    </row>
    <row r="94" spans="12:151" ht="15" customHeight="1">
      <c r="L94" s="254"/>
      <c r="N94" s="346"/>
      <c r="O94" s="346"/>
      <c r="P94" s="346"/>
      <c r="Q94" s="346"/>
      <c r="R94" s="346"/>
      <c r="S94" s="346"/>
      <c r="BP94" s="256"/>
      <c r="DE94" s="256"/>
      <c r="DF94" s="470"/>
      <c r="DG94" s="256"/>
      <c r="DH94" s="256"/>
      <c r="DI94" s="256"/>
      <c r="DJ94" s="256"/>
      <c r="DK94" s="256"/>
      <c r="DL94" s="256"/>
      <c r="DP94" s="256"/>
      <c r="DQ94" s="256"/>
      <c r="DR94" s="256"/>
      <c r="DS94" s="256"/>
      <c r="DT94" s="256"/>
      <c r="DU94" s="256"/>
      <c r="DV94" s="256"/>
      <c r="DW94" s="256"/>
      <c r="DX94" s="256"/>
      <c r="DY94" s="256"/>
      <c r="DZ94" s="256"/>
      <c r="EA94" s="256"/>
      <c r="EB94" s="256"/>
      <c r="EC94" s="256"/>
      <c r="ED94" s="256"/>
      <c r="EE94" s="256"/>
      <c r="EF94" s="256"/>
      <c r="EG94" s="256"/>
      <c r="EH94" s="256"/>
    </row>
    <row r="95" spans="12:151" ht="15" customHeight="1">
      <c r="L95" s="254"/>
      <c r="N95" s="346"/>
      <c r="O95" s="346"/>
      <c r="P95" s="346"/>
      <c r="Q95" s="346"/>
      <c r="R95" s="346"/>
      <c r="S95" s="346"/>
      <c r="BP95" s="256"/>
      <c r="DE95" s="256"/>
      <c r="DF95" s="470"/>
      <c r="DG95" s="256"/>
      <c r="DH95" s="256"/>
      <c r="DI95" s="256"/>
      <c r="DJ95" s="256"/>
      <c r="DK95" s="256"/>
      <c r="DL95" s="256"/>
      <c r="DM95" s="256"/>
      <c r="DN95" s="256"/>
      <c r="DO95" s="256"/>
      <c r="DP95" s="256"/>
      <c r="DQ95" s="256"/>
      <c r="DR95" s="256"/>
      <c r="DS95" s="256"/>
      <c r="DT95" s="256"/>
      <c r="DU95" s="256"/>
      <c r="DV95" s="256"/>
      <c r="DW95" s="256"/>
      <c r="DX95" s="256"/>
      <c r="DY95" s="256"/>
      <c r="DZ95" s="256"/>
      <c r="EA95" s="256"/>
      <c r="EB95" s="256"/>
      <c r="EC95" s="256"/>
      <c r="ED95" s="256"/>
      <c r="EE95" s="256"/>
      <c r="EF95" s="256"/>
      <c r="EG95" s="256"/>
      <c r="EH95" s="256"/>
    </row>
    <row r="96" spans="12:151" ht="15" customHeight="1">
      <c r="L96" s="254"/>
      <c r="N96" s="346"/>
      <c r="O96" s="346"/>
      <c r="P96" s="346"/>
      <c r="Q96" s="346"/>
      <c r="R96" s="346"/>
      <c r="S96" s="346"/>
      <c r="BP96" s="256"/>
      <c r="DE96" s="256"/>
      <c r="DF96" s="470"/>
      <c r="DG96" s="256"/>
      <c r="DH96" s="256"/>
      <c r="DI96" s="256"/>
      <c r="DJ96" s="256"/>
      <c r="DK96" s="256"/>
      <c r="DL96" s="256"/>
      <c r="DM96" s="256"/>
      <c r="DN96" s="256"/>
      <c r="DO96" s="256"/>
      <c r="DP96" s="256"/>
      <c r="DQ96" s="256"/>
      <c r="DR96" s="256"/>
      <c r="DS96" s="256"/>
      <c r="DT96" s="256"/>
      <c r="DU96" s="256"/>
      <c r="DV96" s="256"/>
      <c r="DW96" s="256"/>
      <c r="DX96" s="256"/>
      <c r="DY96" s="256"/>
      <c r="DZ96" s="256"/>
      <c r="EA96" s="256"/>
      <c r="EB96" s="256"/>
      <c r="EC96" s="256"/>
      <c r="ED96" s="256"/>
      <c r="EE96" s="256"/>
      <c r="EF96" s="256"/>
      <c r="EG96" s="256"/>
      <c r="EH96" s="256"/>
    </row>
    <row r="97" spans="12:138" ht="15" customHeight="1">
      <c r="L97" s="254"/>
      <c r="N97" s="346"/>
      <c r="O97" s="346"/>
      <c r="P97" s="346"/>
      <c r="Q97" s="346"/>
      <c r="R97" s="346"/>
      <c r="S97" s="346"/>
      <c r="BP97" s="256"/>
      <c r="DE97" s="256"/>
      <c r="DF97" s="470"/>
      <c r="DG97" s="256"/>
      <c r="DH97" s="256"/>
      <c r="DI97" s="256"/>
      <c r="DJ97" s="256"/>
      <c r="DK97" s="256"/>
      <c r="DL97" s="256"/>
      <c r="DM97" s="256"/>
      <c r="DN97" s="256"/>
      <c r="DO97" s="256"/>
      <c r="DP97" s="256"/>
      <c r="DQ97" s="256"/>
      <c r="DR97" s="256"/>
      <c r="DS97" s="256"/>
      <c r="DT97" s="256"/>
      <c r="DU97" s="256"/>
      <c r="DV97" s="256"/>
      <c r="DW97" s="256"/>
      <c r="DX97" s="256"/>
      <c r="DY97" s="256"/>
      <c r="DZ97" s="256"/>
      <c r="EA97" s="256"/>
      <c r="EB97" s="256"/>
      <c r="EC97" s="256"/>
      <c r="ED97" s="256"/>
      <c r="EE97" s="256"/>
      <c r="EF97" s="256"/>
      <c r="EG97" s="256"/>
      <c r="EH97" s="256"/>
    </row>
    <row r="98" spans="12:138" ht="15" customHeight="1">
      <c r="L98" s="254"/>
      <c r="N98" s="346"/>
      <c r="O98" s="346"/>
      <c r="P98" s="346"/>
      <c r="Q98" s="346"/>
      <c r="R98" s="346"/>
      <c r="S98" s="346"/>
      <c r="BP98" s="256"/>
      <c r="DE98" s="256"/>
      <c r="DF98" s="470"/>
      <c r="DG98" s="256"/>
      <c r="DH98" s="256"/>
      <c r="DI98" s="256"/>
      <c r="DJ98" s="256"/>
      <c r="DK98" s="256"/>
      <c r="DL98" s="256"/>
      <c r="DM98" s="256"/>
      <c r="DN98" s="256"/>
      <c r="DO98" s="256"/>
      <c r="DP98" s="256"/>
      <c r="DQ98" s="256"/>
      <c r="DR98" s="256"/>
      <c r="DS98" s="256"/>
      <c r="DT98" s="256"/>
      <c r="DU98" s="256"/>
      <c r="DV98" s="256"/>
      <c r="DW98" s="256"/>
      <c r="DX98" s="256"/>
      <c r="DY98" s="256"/>
      <c r="DZ98" s="256"/>
      <c r="EA98" s="256"/>
      <c r="EB98" s="256"/>
      <c r="EC98" s="256"/>
      <c r="ED98" s="256"/>
      <c r="EE98" s="256"/>
      <c r="EF98" s="256"/>
      <c r="EG98" s="256"/>
      <c r="EH98" s="256"/>
    </row>
    <row r="99" spans="12:138" ht="15" customHeight="1">
      <c r="L99" s="254"/>
      <c r="N99" s="346"/>
      <c r="O99" s="346"/>
      <c r="P99" s="346"/>
      <c r="Q99" s="346"/>
      <c r="R99" s="346"/>
      <c r="S99" s="346"/>
      <c r="BP99" s="256"/>
      <c r="DE99" s="256"/>
      <c r="DF99" s="470"/>
      <c r="DG99" s="256"/>
      <c r="DH99" s="256"/>
      <c r="DI99" s="256"/>
      <c r="DJ99" s="256"/>
      <c r="DK99" s="256"/>
      <c r="DL99" s="256"/>
      <c r="DM99" s="256"/>
      <c r="DN99" s="256"/>
      <c r="DO99" s="256"/>
      <c r="DP99" s="256"/>
      <c r="DQ99" s="256"/>
      <c r="DR99" s="256"/>
      <c r="DS99" s="256"/>
      <c r="DT99" s="256"/>
      <c r="DU99" s="256"/>
      <c r="DV99" s="256"/>
      <c r="DW99" s="256"/>
      <c r="DX99" s="256"/>
      <c r="DY99" s="256"/>
      <c r="DZ99" s="256"/>
      <c r="EA99" s="256"/>
      <c r="EB99" s="256"/>
      <c r="EC99" s="256"/>
      <c r="ED99" s="256"/>
      <c r="EE99" s="256"/>
      <c r="EF99" s="256"/>
      <c r="EG99" s="256"/>
      <c r="EH99" s="256"/>
    </row>
    <row r="100" spans="12:138" ht="15" customHeight="1">
      <c r="L100" s="254"/>
      <c r="N100" s="346"/>
      <c r="O100" s="346"/>
      <c r="P100" s="346"/>
      <c r="Q100" s="346"/>
      <c r="R100" s="346"/>
      <c r="S100" s="346"/>
      <c r="BP100" s="256"/>
      <c r="DE100" s="256"/>
      <c r="DF100" s="470"/>
      <c r="DG100" s="256"/>
      <c r="DH100" s="256"/>
      <c r="DI100" s="256"/>
      <c r="DJ100" s="256"/>
      <c r="DK100" s="256"/>
      <c r="DL100" s="256"/>
      <c r="DM100" s="256"/>
      <c r="DN100" s="256"/>
      <c r="DO100" s="256"/>
      <c r="DP100" s="256"/>
      <c r="DQ100" s="256"/>
      <c r="DR100" s="256"/>
      <c r="DS100" s="256"/>
      <c r="DT100" s="256"/>
      <c r="DU100" s="256"/>
      <c r="DV100" s="256"/>
      <c r="DW100" s="256"/>
      <c r="DX100" s="256"/>
      <c r="DY100" s="256"/>
      <c r="DZ100" s="256"/>
      <c r="EA100" s="256"/>
      <c r="EB100" s="256"/>
      <c r="EC100" s="256"/>
      <c r="ED100" s="256"/>
      <c r="EE100" s="256"/>
      <c r="EF100" s="256"/>
      <c r="EG100" s="256"/>
      <c r="EH100" s="256"/>
    </row>
    <row r="101" spans="12:138" ht="15" customHeight="1">
      <c r="L101" s="254"/>
      <c r="N101" s="346"/>
      <c r="O101" s="346"/>
      <c r="P101" s="346"/>
      <c r="Q101" s="346"/>
      <c r="R101" s="346"/>
      <c r="S101" s="346"/>
      <c r="BP101" s="256"/>
      <c r="DE101" s="256"/>
      <c r="DF101" s="470"/>
      <c r="DG101" s="256"/>
      <c r="DH101" s="256"/>
      <c r="DI101" s="256"/>
      <c r="DJ101" s="256"/>
      <c r="DK101" s="256"/>
      <c r="DL101" s="256"/>
      <c r="DM101" s="256"/>
      <c r="DN101" s="256"/>
      <c r="DO101" s="256"/>
      <c r="DP101" s="256"/>
      <c r="DQ101" s="256"/>
      <c r="DR101" s="256"/>
      <c r="DS101" s="256"/>
      <c r="DT101" s="256"/>
      <c r="DU101" s="256"/>
      <c r="DV101" s="256"/>
      <c r="DW101" s="256"/>
      <c r="DX101" s="256"/>
      <c r="DY101" s="256"/>
      <c r="DZ101" s="256"/>
      <c r="EA101" s="256"/>
      <c r="EB101" s="256"/>
      <c r="EC101" s="256"/>
      <c r="ED101" s="256"/>
      <c r="EE101" s="256"/>
      <c r="EF101" s="256"/>
      <c r="EG101" s="256"/>
      <c r="EH101" s="256"/>
    </row>
    <row r="102" spans="12:138" ht="15" customHeight="1">
      <c r="L102" s="254"/>
      <c r="N102" s="346"/>
      <c r="O102" s="346"/>
      <c r="P102" s="346"/>
      <c r="Q102" s="346"/>
      <c r="R102" s="346"/>
      <c r="S102" s="346"/>
      <c r="BP102" s="256"/>
      <c r="DE102" s="256"/>
      <c r="DF102" s="470"/>
      <c r="DG102" s="256"/>
      <c r="DH102" s="256"/>
      <c r="DI102" s="256"/>
      <c r="DJ102" s="256"/>
      <c r="DK102" s="256"/>
      <c r="DL102" s="256"/>
      <c r="DM102" s="256"/>
      <c r="DN102" s="256"/>
      <c r="DO102" s="256"/>
      <c r="DP102" s="256"/>
      <c r="DQ102" s="256"/>
      <c r="DR102" s="256"/>
      <c r="DS102" s="256"/>
      <c r="DT102" s="256"/>
      <c r="DU102" s="256"/>
      <c r="DV102" s="256"/>
      <c r="DW102" s="256"/>
      <c r="DX102" s="256"/>
      <c r="DY102" s="256"/>
      <c r="DZ102" s="256"/>
      <c r="EA102" s="256"/>
      <c r="EB102" s="256"/>
      <c r="EC102" s="256"/>
      <c r="ED102" s="256"/>
      <c r="EE102" s="256"/>
      <c r="EF102" s="256"/>
      <c r="EG102" s="256"/>
      <c r="EH102" s="256"/>
    </row>
    <row r="103" spans="12:138" ht="15" customHeight="1">
      <c r="L103" s="254"/>
      <c r="N103" s="346"/>
      <c r="O103" s="346"/>
      <c r="P103" s="346"/>
      <c r="Q103" s="346"/>
      <c r="R103" s="346"/>
      <c r="S103" s="346"/>
      <c r="BP103" s="256"/>
      <c r="DE103" s="256"/>
      <c r="DF103" s="470"/>
      <c r="DG103" s="256"/>
      <c r="DH103" s="256"/>
      <c r="DI103" s="256"/>
      <c r="DJ103" s="256"/>
      <c r="DK103" s="256"/>
      <c r="DL103" s="256"/>
      <c r="DM103" s="256"/>
      <c r="DN103" s="256"/>
      <c r="DO103" s="256"/>
      <c r="DP103" s="256"/>
      <c r="DQ103" s="256"/>
      <c r="DR103" s="256"/>
      <c r="DS103" s="256"/>
      <c r="DT103" s="256"/>
      <c r="DU103" s="256"/>
      <c r="DV103" s="256"/>
      <c r="DW103" s="256"/>
      <c r="DX103" s="256"/>
      <c r="DY103" s="256"/>
      <c r="DZ103" s="256"/>
      <c r="EA103" s="256"/>
      <c r="EB103" s="256"/>
      <c r="EC103" s="256"/>
      <c r="ED103" s="256"/>
      <c r="EE103" s="256"/>
      <c r="EF103" s="256"/>
      <c r="EG103" s="256"/>
      <c r="EH103" s="256"/>
    </row>
    <row r="104" spans="12:138" ht="15" customHeight="1">
      <c r="L104" s="254"/>
      <c r="N104" s="346"/>
      <c r="O104" s="346"/>
      <c r="P104" s="346"/>
      <c r="Q104" s="346"/>
      <c r="R104" s="346"/>
      <c r="S104" s="346"/>
      <c r="BP104" s="256"/>
      <c r="DE104" s="256"/>
      <c r="DF104" s="470"/>
      <c r="DG104" s="256"/>
      <c r="DH104" s="256"/>
      <c r="DI104" s="256"/>
      <c r="DJ104" s="256"/>
      <c r="DK104" s="256"/>
      <c r="DL104" s="256"/>
      <c r="DM104" s="256"/>
      <c r="DN104" s="256"/>
      <c r="DO104" s="256"/>
      <c r="DP104" s="256"/>
      <c r="DQ104" s="256"/>
      <c r="DR104" s="256"/>
      <c r="DS104" s="256"/>
      <c r="DT104" s="256"/>
      <c r="DU104" s="256"/>
      <c r="DV104" s="256"/>
      <c r="DW104" s="256"/>
      <c r="DX104" s="256"/>
      <c r="DY104" s="256"/>
      <c r="DZ104" s="256"/>
      <c r="EA104" s="256"/>
      <c r="EB104" s="256"/>
      <c r="EC104" s="256"/>
      <c r="ED104" s="256"/>
      <c r="EE104" s="256"/>
      <c r="EF104" s="256"/>
      <c r="EG104" s="256"/>
      <c r="EH104" s="256"/>
    </row>
    <row r="105" spans="12:138" ht="15" customHeight="1">
      <c r="L105" s="254"/>
      <c r="N105" s="346"/>
      <c r="O105" s="346"/>
      <c r="P105" s="346"/>
      <c r="Q105" s="346"/>
      <c r="R105" s="346"/>
      <c r="S105" s="346"/>
      <c r="BP105" s="256"/>
      <c r="DE105" s="256"/>
      <c r="DF105" s="470"/>
      <c r="DG105" s="256"/>
      <c r="DH105" s="256"/>
      <c r="DI105" s="256"/>
      <c r="DJ105" s="256"/>
      <c r="DK105" s="256"/>
      <c r="DL105" s="256"/>
      <c r="DM105" s="256"/>
      <c r="DN105" s="256"/>
      <c r="DO105" s="256"/>
      <c r="DP105" s="256"/>
      <c r="DQ105" s="256"/>
      <c r="DR105" s="256"/>
      <c r="DS105" s="256"/>
      <c r="DT105" s="256"/>
      <c r="DU105" s="256"/>
      <c r="DV105" s="256"/>
      <c r="DW105" s="256"/>
      <c r="DX105" s="256"/>
      <c r="DY105" s="256"/>
      <c r="DZ105" s="256"/>
      <c r="EA105" s="256"/>
      <c r="EB105" s="256"/>
      <c r="EC105" s="256"/>
      <c r="ED105" s="256"/>
      <c r="EE105" s="256"/>
      <c r="EF105" s="256"/>
      <c r="EG105" s="256"/>
      <c r="EH105" s="256"/>
    </row>
    <row r="106" spans="12:138" ht="15" customHeight="1">
      <c r="L106" s="254"/>
      <c r="N106" s="346"/>
      <c r="O106" s="346"/>
      <c r="P106" s="346"/>
      <c r="Q106" s="346"/>
      <c r="R106" s="346"/>
      <c r="S106" s="346"/>
      <c r="BP106" s="256"/>
      <c r="DE106" s="256"/>
      <c r="DF106" s="470"/>
      <c r="DG106" s="256"/>
      <c r="DH106" s="256"/>
      <c r="DI106" s="256"/>
      <c r="DJ106" s="256"/>
      <c r="DK106" s="256"/>
      <c r="DL106" s="256"/>
      <c r="DM106" s="256"/>
      <c r="DN106" s="256"/>
      <c r="DO106" s="256"/>
      <c r="DP106" s="256"/>
      <c r="DQ106" s="256"/>
      <c r="DR106" s="256"/>
      <c r="DS106" s="256"/>
      <c r="DT106" s="256"/>
      <c r="DU106" s="256"/>
      <c r="DV106" s="256"/>
      <c r="DW106" s="256"/>
      <c r="DX106" s="256"/>
      <c r="DY106" s="256"/>
      <c r="DZ106" s="256"/>
      <c r="EA106" s="256"/>
      <c r="EB106" s="256"/>
      <c r="EC106" s="256"/>
      <c r="ED106" s="256"/>
      <c r="EE106" s="256"/>
      <c r="EF106" s="256"/>
      <c r="EG106" s="256"/>
      <c r="EH106" s="256"/>
    </row>
    <row r="107" spans="12:138" ht="15" customHeight="1">
      <c r="L107" s="254"/>
      <c r="N107" s="346"/>
      <c r="O107" s="346"/>
      <c r="P107" s="346"/>
      <c r="Q107" s="346"/>
      <c r="R107" s="346"/>
      <c r="S107" s="346"/>
      <c r="BP107" s="256"/>
      <c r="DE107" s="256"/>
      <c r="DF107" s="470"/>
      <c r="DG107" s="256"/>
      <c r="DH107" s="256"/>
      <c r="DI107" s="256"/>
      <c r="DJ107" s="256"/>
      <c r="DK107" s="256"/>
      <c r="DL107" s="256"/>
      <c r="DM107" s="256"/>
      <c r="DN107" s="256"/>
      <c r="DO107" s="256"/>
      <c r="DP107" s="256"/>
      <c r="DQ107" s="256"/>
      <c r="DR107" s="256"/>
      <c r="DS107" s="256"/>
      <c r="DT107" s="256"/>
      <c r="DU107" s="256"/>
      <c r="DV107" s="256"/>
      <c r="DW107" s="256"/>
      <c r="DX107" s="256"/>
      <c r="DY107" s="256"/>
      <c r="DZ107" s="256"/>
      <c r="EA107" s="256"/>
      <c r="EB107" s="256"/>
      <c r="EC107" s="256"/>
      <c r="ED107" s="256"/>
      <c r="EE107" s="256"/>
      <c r="EF107" s="256"/>
      <c r="EG107" s="256"/>
      <c r="EH107" s="256"/>
    </row>
    <row r="108" spans="12:138" ht="15" customHeight="1">
      <c r="L108" s="254"/>
      <c r="N108" s="346"/>
      <c r="O108" s="346"/>
      <c r="P108" s="346"/>
      <c r="Q108" s="346"/>
      <c r="R108" s="346"/>
      <c r="S108" s="346"/>
      <c r="BP108" s="256"/>
      <c r="DE108" s="256"/>
      <c r="DF108" s="470"/>
      <c r="DG108" s="256"/>
      <c r="DH108" s="256"/>
      <c r="DI108" s="256"/>
      <c r="DJ108" s="256"/>
      <c r="DK108" s="256"/>
      <c r="DL108" s="256"/>
      <c r="DM108" s="256"/>
      <c r="DN108" s="256"/>
      <c r="DO108" s="256"/>
      <c r="DP108" s="256"/>
      <c r="DQ108" s="256"/>
      <c r="DR108" s="256"/>
      <c r="DS108" s="256"/>
      <c r="DT108" s="256"/>
      <c r="DU108" s="256"/>
      <c r="DV108" s="256"/>
      <c r="DW108" s="256"/>
      <c r="DX108" s="256"/>
      <c r="DY108" s="256"/>
      <c r="DZ108" s="256"/>
      <c r="EA108" s="256"/>
      <c r="EB108" s="256"/>
      <c r="EC108" s="256"/>
      <c r="ED108" s="256"/>
      <c r="EE108" s="256"/>
      <c r="EF108" s="256"/>
      <c r="EG108" s="256"/>
      <c r="EH108" s="256"/>
    </row>
    <row r="109" spans="12:138" ht="15" customHeight="1">
      <c r="L109" s="254"/>
      <c r="N109" s="346"/>
      <c r="O109" s="346"/>
      <c r="P109" s="346"/>
      <c r="Q109" s="346"/>
      <c r="R109" s="346"/>
      <c r="S109" s="346"/>
      <c r="BP109" s="256"/>
      <c r="DE109" s="256"/>
      <c r="DF109" s="470"/>
      <c r="DG109" s="256"/>
      <c r="DH109" s="256"/>
      <c r="DI109" s="256"/>
      <c r="DJ109" s="256"/>
      <c r="DK109" s="256"/>
      <c r="DL109" s="256"/>
      <c r="DM109" s="256"/>
      <c r="DN109" s="256"/>
      <c r="DO109" s="256"/>
      <c r="DP109" s="256"/>
      <c r="DQ109" s="256"/>
      <c r="DR109" s="256"/>
      <c r="DS109" s="256"/>
      <c r="DT109" s="256"/>
      <c r="DU109" s="256"/>
      <c r="DV109" s="256"/>
      <c r="DW109" s="256"/>
      <c r="DX109" s="256"/>
      <c r="DY109" s="256"/>
      <c r="DZ109" s="256"/>
      <c r="EA109" s="256"/>
      <c r="EB109" s="256"/>
      <c r="EC109" s="256"/>
      <c r="ED109" s="256"/>
      <c r="EE109" s="256"/>
      <c r="EF109" s="256"/>
      <c r="EG109" s="256"/>
      <c r="EH109" s="256"/>
    </row>
    <row r="110" spans="12:138" ht="15" customHeight="1">
      <c r="L110" s="254"/>
      <c r="N110" s="346"/>
      <c r="O110" s="346"/>
      <c r="P110" s="346"/>
      <c r="Q110" s="346"/>
      <c r="R110" s="346"/>
      <c r="S110" s="346"/>
      <c r="BP110" s="256"/>
      <c r="DE110" s="256"/>
      <c r="DF110" s="470"/>
      <c r="DG110" s="256"/>
      <c r="DH110" s="256"/>
      <c r="DI110" s="256"/>
      <c r="DJ110" s="256"/>
      <c r="DK110" s="256"/>
      <c r="DL110" s="256"/>
      <c r="DM110" s="256"/>
      <c r="DN110" s="256"/>
      <c r="DO110" s="256"/>
      <c r="DP110" s="256"/>
      <c r="DQ110" s="256"/>
      <c r="DR110" s="256"/>
      <c r="DS110" s="256"/>
      <c r="DT110" s="256"/>
      <c r="DU110" s="256"/>
      <c r="DV110" s="256"/>
      <c r="DW110" s="256"/>
      <c r="DX110" s="256"/>
      <c r="DY110" s="256"/>
      <c r="DZ110" s="256"/>
      <c r="EA110" s="256"/>
      <c r="EB110" s="256"/>
      <c r="EC110" s="256"/>
      <c r="ED110" s="256"/>
      <c r="EE110" s="256"/>
      <c r="EF110" s="256"/>
      <c r="EG110" s="256"/>
      <c r="EH110" s="256"/>
    </row>
    <row r="111" spans="12:138" ht="15" customHeight="1">
      <c r="N111" s="346"/>
      <c r="O111" s="346"/>
      <c r="P111" s="346"/>
      <c r="Q111" s="346"/>
      <c r="R111" s="346"/>
      <c r="S111" s="346"/>
      <c r="BP111" s="256"/>
      <c r="DE111" s="256"/>
      <c r="DF111" s="470"/>
      <c r="DG111" s="256"/>
      <c r="DH111" s="256"/>
      <c r="DI111" s="256"/>
      <c r="DJ111" s="256"/>
      <c r="DK111" s="256"/>
      <c r="DL111" s="256"/>
      <c r="DM111" s="256"/>
      <c r="DN111" s="256"/>
      <c r="DO111" s="256"/>
      <c r="DP111" s="256"/>
      <c r="DQ111" s="256"/>
      <c r="DR111" s="256"/>
      <c r="DS111" s="256"/>
      <c r="DT111" s="256"/>
      <c r="DU111" s="256"/>
      <c r="DV111" s="256"/>
      <c r="DW111" s="256"/>
      <c r="DX111" s="256"/>
      <c r="DY111" s="256"/>
      <c r="DZ111" s="256"/>
      <c r="EA111" s="256"/>
      <c r="EB111" s="256"/>
      <c r="EC111" s="256"/>
      <c r="ED111" s="256"/>
      <c r="EE111" s="256"/>
      <c r="EF111" s="256"/>
      <c r="EG111" s="256"/>
      <c r="EH111" s="256"/>
    </row>
    <row r="112" spans="12:138" ht="15" customHeight="1">
      <c r="N112" s="346"/>
      <c r="O112" s="346"/>
      <c r="P112" s="346"/>
      <c r="Q112" s="346"/>
      <c r="R112" s="346"/>
      <c r="S112" s="346"/>
      <c r="BP112" s="256"/>
      <c r="DE112" s="256"/>
      <c r="DF112" s="470"/>
      <c r="DG112" s="256"/>
      <c r="DH112" s="256"/>
      <c r="DI112" s="256"/>
      <c r="DJ112" s="256"/>
      <c r="DK112" s="256"/>
      <c r="DL112" s="256"/>
      <c r="DM112" s="256"/>
      <c r="DN112" s="256"/>
      <c r="DO112" s="256"/>
      <c r="DP112" s="256"/>
      <c r="DQ112" s="256"/>
      <c r="DR112" s="256"/>
      <c r="DS112" s="256"/>
      <c r="DT112" s="256"/>
      <c r="DU112" s="256"/>
      <c r="DV112" s="256"/>
      <c r="DW112" s="256"/>
      <c r="DX112" s="256"/>
      <c r="DY112" s="256"/>
      <c r="DZ112" s="256"/>
      <c r="EA112" s="256"/>
      <c r="EB112" s="256"/>
      <c r="EC112" s="256"/>
      <c r="ED112" s="256"/>
      <c r="EE112" s="256"/>
      <c r="EF112" s="256"/>
      <c r="EG112" s="256"/>
      <c r="EH112" s="256"/>
    </row>
    <row r="113" spans="14:138" ht="15" customHeight="1">
      <c r="N113" s="346"/>
      <c r="O113" s="346"/>
      <c r="P113" s="346"/>
      <c r="Q113" s="346"/>
      <c r="R113" s="346"/>
      <c r="S113" s="346"/>
      <c r="BP113" s="256"/>
      <c r="DE113" s="256"/>
      <c r="DF113" s="470"/>
      <c r="DG113" s="256"/>
      <c r="DH113" s="256"/>
      <c r="DI113" s="256"/>
      <c r="DJ113" s="256"/>
      <c r="DK113" s="256"/>
      <c r="DL113" s="256"/>
      <c r="DM113" s="256"/>
      <c r="DN113" s="256"/>
      <c r="DO113" s="256"/>
      <c r="DP113" s="256"/>
      <c r="DQ113" s="256"/>
      <c r="DR113" s="256"/>
      <c r="DS113" s="256"/>
      <c r="DT113" s="256"/>
      <c r="DU113" s="256"/>
      <c r="DV113" s="256"/>
      <c r="DW113" s="256"/>
      <c r="DX113" s="256"/>
      <c r="DY113" s="256"/>
      <c r="DZ113" s="256"/>
      <c r="EA113" s="256"/>
      <c r="EB113" s="256"/>
      <c r="EC113" s="256"/>
      <c r="ED113" s="256"/>
      <c r="EE113" s="256"/>
      <c r="EF113" s="256"/>
      <c r="EG113" s="256"/>
      <c r="EH113" s="256"/>
    </row>
    <row r="114" spans="14:138" ht="15" customHeight="1">
      <c r="N114" s="346"/>
      <c r="O114" s="346"/>
      <c r="P114" s="346"/>
      <c r="Q114" s="346"/>
      <c r="R114" s="346"/>
      <c r="S114" s="346"/>
      <c r="BP114" s="256"/>
      <c r="DE114" s="256"/>
      <c r="DF114" s="470"/>
      <c r="DG114" s="256"/>
      <c r="DH114" s="256"/>
      <c r="DI114" s="256"/>
      <c r="DJ114" s="256"/>
      <c r="DK114" s="256"/>
      <c r="DL114" s="256"/>
      <c r="DM114" s="256"/>
      <c r="DN114" s="256"/>
      <c r="DO114" s="256"/>
      <c r="DP114" s="256"/>
      <c r="DQ114" s="256"/>
      <c r="DR114" s="256"/>
      <c r="DS114" s="256"/>
      <c r="DT114" s="256"/>
      <c r="DU114" s="256"/>
      <c r="DV114" s="256"/>
      <c r="DW114" s="256"/>
      <c r="DX114" s="256"/>
      <c r="DY114" s="256"/>
      <c r="DZ114" s="256"/>
      <c r="EA114" s="256"/>
      <c r="EB114" s="256"/>
      <c r="EC114" s="256"/>
      <c r="ED114" s="256"/>
      <c r="EE114" s="256"/>
      <c r="EF114" s="256"/>
      <c r="EG114" s="256"/>
      <c r="EH114" s="256"/>
    </row>
    <row r="115" spans="14:138" ht="15" customHeight="1">
      <c r="N115" s="346"/>
      <c r="O115" s="346"/>
      <c r="P115" s="346"/>
      <c r="Q115" s="346"/>
      <c r="R115" s="346"/>
      <c r="S115" s="346"/>
      <c r="BP115" s="256"/>
      <c r="DE115" s="256"/>
      <c r="DF115" s="470"/>
      <c r="DG115" s="256"/>
      <c r="DH115" s="256"/>
      <c r="DI115" s="256"/>
      <c r="DJ115" s="256"/>
      <c r="DK115" s="256"/>
      <c r="DL115" s="256"/>
      <c r="DM115" s="256"/>
      <c r="DN115" s="256"/>
      <c r="DO115" s="256"/>
      <c r="DP115" s="256"/>
      <c r="DQ115" s="256"/>
      <c r="DR115" s="256"/>
      <c r="DS115" s="256"/>
      <c r="DT115" s="256"/>
      <c r="DU115" s="256"/>
      <c r="DV115" s="256"/>
      <c r="DW115" s="256"/>
      <c r="DX115" s="256"/>
      <c r="DY115" s="256"/>
      <c r="DZ115" s="256"/>
      <c r="EA115" s="256"/>
      <c r="EB115" s="256"/>
      <c r="EC115" s="256"/>
      <c r="ED115" s="256"/>
      <c r="EE115" s="256"/>
      <c r="EF115" s="256"/>
      <c r="EG115" s="256"/>
      <c r="EH115" s="256"/>
    </row>
    <row r="116" spans="14:138" ht="15" customHeight="1">
      <c r="N116" s="346"/>
      <c r="O116" s="346"/>
      <c r="P116" s="346"/>
      <c r="Q116" s="346"/>
      <c r="R116" s="346"/>
      <c r="S116" s="346"/>
      <c r="BP116" s="256"/>
      <c r="DE116" s="256"/>
      <c r="DF116" s="470"/>
      <c r="DG116" s="256"/>
      <c r="DH116" s="256"/>
      <c r="DI116" s="256"/>
      <c r="DJ116" s="256"/>
      <c r="DK116" s="256"/>
      <c r="DL116" s="256"/>
      <c r="DM116" s="256"/>
      <c r="DN116" s="256"/>
      <c r="DO116" s="256"/>
      <c r="DP116" s="256"/>
      <c r="DQ116" s="256"/>
      <c r="DR116" s="256"/>
      <c r="DS116" s="256"/>
      <c r="DT116" s="256"/>
      <c r="DU116" s="256"/>
      <c r="DV116" s="256"/>
      <c r="DW116" s="256"/>
      <c r="DX116" s="256"/>
      <c r="DY116" s="256"/>
      <c r="DZ116" s="256"/>
      <c r="EA116" s="256"/>
      <c r="EB116" s="256"/>
      <c r="EC116" s="256"/>
      <c r="ED116" s="256"/>
      <c r="EE116" s="256"/>
      <c r="EF116" s="256"/>
      <c r="EG116" s="256"/>
      <c r="EH116" s="256"/>
    </row>
    <row r="117" spans="14:138" ht="15" customHeight="1">
      <c r="N117" s="346"/>
      <c r="O117" s="346"/>
      <c r="P117" s="346"/>
      <c r="Q117" s="346"/>
      <c r="R117" s="346"/>
      <c r="S117" s="346"/>
      <c r="BP117" s="256"/>
      <c r="DE117" s="256"/>
      <c r="DF117" s="470"/>
      <c r="DG117" s="256"/>
      <c r="DH117" s="256"/>
      <c r="DI117" s="256"/>
      <c r="DJ117" s="256"/>
      <c r="DK117" s="256"/>
      <c r="DL117" s="256"/>
      <c r="DM117" s="256"/>
      <c r="DN117" s="256"/>
      <c r="DO117" s="256"/>
      <c r="DP117" s="256"/>
      <c r="DQ117" s="256"/>
      <c r="DR117" s="256"/>
      <c r="DS117" s="256"/>
      <c r="DT117" s="256"/>
      <c r="DU117" s="256"/>
      <c r="DV117" s="256"/>
      <c r="DW117" s="256"/>
      <c r="DX117" s="256"/>
      <c r="DY117" s="256"/>
      <c r="DZ117" s="256"/>
      <c r="EA117" s="256"/>
      <c r="EB117" s="256"/>
      <c r="EC117" s="256"/>
      <c r="ED117" s="256"/>
      <c r="EE117" s="256"/>
      <c r="EF117" s="256"/>
      <c r="EG117" s="256"/>
      <c r="EH117" s="256"/>
    </row>
    <row r="118" spans="14:138" ht="15" customHeight="1">
      <c r="N118" s="346"/>
      <c r="O118" s="346"/>
      <c r="P118" s="346"/>
      <c r="Q118" s="346"/>
      <c r="R118" s="346"/>
      <c r="S118" s="346"/>
      <c r="BP118" s="256"/>
      <c r="DE118" s="256"/>
      <c r="DF118" s="470"/>
      <c r="DG118" s="256"/>
      <c r="DH118" s="256"/>
      <c r="DI118" s="256"/>
      <c r="DJ118" s="256"/>
      <c r="DK118" s="256"/>
      <c r="DL118" s="256"/>
      <c r="DM118" s="256"/>
      <c r="DN118" s="256"/>
      <c r="DO118" s="256"/>
      <c r="DP118" s="256"/>
      <c r="DQ118" s="256"/>
      <c r="DR118" s="256"/>
      <c r="DS118" s="256"/>
      <c r="DT118" s="256"/>
      <c r="DU118" s="256"/>
      <c r="DV118" s="256"/>
      <c r="DW118" s="256"/>
      <c r="DX118" s="256"/>
      <c r="DY118" s="256"/>
      <c r="DZ118" s="256"/>
      <c r="EA118" s="256"/>
      <c r="EB118" s="256"/>
      <c r="EC118" s="256"/>
      <c r="ED118" s="256"/>
      <c r="EE118" s="256"/>
      <c r="EF118" s="256"/>
      <c r="EG118" s="256"/>
      <c r="EH118" s="256"/>
    </row>
    <row r="119" spans="14:138" ht="15" customHeight="1">
      <c r="N119" s="346"/>
      <c r="O119" s="346"/>
      <c r="P119" s="346"/>
      <c r="Q119" s="346"/>
      <c r="R119" s="346"/>
      <c r="S119" s="346"/>
      <c r="BP119" s="256"/>
    </row>
    <row r="120" spans="14:138" ht="15" customHeight="1">
      <c r="N120" s="346"/>
      <c r="O120" s="346"/>
      <c r="P120" s="346"/>
      <c r="Q120" s="346"/>
      <c r="R120" s="346"/>
      <c r="S120" s="346"/>
    </row>
    <row r="121" spans="14:138" ht="15" customHeight="1">
      <c r="N121" s="346"/>
      <c r="O121" s="346"/>
      <c r="Q121" s="346"/>
      <c r="R121" s="346"/>
      <c r="S121" s="346"/>
    </row>
    <row r="122" spans="14:138" ht="15" customHeight="1">
      <c r="N122" s="346"/>
      <c r="O122" s="346"/>
      <c r="Q122" s="346"/>
      <c r="R122" s="346"/>
      <c r="S122" s="346"/>
    </row>
    <row r="123" spans="14:138" ht="15" customHeight="1">
      <c r="N123" s="346"/>
      <c r="O123" s="346"/>
    </row>
    <row r="124" spans="14:138" ht="15" customHeight="1">
      <c r="N124" s="346"/>
      <c r="O124" s="346"/>
    </row>
    <row r="125" spans="14:138" ht="15" customHeight="1">
      <c r="N125" s="346"/>
      <c r="O125" s="346"/>
    </row>
    <row r="126" spans="14:138" ht="15" customHeight="1">
      <c r="N126" s="346"/>
      <c r="O126" s="346"/>
    </row>
    <row r="127" spans="14:138" ht="15" customHeight="1">
      <c r="N127" s="346"/>
      <c r="O127" s="346"/>
    </row>
    <row r="128" spans="14:138" ht="15" customHeight="1">
      <c r="N128" s="346"/>
      <c r="O128" s="346"/>
    </row>
  </sheetData>
  <conditionalFormatting sqref="E38">
    <cfRule type="cellIs" dxfId="10" priority="11" operator="notEqual">
      <formula>0</formula>
    </cfRule>
  </conditionalFormatting>
  <conditionalFormatting sqref="EF62:EH62 DF62:DZ62">
    <cfRule type="cellIs" dxfId="9" priority="9" stopIfTrue="1" operator="equal">
      <formula>"OK"</formula>
    </cfRule>
    <cfRule type="cellIs" dxfId="8" priority="10" stopIfTrue="1" operator="equal">
      <formula>"ERROR"</formula>
    </cfRule>
  </conditionalFormatting>
  <conditionalFormatting sqref="EE62">
    <cfRule type="cellIs" dxfId="7" priority="7" stopIfTrue="1" operator="equal">
      <formula>"OK"</formula>
    </cfRule>
    <cfRule type="cellIs" dxfId="6" priority="8" stopIfTrue="1" operator="equal">
      <formula>"ERROR"</formula>
    </cfRule>
  </conditionalFormatting>
  <conditionalFormatting sqref="EA62">
    <cfRule type="cellIs" dxfId="5" priority="5" stopIfTrue="1" operator="equal">
      <formula>"OK"</formula>
    </cfRule>
    <cfRule type="cellIs" dxfId="4" priority="6" stopIfTrue="1" operator="equal">
      <formula>"ERROR"</formula>
    </cfRule>
  </conditionalFormatting>
  <conditionalFormatting sqref="EB62">
    <cfRule type="cellIs" dxfId="3" priority="3" stopIfTrue="1" operator="equal">
      <formula>"OK"</formula>
    </cfRule>
    <cfRule type="cellIs" dxfId="2" priority="4" stopIfTrue="1" operator="equal">
      <formula>"ERROR"</formula>
    </cfRule>
  </conditionalFormatting>
  <conditionalFormatting sqref="EC62">
    <cfRule type="cellIs" dxfId="1" priority="1" stopIfTrue="1" operator="equal">
      <formula>"OK"</formula>
    </cfRule>
    <cfRule type="cellIs" dxfId="0" priority="2" stopIfTrue="1" operator="equal">
      <formula>"ERROR"</formula>
    </cfRule>
  </conditionalFormatting>
  <pageMargins left="0.7" right="0.7" top="0.75" bottom="0.75" header="0.3" footer="0.3"/>
  <pageSetup paperSize="119" orientation="landscape" horizontalDpi="1200" verticalDpi="1200" r:id="rId1"/>
  <headerFooter>
    <oddHeader>&amp;LAppendix E-2: Incremental Cost Calculation&amp;RClean Energy Implementation Plan</oddHeader>
    <oddFooter>&amp;LDECEMBER 17, 2021&amp;C&amp;P of &amp;N&amp;RPuget Sound Energy</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8"/>
  <sheetViews>
    <sheetView tabSelected="1" workbookViewId="0">
      <pane xSplit="1" topLeftCell="B1" activePane="topRight" state="frozen"/>
      <selection activeCell="E17" sqref="E17"/>
      <selection pane="topRight" activeCell="E17" sqref="E17"/>
    </sheetView>
  </sheetViews>
  <sheetFormatPr defaultColWidth="9.140625" defaultRowHeight="12.75"/>
  <cols>
    <col min="1" max="1" width="60.28515625" style="120" customWidth="1"/>
    <col min="2" max="2" width="9.140625" style="120"/>
    <col min="3" max="3" width="5.7109375" style="120" customWidth="1"/>
    <col min="4" max="5" width="14.85546875" style="120" customWidth="1"/>
    <col min="6" max="6" width="16.28515625" style="120" bestFit="1" customWidth="1"/>
    <col min="7" max="7" width="15" style="120" customWidth="1"/>
    <col min="8" max="8" width="15.28515625" style="120" bestFit="1" customWidth="1"/>
    <col min="9" max="9" width="5.7109375" style="120" customWidth="1"/>
    <col min="10" max="16384" width="9.140625" style="120"/>
  </cols>
  <sheetData>
    <row r="2" spans="1:10">
      <c r="D2" s="186">
        <v>2022</v>
      </c>
      <c r="E2" s="186">
        <v>2023</v>
      </c>
      <c r="F2" s="186">
        <v>2024</v>
      </c>
      <c r="G2" s="186">
        <v>2025</v>
      </c>
      <c r="H2" s="580" t="s">
        <v>15</v>
      </c>
      <c r="I2" s="186"/>
      <c r="J2" s="186" t="s">
        <v>4</v>
      </c>
    </row>
    <row r="3" spans="1:10">
      <c r="A3" s="186" t="s">
        <v>551</v>
      </c>
      <c r="B3" s="120" t="s">
        <v>559</v>
      </c>
      <c r="D3" s="171">
        <f>'3. Resource Incremental Cost'!B7</f>
        <v>626182760.9982028</v>
      </c>
      <c r="E3" s="171">
        <f>'3. Resource Incremental Cost'!C7</f>
        <v>653607451.92116642</v>
      </c>
      <c r="F3" s="171">
        <f>'3. Resource Incremental Cost'!D7</f>
        <v>651488539.7419014</v>
      </c>
      <c r="G3" s="171">
        <f>'3. Resource Incremental Cost'!E7</f>
        <v>650995287.03704405</v>
      </c>
      <c r="H3" s="159">
        <f>SUM(D3:G3)</f>
        <v>2582274039.6983147</v>
      </c>
      <c r="J3" s="120" t="s">
        <v>557</v>
      </c>
    </row>
    <row r="4" spans="1:10">
      <c r="A4" s="192" t="s">
        <v>553</v>
      </c>
      <c r="B4" s="120" t="s">
        <v>559</v>
      </c>
      <c r="D4" s="171"/>
      <c r="E4" s="171">
        <f>E3-D3</f>
        <v>27424690.922963619</v>
      </c>
      <c r="F4" s="171">
        <f t="shared" ref="F4:G4" si="0">F3-E3</f>
        <v>-2118912.1792650223</v>
      </c>
      <c r="G4" s="171">
        <f t="shared" si="0"/>
        <v>-493252.7048573494</v>
      </c>
      <c r="H4" s="159">
        <f>SUM(D4:G4)</f>
        <v>24812526.038841248</v>
      </c>
    </row>
    <row r="6" spans="1:10">
      <c r="A6" s="186" t="s">
        <v>552</v>
      </c>
      <c r="B6" s="120" t="s">
        <v>559</v>
      </c>
      <c r="D6" s="159">
        <f>D3+'7. Incremental Cost'!E22</f>
        <v>671499262.08752704</v>
      </c>
      <c r="E6" s="159">
        <f>E3+'7. Incremental Cost'!F22</f>
        <v>725789203.70058298</v>
      </c>
      <c r="F6" s="159">
        <f>F3+'7. Incremental Cost'!G22</f>
        <v>794099486.98055625</v>
      </c>
      <c r="G6" s="159">
        <f>G3+'7. Incremental Cost'!H22</f>
        <v>841193447.43474638</v>
      </c>
      <c r="H6" s="159">
        <f>SUM(D6:G6)</f>
        <v>3032581400.2034125</v>
      </c>
      <c r="J6" s="120" t="s">
        <v>558</v>
      </c>
    </row>
    <row r="7" spans="1:10">
      <c r="A7" s="192" t="s">
        <v>553</v>
      </c>
      <c r="B7" s="120" t="s">
        <v>559</v>
      </c>
      <c r="E7" s="159">
        <f>E6-D6</f>
        <v>54289941.613055944</v>
      </c>
      <c r="F7" s="159">
        <f t="shared" ref="F7:G7" si="1">F6-E6</f>
        <v>68310283.279973269</v>
      </c>
      <c r="G7" s="159">
        <f t="shared" si="1"/>
        <v>47093960.454190135</v>
      </c>
      <c r="H7" s="159">
        <f>SUM(D7:G7)</f>
        <v>169694185.34721935</v>
      </c>
    </row>
    <row r="8" spans="1:10">
      <c r="A8" s="192"/>
      <c r="E8" s="159"/>
      <c r="F8" s="159"/>
      <c r="G8" s="159"/>
      <c r="H8" s="159"/>
    </row>
    <row r="9" spans="1:10">
      <c r="A9" s="598" t="s">
        <v>571</v>
      </c>
      <c r="D9" s="159">
        <f>D6-D3</f>
        <v>45316501.089324236</v>
      </c>
      <c r="E9" s="159">
        <f t="shared" ref="E9:G9" si="2">E6-E3</f>
        <v>72181751.779416561</v>
      </c>
      <c r="F9" s="159">
        <f t="shared" si="2"/>
        <v>142610947.23865485</v>
      </c>
      <c r="G9" s="159">
        <f t="shared" si="2"/>
        <v>190198160.39770234</v>
      </c>
      <c r="H9" s="159"/>
    </row>
    <row r="10" spans="1:10">
      <c r="D10" s="575"/>
    </row>
    <row r="11" spans="1:10">
      <c r="A11" s="186" t="s">
        <v>554</v>
      </c>
      <c r="B11" s="120" t="s">
        <v>555</v>
      </c>
      <c r="D11" s="165">
        <v>19668370</v>
      </c>
      <c r="E11" s="165">
        <v>19509096</v>
      </c>
      <c r="F11" s="165">
        <v>19423911</v>
      </c>
      <c r="G11" s="165">
        <v>19201550</v>
      </c>
      <c r="J11" s="120" t="s">
        <v>556</v>
      </c>
    </row>
    <row r="13" spans="1:10">
      <c r="A13" s="192" t="s">
        <v>569</v>
      </c>
      <c r="B13" s="120" t="s">
        <v>560</v>
      </c>
      <c r="E13" s="576">
        <f>E4/(E11*1000)</f>
        <v>1.4057386832769503E-3</v>
      </c>
      <c r="F13" s="576">
        <f t="shared" ref="F13:G13" si="3">F4/(F11*1000)</f>
        <v>-1.090878237274163E-4</v>
      </c>
      <c r="G13" s="576">
        <f t="shared" si="3"/>
        <v>-2.5688171259994605E-5</v>
      </c>
      <c r="H13" s="577">
        <f>SUM(D13:G13)</f>
        <v>1.2709626882895396E-3</v>
      </c>
    </row>
    <row r="14" spans="1:10">
      <c r="A14" s="192" t="s">
        <v>570</v>
      </c>
      <c r="B14" s="120" t="s">
        <v>560</v>
      </c>
      <c r="E14" s="578">
        <f>E7/(E11*1000)</f>
        <v>2.7828015000313671E-3</v>
      </c>
      <c r="F14" s="578">
        <f t="shared" ref="F14:G14" si="4">F7/(F11*1000)</f>
        <v>3.5168140587121342E-3</v>
      </c>
      <c r="G14" s="578">
        <f t="shared" si="4"/>
        <v>2.4526124429637263E-3</v>
      </c>
      <c r="H14" s="577">
        <f>SUM(D14:G14)</f>
        <v>8.7522280017072272E-3</v>
      </c>
    </row>
    <row r="15" spans="1:10">
      <c r="A15" s="192" t="s">
        <v>189</v>
      </c>
      <c r="E15" s="579">
        <f>E14-E13</f>
        <v>1.3770628167544168E-3</v>
      </c>
      <c r="F15" s="579">
        <f t="shared" ref="F15:G15" si="5">F14-F13</f>
        <v>3.6259018824395506E-3</v>
      </c>
      <c r="G15" s="579">
        <f t="shared" si="5"/>
        <v>2.4783006142237211E-3</v>
      </c>
      <c r="H15" s="577">
        <f>SUM(D15:G15)</f>
        <v>7.4812653134176885E-3</v>
      </c>
    </row>
    <row r="16" spans="1:10">
      <c r="H16" s="577"/>
    </row>
    <row r="17" spans="1:10">
      <c r="A17" s="598" t="s">
        <v>561</v>
      </c>
      <c r="B17" s="120" t="s">
        <v>555</v>
      </c>
      <c r="D17" s="181">
        <v>9.9948521430923449</v>
      </c>
      <c r="E17" s="181">
        <v>9.7865706723537595</v>
      </c>
      <c r="F17" s="181">
        <v>9.6858142144377197</v>
      </c>
      <c r="G17" s="181">
        <v>9.5468980615135539</v>
      </c>
      <c r="H17" s="577">
        <f>SUM(D17:G17)</f>
        <v>39.014135091397378</v>
      </c>
      <c r="J17" s="120" t="s">
        <v>565</v>
      </c>
    </row>
    <row r="18" spans="1:10">
      <c r="A18" s="192" t="s">
        <v>562</v>
      </c>
      <c r="B18" s="120" t="s">
        <v>559</v>
      </c>
      <c r="E18" s="169">
        <f>E$13*1000*E17</f>
        <v>13.757360970751392</v>
      </c>
      <c r="F18" s="169">
        <f t="shared" ref="F18:G18" si="6">F$13*1000*F17</f>
        <v>-1.0566043936810852</v>
      </c>
      <c r="G18" s="169">
        <f t="shared" si="6"/>
        <v>-0.24524235240587069</v>
      </c>
      <c r="H18" s="577">
        <f>SUM(D18:G18)</f>
        <v>12.455514224664437</v>
      </c>
    </row>
    <row r="19" spans="1:10">
      <c r="A19" s="192" t="s">
        <v>563</v>
      </c>
      <c r="B19" s="120" t="s">
        <v>559</v>
      </c>
      <c r="E19" s="169">
        <f>E$14*1000*E17</f>
        <v>27.234083547189027</v>
      </c>
      <c r="F19" s="169">
        <f t="shared" ref="F19:G19" si="7">F$14*1000*F17</f>
        <v>34.0632075994084</v>
      </c>
      <c r="G19" s="169">
        <f t="shared" si="7"/>
        <v>23.414840977374421</v>
      </c>
      <c r="H19" s="577">
        <f>SUM(D19:G19)</f>
        <v>84.712132123971855</v>
      </c>
    </row>
    <row r="20" spans="1:10">
      <c r="A20" s="192" t="s">
        <v>189</v>
      </c>
      <c r="B20" s="120" t="s">
        <v>559</v>
      </c>
      <c r="E20" s="169">
        <f>E19-E18</f>
        <v>13.476722576437634</v>
      </c>
      <c r="F20" s="169">
        <f t="shared" ref="F20:G20" si="8">F19-F18</f>
        <v>35.119811993089485</v>
      </c>
      <c r="G20" s="169">
        <f t="shared" si="8"/>
        <v>23.660083329780292</v>
      </c>
      <c r="H20" s="577">
        <f>SUM(D20:G20)</f>
        <v>72.256617899307415</v>
      </c>
    </row>
    <row r="21" spans="1:10">
      <c r="A21" s="192"/>
      <c r="E21" s="169"/>
      <c r="F21" s="169"/>
      <c r="G21" s="169"/>
    </row>
    <row r="22" spans="1:10">
      <c r="A22" s="192" t="s">
        <v>566</v>
      </c>
      <c r="B22" s="120" t="s">
        <v>559</v>
      </c>
      <c r="E22" s="169">
        <f>SUM($D18:E18)</f>
        <v>13.757360970751392</v>
      </c>
      <c r="F22" s="169">
        <f>SUM($D18:F18)</f>
        <v>12.700756577070308</v>
      </c>
      <c r="G22" s="169">
        <f>SUM($D18:G18)</f>
        <v>12.455514224664437</v>
      </c>
      <c r="H22" s="169"/>
      <c r="J22" s="169"/>
    </row>
    <row r="23" spans="1:10">
      <c r="A23" s="192" t="s">
        <v>564</v>
      </c>
      <c r="B23" s="120" t="s">
        <v>559</v>
      </c>
      <c r="D23" s="237"/>
      <c r="E23" s="237">
        <f>SUM($D20:E20)</f>
        <v>13.476722576437634</v>
      </c>
      <c r="F23" s="237">
        <f>SUM($D20:F20)</f>
        <v>48.596534569527122</v>
      </c>
      <c r="G23" s="247">
        <f>SUM($D20:G20)</f>
        <v>72.256617899307415</v>
      </c>
    </row>
    <row r="24" spans="1:10">
      <c r="A24" s="192" t="s">
        <v>572</v>
      </c>
      <c r="B24" s="120" t="s">
        <v>559</v>
      </c>
      <c r="D24" s="237"/>
      <c r="E24" s="237">
        <f>E23/12</f>
        <v>1.1230602147031361</v>
      </c>
      <c r="F24" s="237">
        <f>F23/12</f>
        <v>4.0497112141272602</v>
      </c>
      <c r="G24" s="237">
        <f>G23/12</f>
        <v>6.0213848249422846</v>
      </c>
    </row>
    <row r="25" spans="1:10">
      <c r="A25" s="192"/>
      <c r="D25" s="128"/>
      <c r="E25" s="128"/>
      <c r="F25" s="128"/>
      <c r="G25" s="128"/>
    </row>
    <row r="26" spans="1:10">
      <c r="A26" s="192"/>
      <c r="D26" s="128"/>
      <c r="E26" s="128"/>
      <c r="F26" s="128"/>
      <c r="G26" s="128"/>
    </row>
    <row r="27" spans="1:10">
      <c r="A27" s="598" t="s">
        <v>573</v>
      </c>
      <c r="B27" s="120" t="s">
        <v>555</v>
      </c>
      <c r="D27" s="181">
        <v>60.379897594180221</v>
      </c>
      <c r="E27" s="181">
        <v>59.386352944901077</v>
      </c>
      <c r="F27" s="181">
        <v>58.169478358769773</v>
      </c>
      <c r="G27" s="181">
        <v>56.440636235296289</v>
      </c>
      <c r="H27" s="577">
        <f>SUM(D27:G27)</f>
        <v>234.37636513314737</v>
      </c>
      <c r="J27" s="120" t="s">
        <v>565</v>
      </c>
    </row>
    <row r="28" spans="1:10">
      <c r="A28" s="192" t="s">
        <v>562</v>
      </c>
      <c r="B28" s="120" t="s">
        <v>559</v>
      </c>
      <c r="E28" s="169">
        <f>E$13*1000*E27</f>
        <v>83.481693593385472</v>
      </c>
      <c r="F28" s="169">
        <f t="shared" ref="F28" si="9">F$13*1000*F27</f>
        <v>-6.3455818015172341</v>
      </c>
      <c r="G28" s="169">
        <f t="shared" ref="G28" si="10">G$13*1000*G27</f>
        <v>-1.4498567296353482</v>
      </c>
      <c r="H28" s="577">
        <f>SUM(D28:G28)</f>
        <v>75.686255062232902</v>
      </c>
    </row>
    <row r="29" spans="1:10">
      <c r="A29" s="192" t="s">
        <v>563</v>
      </c>
      <c r="B29" s="120" t="s">
        <v>559</v>
      </c>
      <c r="E29" s="169">
        <f>E$14*1000*E27</f>
        <v>165.26043205646292</v>
      </c>
      <c r="F29" s="169">
        <f t="shared" ref="F29:G29" si="11">F$14*1000*F27</f>
        <v>204.5712392800728</v>
      </c>
      <c r="G29" s="169">
        <f t="shared" si="11"/>
        <v>138.42700671947705</v>
      </c>
      <c r="H29" s="577">
        <f>SUM(D29:G29)</f>
        <v>508.25867805601274</v>
      </c>
    </row>
    <row r="30" spans="1:10">
      <c r="A30" s="192" t="s">
        <v>189</v>
      </c>
      <c r="B30" s="120" t="s">
        <v>559</v>
      </c>
      <c r="E30" s="169">
        <f>E29-E28</f>
        <v>81.778738463077445</v>
      </c>
      <c r="F30" s="169">
        <f t="shared" ref="F30" si="12">F29-F28</f>
        <v>210.91682108159003</v>
      </c>
      <c r="G30" s="169">
        <f t="shared" ref="G30" si="13">G29-G28</f>
        <v>139.87686344911239</v>
      </c>
      <c r="H30" s="577">
        <f>SUM(D30:G30)</f>
        <v>432.57242299377992</v>
      </c>
    </row>
    <row r="31" spans="1:10">
      <c r="A31" s="192"/>
      <c r="E31" s="169"/>
      <c r="F31" s="169"/>
      <c r="G31" s="169"/>
    </row>
    <row r="32" spans="1:10">
      <c r="A32" s="192" t="s">
        <v>566</v>
      </c>
      <c r="B32" s="120" t="s">
        <v>559</v>
      </c>
      <c r="E32" s="169">
        <f>SUM($D28:E28)</f>
        <v>83.481693593385472</v>
      </c>
      <c r="F32" s="169">
        <f>SUM($D28:F28)</f>
        <v>77.136111791868245</v>
      </c>
      <c r="G32" s="169">
        <f>SUM($D28:G28)</f>
        <v>75.686255062232902</v>
      </c>
    </row>
    <row r="33" spans="1:7">
      <c r="A33" s="192" t="s">
        <v>564</v>
      </c>
      <c r="B33" s="120" t="s">
        <v>559</v>
      </c>
      <c r="D33" s="237"/>
      <c r="E33" s="237">
        <f>SUM($D30:E30)</f>
        <v>81.778738463077445</v>
      </c>
      <c r="F33" s="237">
        <f>SUM($D30:F30)</f>
        <v>292.6955595446675</v>
      </c>
      <c r="G33" s="237">
        <f>SUM($D30:G30)</f>
        <v>432.57242299377992</v>
      </c>
    </row>
    <row r="34" spans="1:7">
      <c r="A34" s="192" t="s">
        <v>572</v>
      </c>
      <c r="B34" s="120" t="s">
        <v>559</v>
      </c>
      <c r="D34" s="237"/>
      <c r="E34" s="237">
        <f>E33/12</f>
        <v>6.8148948719231202</v>
      </c>
      <c r="F34" s="237">
        <f>F33/12</f>
        <v>24.391296628722291</v>
      </c>
      <c r="G34" s="237">
        <f>G33/12</f>
        <v>36.047701916148327</v>
      </c>
    </row>
    <row r="35" spans="1:7">
      <c r="A35" s="192"/>
      <c r="D35" s="237"/>
      <c r="E35" s="237"/>
      <c r="F35" s="237"/>
      <c r="G35" s="237"/>
    </row>
    <row r="36" spans="1:7">
      <c r="A36" s="192"/>
      <c r="D36" s="237"/>
      <c r="E36" s="237"/>
      <c r="F36" s="237"/>
      <c r="G36" s="237"/>
    </row>
    <row r="37" spans="1:7">
      <c r="A37" s="120" t="s">
        <v>567</v>
      </c>
    </row>
    <row r="38" spans="1:7">
      <c r="A38" s="120" t="s">
        <v>568</v>
      </c>
    </row>
  </sheetData>
  <pageMargins left="0.7" right="0.7" top="0.75" bottom="0.75" header="0.3" footer="0.3"/>
  <pageSetup paperSize="119" orientation="landscape" horizontalDpi="1200" verticalDpi="1200" r:id="rId1"/>
  <headerFooter>
    <oddHeader>&amp;LAppendix E-2: Incremental Cost Calculation&amp;RClean Energy Implementation Plan</oddHeader>
    <oddFooter>&amp;LDECEMBER 17, 2021&amp;C&amp;P of &amp;N&amp;RPuget Sound Energy</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
  <sheetViews>
    <sheetView tabSelected="1" workbookViewId="0">
      <selection activeCell="E17" sqref="E17"/>
    </sheetView>
  </sheetViews>
  <sheetFormatPr defaultRowHeight="15"/>
  <sheetData/>
  <pageMargins left="0.7" right="0.7" top="0.75" bottom="0.75" header="0.3" footer="0.3"/>
  <pageSetup orientation="portrait" horizontalDpi="90" verticalDpi="90" r:id="rId1"/>
  <headerFooter>
    <oddHeader>&amp;LAppendix E-2: Incremental Cost Calculation&amp;RClean Energy Implementation Plan</oddHeader>
    <oddFooter>&amp;LDECEMBER 17, 2021&amp;C&amp;P of &amp;N&amp;RPuget Sound Energy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43"/>
  <sheetViews>
    <sheetView tabSelected="1" view="pageLayout" topLeftCell="G1" zoomScaleNormal="100" workbookViewId="0">
      <selection activeCell="E17" sqref="E17"/>
    </sheetView>
  </sheetViews>
  <sheetFormatPr defaultColWidth="12.5703125" defaultRowHeight="12.75"/>
  <cols>
    <col min="1" max="1" width="43.140625" style="120" customWidth="1"/>
    <col min="2" max="5" width="14.5703125" style="120" customWidth="1"/>
    <col min="6" max="6" width="13.7109375" style="123" customWidth="1"/>
    <col min="7" max="7" width="13.28515625" style="120" customWidth="1"/>
    <col min="8" max="9" width="12.85546875" style="120" customWidth="1"/>
    <col min="10" max="10" width="13.140625" style="120" customWidth="1"/>
    <col min="11" max="11" width="8.28515625" style="120" customWidth="1"/>
    <col min="12" max="12" width="12.5703125" style="120"/>
    <col min="13" max="13" width="13.28515625" style="120" customWidth="1"/>
    <col min="14" max="14" width="13.5703125" style="120" customWidth="1"/>
    <col min="15" max="15" width="14.28515625" style="120" customWidth="1"/>
    <col min="16" max="17" width="13.140625" style="120" customWidth="1"/>
    <col min="18" max="18" width="12.85546875" style="120" customWidth="1"/>
    <col min="19" max="19" width="13" style="120" customWidth="1"/>
    <col min="20" max="20" width="11.140625" style="120" customWidth="1"/>
    <col min="21" max="24" width="12.5703125" style="120"/>
    <col min="25" max="25" width="43.42578125" style="120" customWidth="1"/>
    <col min="26" max="26" width="8.42578125" style="120" customWidth="1"/>
    <col min="27" max="27" width="7.7109375" style="120" customWidth="1"/>
    <col min="28" max="28" width="13.85546875" style="120" customWidth="1"/>
    <col min="29" max="29" width="18.140625" style="120" customWidth="1"/>
    <col min="30" max="30" width="15.85546875" style="120" customWidth="1"/>
    <col min="31" max="31" width="15.28515625" style="120" customWidth="1"/>
    <col min="32" max="16384" width="12.5703125" style="120"/>
  </cols>
  <sheetData>
    <row r="1" spans="1:74" ht="29.45" customHeight="1">
      <c r="B1" s="785" t="s">
        <v>727</v>
      </c>
      <c r="C1" s="786"/>
      <c r="D1" s="786"/>
      <c r="E1" s="787"/>
      <c r="G1" s="785" t="s">
        <v>733</v>
      </c>
      <c r="H1" s="786"/>
      <c r="I1" s="786"/>
      <c r="J1" s="787"/>
      <c r="L1" s="781" t="s">
        <v>738</v>
      </c>
      <c r="M1" s="782"/>
      <c r="N1" s="782"/>
      <c r="O1" s="788"/>
      <c r="P1" s="658" t="s">
        <v>737</v>
      </c>
      <c r="Q1" s="659"/>
      <c r="R1" s="659"/>
      <c r="S1" s="675"/>
      <c r="U1" s="781" t="s">
        <v>574</v>
      </c>
      <c r="V1" s="782"/>
      <c r="W1" s="782"/>
      <c r="X1" s="782"/>
      <c r="Y1" s="120" t="s">
        <v>697</v>
      </c>
      <c r="AG1" s="123"/>
      <c r="AH1" s="642"/>
      <c r="AI1" s="642"/>
      <c r="AJ1" s="642"/>
      <c r="AK1" s="642"/>
      <c r="AL1" s="642"/>
      <c r="AM1" s="124"/>
      <c r="AR1" s="642"/>
      <c r="AS1" s="642"/>
      <c r="AT1" s="642"/>
      <c r="AU1" s="642"/>
      <c r="AV1" s="642"/>
      <c r="AW1" s="642"/>
      <c r="AX1" s="124"/>
      <c r="BC1" s="642"/>
      <c r="BD1" s="642"/>
      <c r="BE1" s="642"/>
      <c r="BF1" s="642"/>
      <c r="BG1" s="642"/>
      <c r="BH1" s="642"/>
      <c r="BJ1" s="642"/>
      <c r="BK1" s="642"/>
      <c r="BL1" s="642"/>
      <c r="BM1" s="642"/>
      <c r="BN1" s="642"/>
      <c r="BO1" s="642"/>
      <c r="BP1" s="642"/>
      <c r="BQ1" s="642"/>
      <c r="BR1" s="642"/>
      <c r="BS1" s="642"/>
      <c r="BT1" s="642"/>
      <c r="BU1" s="642"/>
      <c r="BV1" s="642"/>
    </row>
    <row r="2" spans="1:74" ht="24.95" customHeight="1">
      <c r="B2" s="676">
        <v>2022</v>
      </c>
      <c r="C2" s="676">
        <v>2023</v>
      </c>
      <c r="D2" s="676">
        <v>2024</v>
      </c>
      <c r="E2" s="676">
        <v>2025</v>
      </c>
      <c r="G2" s="676">
        <v>2022</v>
      </c>
      <c r="H2" s="676">
        <v>2023</v>
      </c>
      <c r="I2" s="676">
        <v>2024</v>
      </c>
      <c r="J2" s="676">
        <v>2025</v>
      </c>
      <c r="L2" s="676">
        <v>2022</v>
      </c>
      <c r="M2" s="676">
        <v>2023</v>
      </c>
      <c r="N2" s="676">
        <v>2024</v>
      </c>
      <c r="O2" s="676">
        <v>2025</v>
      </c>
      <c r="P2" s="676">
        <v>2022</v>
      </c>
      <c r="Q2" s="676">
        <v>2023</v>
      </c>
      <c r="R2" s="676">
        <v>2024</v>
      </c>
      <c r="S2" s="676">
        <v>2025</v>
      </c>
      <c r="U2" s="676">
        <v>2022</v>
      </c>
      <c r="V2" s="676">
        <v>2023</v>
      </c>
      <c r="W2" s="676">
        <v>2024</v>
      </c>
      <c r="X2" s="676">
        <v>2025</v>
      </c>
      <c r="Y2" s="152" t="s">
        <v>690</v>
      </c>
      <c r="AG2" s="123"/>
      <c r="AH2" s="140"/>
      <c r="AI2" s="140"/>
      <c r="AJ2" s="140"/>
      <c r="AK2" s="140"/>
      <c r="AL2" s="140"/>
      <c r="AR2" s="140"/>
      <c r="AS2" s="140"/>
      <c r="AT2" s="140"/>
      <c r="AU2" s="140"/>
      <c r="AV2" s="140"/>
      <c r="AW2" s="140"/>
      <c r="BC2" s="140"/>
      <c r="BD2" s="140"/>
      <c r="BE2" s="140"/>
      <c r="BF2" s="140"/>
      <c r="BG2" s="140"/>
      <c r="BH2" s="140"/>
      <c r="BU2" s="153"/>
      <c r="BV2" s="154"/>
    </row>
    <row r="3" spans="1:74" ht="13.5" thickBot="1">
      <c r="A3" s="186"/>
      <c r="B3" s="125">
        <f>$M$39</f>
        <v>165511.94460937503</v>
      </c>
      <c r="C3" s="125">
        <f>$M$39</f>
        <v>165511.94460937503</v>
      </c>
      <c r="D3" s="125">
        <f>$M$39</f>
        <v>165511.94460937503</v>
      </c>
      <c r="E3" s="125">
        <f>$M$39</f>
        <v>165511.94460937503</v>
      </c>
      <c r="G3" s="125">
        <f>$M$40</f>
        <v>262140.05138671875</v>
      </c>
      <c r="H3" s="125">
        <f>$M$40</f>
        <v>262140.05138671875</v>
      </c>
      <c r="I3" s="125">
        <f>$M$40</f>
        <v>262140.05138671875</v>
      </c>
      <c r="J3" s="125">
        <f>$M$40</f>
        <v>262140.05138671875</v>
      </c>
      <c r="L3" s="126"/>
      <c r="M3" s="126"/>
      <c r="N3" s="126"/>
      <c r="O3" s="126"/>
      <c r="P3" s="126"/>
      <c r="Q3" s="126"/>
      <c r="R3" s="126"/>
      <c r="S3" s="126"/>
      <c r="U3" s="126"/>
      <c r="V3" s="126"/>
      <c r="W3" s="126"/>
      <c r="X3" s="126"/>
      <c r="Y3" s="120" t="s">
        <v>696</v>
      </c>
      <c r="AB3" s="153" t="s">
        <v>575</v>
      </c>
      <c r="AC3" s="153" t="s">
        <v>736</v>
      </c>
      <c r="AD3" s="635" t="s">
        <v>739</v>
      </c>
      <c r="AH3" s="660"/>
      <c r="AI3" s="660"/>
      <c r="AJ3" s="660"/>
      <c r="AK3" s="660"/>
      <c r="AL3" s="660"/>
      <c r="AM3" s="126"/>
      <c r="AR3" s="660"/>
      <c r="AS3" s="660"/>
      <c r="AT3" s="660"/>
      <c r="AU3" s="660"/>
      <c r="AV3" s="660"/>
      <c r="AW3" s="660"/>
      <c r="AX3" s="126"/>
      <c r="BC3" s="660"/>
      <c r="BD3" s="660"/>
      <c r="BE3" s="660"/>
      <c r="BF3" s="660"/>
      <c r="BG3" s="660"/>
      <c r="BH3" s="660"/>
    </row>
    <row r="4" spans="1:74">
      <c r="A4" s="666" t="s">
        <v>576</v>
      </c>
      <c r="B4" s="130"/>
      <c r="C4" s="130"/>
      <c r="D4" s="130"/>
      <c r="E4" s="130"/>
      <c r="G4" s="130"/>
      <c r="H4" s="130"/>
      <c r="I4" s="130"/>
      <c r="J4" s="130"/>
      <c r="L4" s="130"/>
      <c r="M4" s="130"/>
      <c r="N4" s="130"/>
      <c r="O4" s="130"/>
      <c r="P4" s="130"/>
      <c r="Q4" s="130"/>
      <c r="R4" s="130"/>
      <c r="S4" s="130"/>
      <c r="U4" s="130"/>
      <c r="V4" s="130"/>
      <c r="W4" s="130"/>
      <c r="X4" s="130"/>
      <c r="Y4" s="666" t="s">
        <v>576</v>
      </c>
      <c r="Z4" s="666"/>
      <c r="AA4" s="666"/>
      <c r="AB4" s="129"/>
      <c r="AC4" s="667"/>
      <c r="AD4" s="123"/>
      <c r="AH4" s="130"/>
      <c r="AI4" s="130"/>
      <c r="AJ4" s="130"/>
      <c r="AK4" s="130"/>
      <c r="AL4" s="130"/>
      <c r="AM4" s="130"/>
      <c r="AR4" s="130"/>
      <c r="AS4" s="130"/>
      <c r="AT4" s="130"/>
      <c r="AU4" s="130"/>
      <c r="AV4" s="130"/>
      <c r="AW4" s="130"/>
      <c r="AX4" s="130"/>
      <c r="BC4" s="130"/>
      <c r="BD4" s="130"/>
      <c r="BE4" s="130"/>
      <c r="BF4" s="130"/>
      <c r="BG4" s="130"/>
      <c r="BH4" s="130"/>
      <c r="BK4" s="128"/>
    </row>
    <row r="5" spans="1:74">
      <c r="A5" s="140" t="s">
        <v>193</v>
      </c>
      <c r="B5" s="128">
        <f t="shared" ref="B5:E10" si="0">$AB5/$AB$29*B$3</f>
        <v>1245.1624574458788</v>
      </c>
      <c r="C5" s="128">
        <f t="shared" si="0"/>
        <v>1245.1624574458788</v>
      </c>
      <c r="D5" s="128">
        <f t="shared" si="0"/>
        <v>1245.1624574458788</v>
      </c>
      <c r="E5" s="128">
        <f t="shared" si="0"/>
        <v>1245.1624574458788</v>
      </c>
      <c r="G5" s="128">
        <f t="shared" ref="G5:J10" si="1">$AB5/$AB$29*G$3</f>
        <v>1972.1051030487808</v>
      </c>
      <c r="H5" s="128">
        <f t="shared" si="1"/>
        <v>1972.1051030487808</v>
      </c>
      <c r="I5" s="128">
        <f t="shared" si="1"/>
        <v>1972.1051030487808</v>
      </c>
      <c r="J5" s="128">
        <f t="shared" si="1"/>
        <v>1972.1051030487808</v>
      </c>
      <c r="L5" s="132">
        <f t="shared" ref="L5:O10" si="2">B5*$AD5</f>
        <v>3846231.7201691382</v>
      </c>
      <c r="M5" s="132">
        <f t="shared" si="2"/>
        <v>3846231.7201691382</v>
      </c>
      <c r="N5" s="132">
        <f t="shared" si="2"/>
        <v>3846231.7201691382</v>
      </c>
      <c r="O5" s="132">
        <f t="shared" si="2"/>
        <v>3846231.7201691382</v>
      </c>
      <c r="P5" s="132">
        <f t="shared" ref="P5:S10" si="3">G5*$AD5</f>
        <v>6091713.7016904792</v>
      </c>
      <c r="Q5" s="132">
        <f t="shared" si="3"/>
        <v>6091713.7016904792</v>
      </c>
      <c r="R5" s="132">
        <f t="shared" si="3"/>
        <v>6091713.7016904792</v>
      </c>
      <c r="S5" s="132">
        <f t="shared" si="3"/>
        <v>6091713.7016904792</v>
      </c>
      <c r="U5" s="132">
        <f t="shared" ref="U5:X10" si="4">P5-L5</f>
        <v>2245481.981521341</v>
      </c>
      <c r="V5" s="132">
        <f t="shared" si="4"/>
        <v>2245481.981521341</v>
      </c>
      <c r="W5" s="132">
        <f t="shared" si="4"/>
        <v>2245481.981521341</v>
      </c>
      <c r="X5" s="132">
        <f t="shared" si="4"/>
        <v>2245481.981521341</v>
      </c>
      <c r="Y5" s="140" t="s">
        <v>193</v>
      </c>
      <c r="Z5" s="137"/>
      <c r="AA5" s="137"/>
      <c r="AB5" s="637">
        <v>3954.8820000000001</v>
      </c>
      <c r="AC5" s="677">
        <v>12216391.930999998</v>
      </c>
      <c r="AD5" s="636">
        <f>AC5/AB5</f>
        <v>3088.9396778462665</v>
      </c>
      <c r="AH5" s="135"/>
      <c r="AI5" s="135"/>
      <c r="AJ5" s="135"/>
      <c r="AK5" s="135"/>
      <c r="AL5" s="135"/>
      <c r="AM5" s="132"/>
      <c r="AR5" s="135"/>
      <c r="AS5" s="135"/>
      <c r="AT5" s="135"/>
      <c r="AU5" s="135"/>
      <c r="AV5" s="135"/>
      <c r="AW5" s="135"/>
      <c r="AX5" s="132"/>
      <c r="BC5" s="135"/>
      <c r="BD5" s="135"/>
      <c r="BE5" s="135"/>
      <c r="BF5" s="135"/>
      <c r="BG5" s="135"/>
      <c r="BH5" s="135"/>
    </row>
    <row r="6" spans="1:74">
      <c r="A6" s="137" t="s">
        <v>194</v>
      </c>
      <c r="B6" s="128">
        <f t="shared" si="0"/>
        <v>35936.429272629597</v>
      </c>
      <c r="C6" s="128">
        <f t="shared" si="0"/>
        <v>35936.429272629597</v>
      </c>
      <c r="D6" s="128">
        <f t="shared" si="0"/>
        <v>35936.429272629597</v>
      </c>
      <c r="E6" s="128">
        <f t="shared" si="0"/>
        <v>35936.429272629597</v>
      </c>
      <c r="G6" s="128">
        <f t="shared" si="1"/>
        <v>56916.601629056757</v>
      </c>
      <c r="H6" s="128">
        <f t="shared" si="1"/>
        <v>56916.601629056757</v>
      </c>
      <c r="I6" s="128">
        <f t="shared" si="1"/>
        <v>56916.601629056757</v>
      </c>
      <c r="J6" s="128">
        <f t="shared" si="1"/>
        <v>56916.601629056757</v>
      </c>
      <c r="L6" s="132">
        <f t="shared" si="2"/>
        <v>13874155.849032054</v>
      </c>
      <c r="M6" s="132">
        <f t="shared" si="2"/>
        <v>13874155.849032054</v>
      </c>
      <c r="N6" s="132">
        <f t="shared" si="2"/>
        <v>13874155.849032054</v>
      </c>
      <c r="O6" s="132">
        <f t="shared" si="2"/>
        <v>13874155.849032054</v>
      </c>
      <c r="P6" s="132">
        <f t="shared" si="3"/>
        <v>21974075.259620868</v>
      </c>
      <c r="Q6" s="132">
        <f t="shared" si="3"/>
        <v>21974075.259620868</v>
      </c>
      <c r="R6" s="132">
        <f t="shared" si="3"/>
        <v>21974075.259620868</v>
      </c>
      <c r="S6" s="132">
        <f t="shared" si="3"/>
        <v>21974075.259620868</v>
      </c>
      <c r="U6" s="132">
        <f t="shared" si="4"/>
        <v>8099919.4105888139</v>
      </c>
      <c r="V6" s="132">
        <f t="shared" si="4"/>
        <v>8099919.4105888139</v>
      </c>
      <c r="W6" s="132">
        <f t="shared" si="4"/>
        <v>8099919.4105888139</v>
      </c>
      <c r="X6" s="132">
        <f t="shared" si="4"/>
        <v>8099919.4105888139</v>
      </c>
      <c r="Y6" s="137" t="s">
        <v>194</v>
      </c>
      <c r="Z6" s="137"/>
      <c r="AA6" s="137"/>
      <c r="AB6" s="637">
        <v>114141.20014999999</v>
      </c>
      <c r="AC6" s="677">
        <v>44067060.409999996</v>
      </c>
      <c r="AD6" s="636">
        <f>AC6/AB6</f>
        <v>386.07496988019011</v>
      </c>
      <c r="AH6" s="135"/>
      <c r="AI6" s="135"/>
      <c r="AJ6" s="135"/>
      <c r="AK6" s="135"/>
      <c r="AL6" s="135"/>
      <c r="AM6" s="135"/>
      <c r="AR6" s="135"/>
      <c r="AS6" s="135"/>
      <c r="AT6" s="135"/>
      <c r="AU6" s="135"/>
      <c r="AV6" s="135"/>
      <c r="AW6" s="135"/>
      <c r="AX6" s="135"/>
      <c r="BC6" s="135"/>
      <c r="BD6" s="135"/>
      <c r="BE6" s="135"/>
      <c r="BF6" s="135"/>
      <c r="BG6" s="135"/>
      <c r="BH6" s="135"/>
    </row>
    <row r="7" spans="1:74">
      <c r="A7" s="137" t="s">
        <v>195</v>
      </c>
      <c r="B7" s="128">
        <f t="shared" si="0"/>
        <v>160.65625172524824</v>
      </c>
      <c r="C7" s="128">
        <f t="shared" si="0"/>
        <v>160.65625172524824</v>
      </c>
      <c r="D7" s="128">
        <f t="shared" si="0"/>
        <v>160.65625172524824</v>
      </c>
      <c r="E7" s="128">
        <f t="shared" si="0"/>
        <v>160.65625172524824</v>
      </c>
      <c r="G7" s="128">
        <f t="shared" si="1"/>
        <v>254.44953947129642</v>
      </c>
      <c r="H7" s="128">
        <f t="shared" si="1"/>
        <v>254.44953947129642</v>
      </c>
      <c r="I7" s="128">
        <f t="shared" si="1"/>
        <v>254.44953947129642</v>
      </c>
      <c r="J7" s="128">
        <f t="shared" si="1"/>
        <v>254.44953947129642</v>
      </c>
      <c r="L7" s="132">
        <f t="shared" si="2"/>
        <v>247994.77267487443</v>
      </c>
      <c r="M7" s="132">
        <f t="shared" si="2"/>
        <v>247994.77267487443</v>
      </c>
      <c r="N7" s="132">
        <f t="shared" si="2"/>
        <v>247994.77267487443</v>
      </c>
      <c r="O7" s="132">
        <f t="shared" si="2"/>
        <v>247994.77267487443</v>
      </c>
      <c r="P7" s="132">
        <f t="shared" si="3"/>
        <v>392777.46754808485</v>
      </c>
      <c r="Q7" s="132">
        <f t="shared" si="3"/>
        <v>392777.46754808485</v>
      </c>
      <c r="R7" s="132">
        <f t="shared" si="3"/>
        <v>392777.46754808485</v>
      </c>
      <c r="S7" s="132">
        <f t="shared" si="3"/>
        <v>392777.46754808485</v>
      </c>
      <c r="U7" s="132">
        <f t="shared" si="4"/>
        <v>144782.69487321042</v>
      </c>
      <c r="V7" s="132">
        <f t="shared" si="4"/>
        <v>144782.69487321042</v>
      </c>
      <c r="W7" s="132">
        <f t="shared" si="4"/>
        <v>144782.69487321042</v>
      </c>
      <c r="X7" s="132">
        <f t="shared" si="4"/>
        <v>144782.69487321042</v>
      </c>
      <c r="Y7" s="137" t="s">
        <v>195</v>
      </c>
      <c r="Z7" s="137"/>
      <c r="AA7" s="137"/>
      <c r="AB7" s="668">
        <v>510.27600000000001</v>
      </c>
      <c r="AC7" s="678">
        <v>787680.4</v>
      </c>
      <c r="AD7" s="636">
        <f>AC7/AB7</f>
        <v>1543.6359930704168</v>
      </c>
      <c r="AH7" s="135"/>
      <c r="AI7" s="135"/>
      <c r="AJ7" s="135"/>
      <c r="AK7" s="135"/>
      <c r="AL7" s="135"/>
      <c r="AM7" s="132"/>
      <c r="AR7" s="135"/>
      <c r="AS7" s="135"/>
      <c r="AT7" s="135"/>
      <c r="AU7" s="135"/>
      <c r="AV7" s="135"/>
      <c r="AW7" s="135"/>
      <c r="AX7" s="132"/>
      <c r="BC7" s="135"/>
      <c r="BD7" s="135"/>
      <c r="BE7" s="135"/>
      <c r="BF7" s="135"/>
      <c r="BG7" s="135"/>
      <c r="BH7" s="135"/>
    </row>
    <row r="8" spans="1:74">
      <c r="A8" s="137" t="s">
        <v>577</v>
      </c>
      <c r="B8" s="131">
        <f t="shared" si="0"/>
        <v>0.12593674930841212</v>
      </c>
      <c r="C8" s="128">
        <f t="shared" si="0"/>
        <v>0.12593674930841212</v>
      </c>
      <c r="D8" s="128">
        <f t="shared" si="0"/>
        <v>0.12593674930841212</v>
      </c>
      <c r="E8" s="128">
        <f t="shared" si="0"/>
        <v>0.12593674930841212</v>
      </c>
      <c r="G8" s="128">
        <f t="shared" si="1"/>
        <v>0.19946032301836375</v>
      </c>
      <c r="H8" s="128">
        <f t="shared" si="1"/>
        <v>0.19946032301836375</v>
      </c>
      <c r="I8" s="128">
        <f t="shared" si="1"/>
        <v>0.19946032301836375</v>
      </c>
      <c r="J8" s="128">
        <f t="shared" si="1"/>
        <v>0.19946032301836375</v>
      </c>
      <c r="L8" s="132">
        <f t="shared" si="2"/>
        <v>55851.15371960312</v>
      </c>
      <c r="M8" s="132">
        <f t="shared" si="2"/>
        <v>55851.15371960312</v>
      </c>
      <c r="N8" s="132">
        <f t="shared" si="2"/>
        <v>55851.15371960312</v>
      </c>
      <c r="O8" s="132">
        <f t="shared" si="2"/>
        <v>55851.15371960312</v>
      </c>
      <c r="P8" s="132">
        <f t="shared" si="3"/>
        <v>88457.810949041304</v>
      </c>
      <c r="Q8" s="132">
        <f t="shared" si="3"/>
        <v>88457.810949041304</v>
      </c>
      <c r="R8" s="132">
        <f t="shared" si="3"/>
        <v>88457.810949041304</v>
      </c>
      <c r="S8" s="132">
        <f t="shared" si="3"/>
        <v>88457.810949041304</v>
      </c>
      <c r="U8" s="136">
        <f t="shared" si="4"/>
        <v>32606.657229438184</v>
      </c>
      <c r="V8" s="132">
        <f t="shared" si="4"/>
        <v>32606.657229438184</v>
      </c>
      <c r="W8" s="132">
        <f t="shared" si="4"/>
        <v>32606.657229438184</v>
      </c>
      <c r="X8" s="132">
        <f t="shared" si="4"/>
        <v>32606.657229438184</v>
      </c>
      <c r="Y8" s="137" t="s">
        <v>577</v>
      </c>
      <c r="Z8" s="137"/>
      <c r="AA8" s="137"/>
      <c r="AB8" s="668">
        <v>0.4</v>
      </c>
      <c r="AC8" s="678">
        <v>177394.3</v>
      </c>
      <c r="AD8" s="636">
        <f>IFERROR(AC8/AB8,0)</f>
        <v>443485.74999999994</v>
      </c>
      <c r="AH8" s="135"/>
      <c r="AI8" s="135"/>
      <c r="AJ8" s="135"/>
      <c r="AK8" s="135"/>
      <c r="AL8" s="135"/>
      <c r="AM8" s="132"/>
      <c r="AR8" s="135"/>
      <c r="AS8" s="135"/>
      <c r="AT8" s="135"/>
      <c r="AU8" s="135"/>
      <c r="AV8" s="135"/>
      <c r="AW8" s="135"/>
      <c r="AX8" s="132"/>
      <c r="BC8" s="135"/>
      <c r="BD8" s="135"/>
      <c r="BE8" s="135"/>
      <c r="BF8" s="135"/>
      <c r="BG8" s="135"/>
      <c r="BH8" s="135"/>
    </row>
    <row r="9" spans="1:74">
      <c r="A9" s="137" t="s">
        <v>196</v>
      </c>
      <c r="B9" s="128">
        <f t="shared" si="0"/>
        <v>5711.2172243470695</v>
      </c>
      <c r="C9" s="128">
        <f t="shared" si="0"/>
        <v>5711.2172243470695</v>
      </c>
      <c r="D9" s="128">
        <f t="shared" si="0"/>
        <v>5711.2172243470695</v>
      </c>
      <c r="E9" s="128">
        <f t="shared" si="0"/>
        <v>5711.2172243470695</v>
      </c>
      <c r="G9" s="128">
        <f t="shared" si="1"/>
        <v>9045.502910405974</v>
      </c>
      <c r="H9" s="128">
        <f t="shared" si="1"/>
        <v>9045.502910405974</v>
      </c>
      <c r="I9" s="128">
        <f t="shared" si="1"/>
        <v>9045.502910405974</v>
      </c>
      <c r="J9" s="128">
        <f t="shared" si="1"/>
        <v>9045.502910405974</v>
      </c>
      <c r="L9" s="132">
        <f t="shared" si="2"/>
        <v>4850806.4626915995</v>
      </c>
      <c r="M9" s="132">
        <f t="shared" si="2"/>
        <v>4850806.4626915995</v>
      </c>
      <c r="N9" s="132">
        <f t="shared" si="2"/>
        <v>4850806.4626915995</v>
      </c>
      <c r="O9" s="132">
        <f t="shared" si="2"/>
        <v>4850806.4626915995</v>
      </c>
      <c r="P9" s="132">
        <f t="shared" si="3"/>
        <v>7682772.7352130767</v>
      </c>
      <c r="Q9" s="132">
        <f t="shared" si="3"/>
        <v>7682772.7352130767</v>
      </c>
      <c r="R9" s="132">
        <f t="shared" si="3"/>
        <v>7682772.7352130767</v>
      </c>
      <c r="S9" s="132">
        <f t="shared" si="3"/>
        <v>7682772.7352130767</v>
      </c>
      <c r="U9" s="132">
        <f t="shared" si="4"/>
        <v>2831966.2725214772</v>
      </c>
      <c r="V9" s="132">
        <f t="shared" si="4"/>
        <v>2831966.2725214772</v>
      </c>
      <c r="W9" s="132">
        <f t="shared" si="4"/>
        <v>2831966.2725214772</v>
      </c>
      <c r="X9" s="132">
        <f t="shared" si="4"/>
        <v>2831966.2725214772</v>
      </c>
      <c r="Y9" s="137" t="s">
        <v>196</v>
      </c>
      <c r="Z9" s="137"/>
      <c r="AA9" s="137"/>
      <c r="AB9" s="112">
        <v>18139.954400000006</v>
      </c>
      <c r="AC9" s="678">
        <v>15407119.809999999</v>
      </c>
      <c r="AD9" s="636">
        <f>AC9/AB9</f>
        <v>849.34721831494755</v>
      </c>
      <c r="AH9" s="135"/>
      <c r="AI9" s="135"/>
      <c r="AJ9" s="135"/>
      <c r="AK9" s="135"/>
      <c r="AL9" s="135"/>
      <c r="AM9" s="132"/>
      <c r="AR9" s="135"/>
      <c r="AS9" s="135"/>
      <c r="AT9" s="135"/>
      <c r="AU9" s="135"/>
      <c r="AV9" s="135"/>
      <c r="AW9" s="135"/>
      <c r="AX9" s="132"/>
      <c r="BC9" s="135"/>
      <c r="BD9" s="135"/>
      <c r="BE9" s="135"/>
      <c r="BF9" s="135"/>
      <c r="BG9" s="135"/>
      <c r="BH9" s="135"/>
      <c r="BV9" s="131"/>
    </row>
    <row r="10" spans="1:74">
      <c r="A10" s="143" t="s">
        <v>197</v>
      </c>
      <c r="B10" s="128">
        <f t="shared" si="0"/>
        <v>2833.5768594392725</v>
      </c>
      <c r="C10" s="128">
        <f t="shared" si="0"/>
        <v>2833.5768594392725</v>
      </c>
      <c r="D10" s="128">
        <f t="shared" si="0"/>
        <v>2833.5768594392725</v>
      </c>
      <c r="E10" s="128">
        <f t="shared" si="0"/>
        <v>2833.5768594392725</v>
      </c>
      <c r="G10" s="128">
        <f t="shared" si="1"/>
        <v>4487.8572679131839</v>
      </c>
      <c r="H10" s="128">
        <f t="shared" si="1"/>
        <v>4487.8572679131839</v>
      </c>
      <c r="I10" s="128">
        <f t="shared" si="1"/>
        <v>4487.8572679131839</v>
      </c>
      <c r="J10" s="128">
        <f t="shared" si="1"/>
        <v>4487.8572679131839</v>
      </c>
      <c r="L10" s="132">
        <f t="shared" si="2"/>
        <v>1301843.0778227081</v>
      </c>
      <c r="M10" s="132">
        <f t="shared" si="2"/>
        <v>1301843.0778227081</v>
      </c>
      <c r="N10" s="132">
        <f t="shared" si="2"/>
        <v>1301843.0778227081</v>
      </c>
      <c r="O10" s="132">
        <f t="shared" si="2"/>
        <v>1301843.0778227081</v>
      </c>
      <c r="P10" s="132">
        <f t="shared" si="3"/>
        <v>2061876.6344828424</v>
      </c>
      <c r="Q10" s="132">
        <f t="shared" si="3"/>
        <v>2061876.6344828424</v>
      </c>
      <c r="R10" s="132">
        <f t="shared" si="3"/>
        <v>2061876.6344828424</v>
      </c>
      <c r="S10" s="132">
        <f t="shared" si="3"/>
        <v>2061876.6344828424</v>
      </c>
      <c r="U10" s="132">
        <f t="shared" si="4"/>
        <v>760033.55666013435</v>
      </c>
      <c r="V10" s="132">
        <f t="shared" si="4"/>
        <v>760033.55666013435</v>
      </c>
      <c r="W10" s="132">
        <f t="shared" si="4"/>
        <v>760033.55666013435</v>
      </c>
      <c r="X10" s="132">
        <f t="shared" si="4"/>
        <v>760033.55666013435</v>
      </c>
      <c r="Y10" s="143" t="s">
        <v>197</v>
      </c>
      <c r="Z10" s="137"/>
      <c r="AA10" s="137"/>
      <c r="AB10" s="133">
        <v>9000</v>
      </c>
      <c r="AC10" s="679">
        <v>4134910.85</v>
      </c>
      <c r="AD10" s="636">
        <f>AC10/AB10</f>
        <v>459.43453888888888</v>
      </c>
      <c r="AH10" s="135"/>
      <c r="AI10" s="135"/>
      <c r="AJ10" s="135"/>
      <c r="AK10" s="135"/>
      <c r="AL10" s="135"/>
      <c r="AM10" s="132"/>
      <c r="AR10" s="135"/>
      <c r="AS10" s="135"/>
      <c r="AT10" s="135"/>
      <c r="AU10" s="135"/>
      <c r="AV10" s="135"/>
      <c r="AW10" s="135"/>
      <c r="AX10" s="132"/>
      <c r="BC10" s="135"/>
      <c r="BD10" s="135"/>
      <c r="BE10" s="135"/>
      <c r="BF10" s="135"/>
      <c r="BG10" s="135"/>
      <c r="BH10" s="135"/>
    </row>
    <row r="11" spans="1:74">
      <c r="A11" s="117" t="s">
        <v>578</v>
      </c>
      <c r="B11" s="138">
        <f>SUM(B5:B10)</f>
        <v>45887.168002336373</v>
      </c>
      <c r="C11" s="138">
        <f t="shared" ref="C11:E11" si="5">SUM(C5:C10)</f>
        <v>45887.168002336373</v>
      </c>
      <c r="D11" s="138">
        <f t="shared" si="5"/>
        <v>45887.168002336373</v>
      </c>
      <c r="E11" s="138">
        <f t="shared" si="5"/>
        <v>45887.168002336373</v>
      </c>
      <c r="G11" s="138">
        <f>SUM(G5:G10)</f>
        <v>72676.71591021902</v>
      </c>
      <c r="H11" s="138">
        <f t="shared" ref="H11:J11" si="6">SUM(H5:H10)</f>
        <v>72676.71591021902</v>
      </c>
      <c r="I11" s="138">
        <f t="shared" si="6"/>
        <v>72676.71591021902</v>
      </c>
      <c r="J11" s="138">
        <f t="shared" si="6"/>
        <v>72676.71591021902</v>
      </c>
      <c r="L11" s="139">
        <f>SUM(L5:L10)</f>
        <v>24176883.036109976</v>
      </c>
      <c r="M11" s="139">
        <f t="shared" ref="M11:O11" si="7">SUM(M5:M10)</f>
        <v>24176883.036109976</v>
      </c>
      <c r="N11" s="139">
        <f t="shared" si="7"/>
        <v>24176883.036109976</v>
      </c>
      <c r="O11" s="139">
        <f t="shared" si="7"/>
        <v>24176883.036109976</v>
      </c>
      <c r="P11" s="139">
        <f>SUM(P5:P10)</f>
        <v>38291673.609504394</v>
      </c>
      <c r="Q11" s="139">
        <f>Q5+Q6+SUM(Q7:Q10)</f>
        <v>38291673.609504394</v>
      </c>
      <c r="R11" s="139">
        <f>R5+R6+SUM(R7:R10)</f>
        <v>38291673.609504394</v>
      </c>
      <c r="S11" s="139">
        <f>S5+S6+SUM(S7:S10)</f>
        <v>38291673.609504394</v>
      </c>
      <c r="U11" s="139">
        <f>SUM(U5:U10)</f>
        <v>14114790.573394414</v>
      </c>
      <c r="V11" s="139">
        <f t="shared" ref="V11:X11" si="8">SUM(V5:V10)</f>
        <v>14114790.573394414</v>
      </c>
      <c r="W11" s="139">
        <f t="shared" si="8"/>
        <v>14114790.573394414</v>
      </c>
      <c r="X11" s="139">
        <f t="shared" si="8"/>
        <v>14114790.573394414</v>
      </c>
      <c r="Y11" s="117" t="s">
        <v>578</v>
      </c>
      <c r="Z11" s="113"/>
      <c r="AA11" s="113"/>
      <c r="AB11" s="114">
        <f>AB5+AB6+SUM(AB7:AB10)</f>
        <v>145746.71255</v>
      </c>
      <c r="AC11" s="680">
        <f>AC5+AC6+SUM(AC7:AC10)</f>
        <v>76790557.70099999</v>
      </c>
      <c r="AD11" s="636">
        <f>AC11/AB11</f>
        <v>526.87677380480295</v>
      </c>
      <c r="AH11" s="135"/>
      <c r="AI11" s="135"/>
      <c r="AJ11" s="135"/>
      <c r="AK11" s="135"/>
      <c r="AL11" s="135"/>
      <c r="AM11" s="135"/>
      <c r="AR11" s="135"/>
      <c r="AS11" s="135"/>
      <c r="AT11" s="135"/>
      <c r="AU11" s="135"/>
      <c r="AV11" s="135"/>
      <c r="AW11" s="135"/>
      <c r="AX11" s="135"/>
      <c r="BC11" s="135"/>
      <c r="BD11" s="135"/>
      <c r="BE11" s="135"/>
      <c r="BF11" s="135"/>
      <c r="BG11" s="135"/>
      <c r="BH11" s="135"/>
    </row>
    <row r="12" spans="1:74">
      <c r="A12" s="115"/>
      <c r="B12" s="128"/>
      <c r="C12" s="128"/>
      <c r="D12" s="128"/>
      <c r="E12" s="128"/>
      <c r="G12" s="128"/>
      <c r="H12" s="128"/>
      <c r="I12" s="128"/>
      <c r="J12" s="128"/>
      <c r="L12" s="132"/>
      <c r="M12" s="132"/>
      <c r="N12" s="132"/>
      <c r="O12" s="132"/>
      <c r="P12" s="132"/>
      <c r="Q12" s="132"/>
      <c r="R12" s="132"/>
      <c r="S12" s="132"/>
      <c r="U12" s="132"/>
      <c r="V12" s="132"/>
      <c r="W12" s="132"/>
      <c r="X12" s="132"/>
      <c r="Y12" s="115"/>
      <c r="Z12" s="140"/>
      <c r="AA12" s="140"/>
      <c r="AB12" s="638"/>
      <c r="AC12" s="681"/>
      <c r="AD12" s="636"/>
      <c r="AH12" s="135"/>
      <c r="AI12" s="135"/>
      <c r="AJ12" s="135"/>
      <c r="AK12" s="135"/>
      <c r="AL12" s="135"/>
      <c r="AM12" s="132"/>
      <c r="AR12" s="135"/>
      <c r="AS12" s="135"/>
      <c r="AT12" s="135"/>
      <c r="AU12" s="135"/>
      <c r="AV12" s="135"/>
      <c r="AW12" s="135"/>
      <c r="AX12" s="132"/>
      <c r="BC12" s="135"/>
      <c r="BD12" s="135"/>
      <c r="BE12" s="135"/>
      <c r="BF12" s="135"/>
      <c r="BG12" s="135"/>
      <c r="BH12" s="135"/>
    </row>
    <row r="13" spans="1:74">
      <c r="A13" s="141" t="s">
        <v>579</v>
      </c>
      <c r="B13" s="128"/>
      <c r="C13" s="128"/>
      <c r="D13" s="128"/>
      <c r="E13" s="128"/>
      <c r="G13" s="128"/>
      <c r="H13" s="128"/>
      <c r="I13" s="128"/>
      <c r="J13" s="128"/>
      <c r="L13" s="132"/>
      <c r="M13" s="132"/>
      <c r="N13" s="132"/>
      <c r="O13" s="132"/>
      <c r="P13" s="132"/>
      <c r="Q13" s="132"/>
      <c r="R13" s="132"/>
      <c r="S13" s="132"/>
      <c r="U13" s="132"/>
      <c r="V13" s="132"/>
      <c r="W13" s="132"/>
      <c r="X13" s="132"/>
      <c r="Y13" s="141" t="s">
        <v>579</v>
      </c>
      <c r="Z13" s="141"/>
      <c r="AA13" s="142"/>
      <c r="AB13" s="639"/>
      <c r="AC13" s="682"/>
      <c r="AD13" s="636"/>
      <c r="AH13" s="135"/>
      <c r="AI13" s="135"/>
      <c r="AJ13" s="135"/>
      <c r="AK13" s="135"/>
      <c r="AL13" s="135"/>
      <c r="AM13" s="132"/>
      <c r="AR13" s="135"/>
      <c r="AS13" s="135"/>
      <c r="AT13" s="135"/>
      <c r="AU13" s="135"/>
      <c r="AV13" s="135"/>
      <c r="AW13" s="135"/>
      <c r="AX13" s="132"/>
      <c r="BC13" s="135"/>
      <c r="BD13" s="135"/>
      <c r="BE13" s="135"/>
      <c r="BF13" s="135"/>
      <c r="BG13" s="135"/>
      <c r="BH13" s="135"/>
    </row>
    <row r="14" spans="1:74">
      <c r="A14" s="137" t="s">
        <v>198</v>
      </c>
      <c r="B14" s="128">
        <f t="shared" ref="B14:E18" si="9">$AB14/$AB$29*B$3</f>
        <v>48331.701827174686</v>
      </c>
      <c r="C14" s="128">
        <f t="shared" si="9"/>
        <v>48331.701827174686</v>
      </c>
      <c r="D14" s="128">
        <f t="shared" si="9"/>
        <v>48331.701827174686</v>
      </c>
      <c r="E14" s="128">
        <f t="shared" si="9"/>
        <v>48331.701827174686</v>
      </c>
      <c r="G14" s="128">
        <f t="shared" ref="G14:J18" si="10">$AB14/$AB$29*G$3</f>
        <v>76548.40156995834</v>
      </c>
      <c r="H14" s="128">
        <f t="shared" si="10"/>
        <v>76548.40156995834</v>
      </c>
      <c r="I14" s="128">
        <f t="shared" si="10"/>
        <v>76548.40156995834</v>
      </c>
      <c r="J14" s="128">
        <f t="shared" si="10"/>
        <v>76548.40156995834</v>
      </c>
      <c r="L14" s="132">
        <f t="shared" ref="L14:O18" si="11">B14*$AD14</f>
        <v>16506002.299931901</v>
      </c>
      <c r="M14" s="132">
        <f t="shared" si="11"/>
        <v>16506002.299931901</v>
      </c>
      <c r="N14" s="132">
        <f t="shared" si="11"/>
        <v>16506002.299931901</v>
      </c>
      <c r="O14" s="132">
        <f t="shared" si="11"/>
        <v>16506002.299931901</v>
      </c>
      <c r="P14" s="132">
        <f t="shared" ref="P14:S18" si="12">G14*$AD14</f>
        <v>26142429.184221912</v>
      </c>
      <c r="Q14" s="132">
        <f t="shared" si="12"/>
        <v>26142429.184221912</v>
      </c>
      <c r="R14" s="132">
        <f t="shared" si="12"/>
        <v>26142429.184221912</v>
      </c>
      <c r="S14" s="132">
        <f t="shared" si="12"/>
        <v>26142429.184221912</v>
      </c>
      <c r="U14" s="132">
        <f t="shared" ref="U14:X18" si="13">P14-L14</f>
        <v>9636426.8842900116</v>
      </c>
      <c r="V14" s="132">
        <f t="shared" si="13"/>
        <v>9636426.8842900116</v>
      </c>
      <c r="W14" s="132">
        <f t="shared" si="13"/>
        <v>9636426.8842900116</v>
      </c>
      <c r="X14" s="132">
        <f t="shared" si="13"/>
        <v>9636426.8842900116</v>
      </c>
      <c r="Y14" s="137" t="s">
        <v>198</v>
      </c>
      <c r="Z14" s="137"/>
      <c r="AA14" s="137"/>
      <c r="AB14" s="112">
        <v>153511.03499999997</v>
      </c>
      <c r="AC14" s="678">
        <v>52426324.772</v>
      </c>
      <c r="AD14" s="636">
        <f t="shared" ref="AD14:AD19" si="14">AC14/AB14</f>
        <v>341.5150238026863</v>
      </c>
      <c r="AH14" s="135"/>
      <c r="AI14" s="135"/>
      <c r="AJ14" s="135"/>
      <c r="AK14" s="135"/>
      <c r="AL14" s="135"/>
      <c r="AM14" s="132"/>
      <c r="AR14" s="135"/>
      <c r="AS14" s="135"/>
      <c r="AT14" s="135"/>
      <c r="AU14" s="135"/>
      <c r="AV14" s="135"/>
      <c r="AW14" s="135"/>
      <c r="AX14" s="132"/>
      <c r="BC14" s="135"/>
      <c r="BD14" s="135"/>
      <c r="BE14" s="135"/>
      <c r="BF14" s="135"/>
      <c r="BG14" s="135"/>
      <c r="BH14" s="135"/>
    </row>
    <row r="15" spans="1:74">
      <c r="A15" s="137" t="s">
        <v>199</v>
      </c>
      <c r="B15" s="128">
        <f t="shared" si="9"/>
        <v>14797.568043738422</v>
      </c>
      <c r="C15" s="128">
        <f t="shared" si="9"/>
        <v>14797.568043738422</v>
      </c>
      <c r="D15" s="128">
        <f t="shared" si="9"/>
        <v>14797.568043738422</v>
      </c>
      <c r="E15" s="128">
        <f t="shared" si="9"/>
        <v>14797.568043738422</v>
      </c>
      <c r="G15" s="128">
        <f t="shared" si="10"/>
        <v>23436.587954657734</v>
      </c>
      <c r="H15" s="128">
        <f t="shared" si="10"/>
        <v>23436.587954657734</v>
      </c>
      <c r="I15" s="128">
        <f t="shared" si="10"/>
        <v>23436.587954657734</v>
      </c>
      <c r="J15" s="128">
        <f t="shared" si="10"/>
        <v>23436.587954657734</v>
      </c>
      <c r="L15" s="132">
        <f t="shared" si="11"/>
        <v>4985373.7172500733</v>
      </c>
      <c r="M15" s="132">
        <f t="shared" si="11"/>
        <v>4985373.7172500733</v>
      </c>
      <c r="N15" s="132">
        <f t="shared" si="11"/>
        <v>4985373.7172500733</v>
      </c>
      <c r="O15" s="132">
        <f t="shared" si="11"/>
        <v>4985373.7172500733</v>
      </c>
      <c r="P15" s="132">
        <f t="shared" si="12"/>
        <v>7895902.1689115409</v>
      </c>
      <c r="Q15" s="132">
        <f t="shared" si="12"/>
        <v>7895902.1689115409</v>
      </c>
      <c r="R15" s="132">
        <f t="shared" si="12"/>
        <v>7895902.1689115409</v>
      </c>
      <c r="S15" s="132">
        <f t="shared" si="12"/>
        <v>7895902.1689115409</v>
      </c>
      <c r="U15" s="132">
        <f t="shared" si="13"/>
        <v>2910528.4516614676</v>
      </c>
      <c r="V15" s="132">
        <f t="shared" si="13"/>
        <v>2910528.4516614676</v>
      </c>
      <c r="W15" s="132">
        <f t="shared" si="13"/>
        <v>2910528.4516614676</v>
      </c>
      <c r="X15" s="132">
        <f t="shared" si="13"/>
        <v>2910528.4516614676</v>
      </c>
      <c r="Y15" s="137" t="s">
        <v>199</v>
      </c>
      <c r="Z15" s="137"/>
      <c r="AA15" s="137"/>
      <c r="AB15" s="112">
        <v>47000</v>
      </c>
      <c r="AC15" s="678">
        <v>15834532</v>
      </c>
      <c r="AD15" s="636">
        <f t="shared" si="14"/>
        <v>336.90493617021275</v>
      </c>
      <c r="AH15" s="135"/>
      <c r="AI15" s="135"/>
      <c r="AJ15" s="135"/>
      <c r="AK15" s="135"/>
      <c r="AL15" s="135"/>
      <c r="AM15" s="132"/>
      <c r="AR15" s="135"/>
      <c r="AS15" s="135"/>
      <c r="AT15" s="135"/>
      <c r="AU15" s="135"/>
      <c r="AV15" s="135"/>
      <c r="AW15" s="135"/>
      <c r="AX15" s="132"/>
      <c r="BC15" s="135"/>
      <c r="BD15" s="135"/>
      <c r="BE15" s="135"/>
      <c r="BF15" s="135"/>
      <c r="BG15" s="135"/>
      <c r="BH15" s="135"/>
    </row>
    <row r="16" spans="1:74">
      <c r="A16" s="137" t="s">
        <v>200</v>
      </c>
      <c r="B16" s="128">
        <f t="shared" si="9"/>
        <v>10074.939944672968</v>
      </c>
      <c r="C16" s="128">
        <f t="shared" si="9"/>
        <v>10074.939944672968</v>
      </c>
      <c r="D16" s="128">
        <f t="shared" si="9"/>
        <v>10074.939944672968</v>
      </c>
      <c r="E16" s="128">
        <f t="shared" si="9"/>
        <v>10074.939944672968</v>
      </c>
      <c r="G16" s="128">
        <f t="shared" si="10"/>
        <v>15956.825841469097</v>
      </c>
      <c r="H16" s="128">
        <f t="shared" si="10"/>
        <v>15956.825841469097</v>
      </c>
      <c r="I16" s="128">
        <f t="shared" si="10"/>
        <v>15956.825841469097</v>
      </c>
      <c r="J16" s="128">
        <f t="shared" si="10"/>
        <v>15956.825841469097</v>
      </c>
      <c r="L16" s="132">
        <f t="shared" si="11"/>
        <v>1545079.7239773057</v>
      </c>
      <c r="M16" s="132">
        <f t="shared" si="11"/>
        <v>1545079.7239773057</v>
      </c>
      <c r="N16" s="132">
        <f t="shared" si="11"/>
        <v>1545079.7239773057</v>
      </c>
      <c r="O16" s="132">
        <f t="shared" si="11"/>
        <v>1545079.7239773057</v>
      </c>
      <c r="P16" s="132">
        <f t="shared" si="12"/>
        <v>2447118.1170391878</v>
      </c>
      <c r="Q16" s="132">
        <f t="shared" si="12"/>
        <v>2447118.1170391878</v>
      </c>
      <c r="R16" s="132">
        <f t="shared" si="12"/>
        <v>2447118.1170391878</v>
      </c>
      <c r="S16" s="132">
        <f t="shared" si="12"/>
        <v>2447118.1170391878</v>
      </c>
      <c r="U16" s="132">
        <f t="shared" si="13"/>
        <v>902038.39306188212</v>
      </c>
      <c r="V16" s="132">
        <f t="shared" si="13"/>
        <v>902038.39306188212</v>
      </c>
      <c r="W16" s="132">
        <f t="shared" si="13"/>
        <v>902038.39306188212</v>
      </c>
      <c r="X16" s="132">
        <f t="shared" si="13"/>
        <v>902038.39306188212</v>
      </c>
      <c r="Y16" s="137" t="s">
        <v>200</v>
      </c>
      <c r="Z16" s="137"/>
      <c r="AA16" s="137"/>
      <c r="AB16" s="112">
        <v>32000</v>
      </c>
      <c r="AC16" s="678">
        <v>4907478.5</v>
      </c>
      <c r="AD16" s="636">
        <f t="shared" si="14"/>
        <v>153.35870312500001</v>
      </c>
      <c r="AH16" s="135"/>
      <c r="AI16" s="135"/>
      <c r="AJ16" s="135"/>
      <c r="AK16" s="135"/>
      <c r="AL16" s="135"/>
      <c r="AM16" s="132"/>
      <c r="AR16" s="135"/>
      <c r="AS16" s="135"/>
      <c r="AT16" s="135"/>
      <c r="AU16" s="135"/>
      <c r="AV16" s="135"/>
      <c r="AW16" s="135"/>
      <c r="AX16" s="132"/>
      <c r="BC16" s="135"/>
      <c r="BD16" s="135"/>
      <c r="BE16" s="135"/>
      <c r="BF16" s="135"/>
      <c r="BG16" s="135"/>
      <c r="BH16" s="135"/>
    </row>
    <row r="17" spans="1:60">
      <c r="A17" s="137" t="s">
        <v>201</v>
      </c>
      <c r="B17" s="674">
        <f t="shared" si="9"/>
        <v>6310.2119481971577</v>
      </c>
      <c r="C17" s="674">
        <f t="shared" si="9"/>
        <v>6310.2119481971577</v>
      </c>
      <c r="D17" s="674">
        <f t="shared" si="9"/>
        <v>6310.2119481971577</v>
      </c>
      <c r="E17" s="674">
        <f t="shared" si="9"/>
        <v>6310.2119481971577</v>
      </c>
      <c r="G17" s="128">
        <f t="shared" si="10"/>
        <v>9994.1988372227352</v>
      </c>
      <c r="H17" s="128">
        <f t="shared" si="10"/>
        <v>9994.1988372227352</v>
      </c>
      <c r="I17" s="128">
        <f t="shared" si="10"/>
        <v>9994.1988372227352</v>
      </c>
      <c r="J17" s="128">
        <f t="shared" si="10"/>
        <v>9994.1988372227352</v>
      </c>
      <c r="L17" s="132">
        <f t="shared" si="11"/>
        <v>3126876.2967215846</v>
      </c>
      <c r="M17" s="132">
        <f t="shared" si="11"/>
        <v>3126876.2967215846</v>
      </c>
      <c r="N17" s="132">
        <f t="shared" si="11"/>
        <v>3126876.2967215846</v>
      </c>
      <c r="O17" s="132">
        <f t="shared" si="11"/>
        <v>3126876.2967215846</v>
      </c>
      <c r="P17" s="135">
        <f t="shared" si="12"/>
        <v>4952388.8746340079</v>
      </c>
      <c r="Q17" s="135">
        <f t="shared" si="12"/>
        <v>4952388.8746340079</v>
      </c>
      <c r="R17" s="135">
        <f t="shared" si="12"/>
        <v>4952388.8746340079</v>
      </c>
      <c r="S17" s="135">
        <f t="shared" si="12"/>
        <v>4952388.8746340079</v>
      </c>
      <c r="U17" s="135">
        <f t="shared" si="13"/>
        <v>1825512.5779124233</v>
      </c>
      <c r="V17" s="135">
        <f t="shared" si="13"/>
        <v>1825512.5779124233</v>
      </c>
      <c r="W17" s="135">
        <f t="shared" si="13"/>
        <v>1825512.5779124233</v>
      </c>
      <c r="X17" s="135">
        <f t="shared" si="13"/>
        <v>1825512.5779124233</v>
      </c>
      <c r="Y17" s="137" t="s">
        <v>201</v>
      </c>
      <c r="Z17" s="137"/>
      <c r="AA17" s="137"/>
      <c r="AB17" s="112">
        <v>20042.48</v>
      </c>
      <c r="AC17" s="683">
        <v>9931576.9666693192</v>
      </c>
      <c r="AD17" s="636">
        <f t="shared" si="14"/>
        <v>495.52635036529011</v>
      </c>
      <c r="AH17" s="135"/>
      <c r="AI17" s="135"/>
      <c r="AJ17" s="135"/>
      <c r="AK17" s="135"/>
      <c r="AL17" s="135"/>
      <c r="AM17" s="135"/>
      <c r="AR17" s="135"/>
      <c r="AS17" s="135"/>
      <c r="AT17" s="135"/>
      <c r="AU17" s="135"/>
      <c r="AV17" s="135"/>
      <c r="AW17" s="135"/>
      <c r="AX17" s="135"/>
      <c r="BC17" s="135"/>
      <c r="BD17" s="135"/>
      <c r="BE17" s="135"/>
      <c r="BF17" s="135"/>
      <c r="BG17" s="135"/>
      <c r="BH17" s="135"/>
    </row>
    <row r="18" spans="1:60">
      <c r="A18" s="137" t="s">
        <v>202</v>
      </c>
      <c r="B18" s="134">
        <f t="shared" si="9"/>
        <v>29686.759008122135</v>
      </c>
      <c r="C18" s="134">
        <f t="shared" si="9"/>
        <v>29686.759008122135</v>
      </c>
      <c r="D18" s="134">
        <f t="shared" si="9"/>
        <v>29686.759008122135</v>
      </c>
      <c r="E18" s="134">
        <f t="shared" si="9"/>
        <v>29686.759008122135</v>
      </c>
      <c r="G18" s="134">
        <f t="shared" si="10"/>
        <v>47018.289527446432</v>
      </c>
      <c r="H18" s="134">
        <f t="shared" si="10"/>
        <v>47018.289527446432</v>
      </c>
      <c r="I18" s="134">
        <f t="shared" si="10"/>
        <v>47018.289527446432</v>
      </c>
      <c r="J18" s="134">
        <f t="shared" si="10"/>
        <v>47018.289527446432</v>
      </c>
      <c r="L18" s="132">
        <f t="shared" si="11"/>
        <v>10430484.339189073</v>
      </c>
      <c r="M18" s="132">
        <f t="shared" si="11"/>
        <v>10430484.339189073</v>
      </c>
      <c r="N18" s="132">
        <f t="shared" si="11"/>
        <v>10430484.339189073</v>
      </c>
      <c r="O18" s="132">
        <f t="shared" si="11"/>
        <v>10430484.339189073</v>
      </c>
      <c r="P18" s="132">
        <f t="shared" si="12"/>
        <v>16519941.851426437</v>
      </c>
      <c r="Q18" s="132">
        <f t="shared" si="12"/>
        <v>16519941.851426437</v>
      </c>
      <c r="R18" s="132">
        <f t="shared" si="12"/>
        <v>16519941.851426437</v>
      </c>
      <c r="S18" s="132">
        <f t="shared" si="12"/>
        <v>16519941.851426437</v>
      </c>
      <c r="U18" s="132">
        <f t="shared" si="13"/>
        <v>6089457.5122373644</v>
      </c>
      <c r="V18" s="132">
        <f t="shared" si="13"/>
        <v>6089457.5122373644</v>
      </c>
      <c r="W18" s="132">
        <f t="shared" si="13"/>
        <v>6089457.5122373644</v>
      </c>
      <c r="X18" s="132">
        <f t="shared" si="13"/>
        <v>6089457.5122373644</v>
      </c>
      <c r="Y18" s="137" t="s">
        <v>202</v>
      </c>
      <c r="Z18" s="137"/>
      <c r="AA18" s="143"/>
      <c r="AB18" s="118">
        <v>94291.012500000012</v>
      </c>
      <c r="AC18" s="684">
        <v>33129279.25</v>
      </c>
      <c r="AD18" s="636">
        <f t="shared" si="14"/>
        <v>351.35140000750334</v>
      </c>
      <c r="AH18" s="135"/>
      <c r="AI18" s="135"/>
      <c r="AJ18" s="135"/>
      <c r="AK18" s="135"/>
      <c r="AL18" s="135"/>
      <c r="AM18" s="132"/>
      <c r="AR18" s="135"/>
      <c r="AS18" s="135"/>
      <c r="AT18" s="135"/>
      <c r="AU18" s="135"/>
      <c r="AV18" s="135"/>
      <c r="AW18" s="135"/>
      <c r="AX18" s="132"/>
      <c r="BC18" s="135"/>
      <c r="BD18" s="135"/>
      <c r="BE18" s="135"/>
      <c r="BF18" s="135"/>
      <c r="BG18" s="135"/>
      <c r="BH18" s="135"/>
    </row>
    <row r="19" spans="1:60">
      <c r="A19" s="113" t="s">
        <v>580</v>
      </c>
      <c r="B19" s="134">
        <f>SUM(B14:B17)+B18</f>
        <v>109201.18077190538</v>
      </c>
      <c r="C19" s="134">
        <f>SUM(C14:C17)+C18</f>
        <v>109201.18077190538</v>
      </c>
      <c r="D19" s="134">
        <f>SUM(D14:D17)+D18</f>
        <v>109201.18077190538</v>
      </c>
      <c r="E19" s="134">
        <f>SUM(E14:E17)+E18</f>
        <v>109201.18077190538</v>
      </c>
      <c r="G19" s="134">
        <f>SUM(G14:G17)+G18</f>
        <v>172954.30373075433</v>
      </c>
      <c r="H19" s="134">
        <f>SUM(H14:H17)+H18</f>
        <v>172954.30373075433</v>
      </c>
      <c r="I19" s="134">
        <f>SUM(I14:I17)+I18</f>
        <v>172954.30373075433</v>
      </c>
      <c r="J19" s="134">
        <f>SUM(J14:J17)+J18</f>
        <v>172954.30373075433</v>
      </c>
      <c r="L19" s="139">
        <f>SUM(L14:L18)</f>
        <v>36593816.377069935</v>
      </c>
      <c r="M19" s="139">
        <f t="shared" ref="M19:O19" si="15">SUM(M14:M18)</f>
        <v>36593816.377069935</v>
      </c>
      <c r="N19" s="139">
        <f t="shared" si="15"/>
        <v>36593816.377069935</v>
      </c>
      <c r="O19" s="139">
        <f t="shared" si="15"/>
        <v>36593816.377069935</v>
      </c>
      <c r="P19" s="139">
        <f>SUM(P14:P18)</f>
        <v>57957780.196233086</v>
      </c>
      <c r="Q19" s="139">
        <f t="shared" ref="Q19:S19" si="16">SUM(Q14:Q18)</f>
        <v>57957780.196233086</v>
      </c>
      <c r="R19" s="139">
        <f t="shared" si="16"/>
        <v>57957780.196233086</v>
      </c>
      <c r="S19" s="139">
        <f t="shared" si="16"/>
        <v>57957780.196233086</v>
      </c>
      <c r="U19" s="139">
        <f>SUM(U14:U18)</f>
        <v>21363963.819163151</v>
      </c>
      <c r="V19" s="139">
        <f t="shared" ref="V19:X19" si="17">SUM(V14:V18)</f>
        <v>21363963.819163151</v>
      </c>
      <c r="W19" s="139">
        <f t="shared" si="17"/>
        <v>21363963.819163151</v>
      </c>
      <c r="X19" s="139">
        <f t="shared" si="17"/>
        <v>21363963.819163151</v>
      </c>
      <c r="Y19" s="113" t="s">
        <v>580</v>
      </c>
      <c r="Z19" s="113"/>
      <c r="AA19" s="117"/>
      <c r="AB19" s="114">
        <f>SUM(AB14:AB18)</f>
        <v>346844.52749999997</v>
      </c>
      <c r="AC19" s="680">
        <f>SUM(AC14:AC18)</f>
        <v>116229191.48866932</v>
      </c>
      <c r="AD19" s="636">
        <f t="shared" si="14"/>
        <v>335.10458511896036</v>
      </c>
      <c r="AH19" s="135"/>
      <c r="AI19" s="135"/>
      <c r="AJ19" s="135"/>
      <c r="AK19" s="135"/>
      <c r="AL19" s="135"/>
      <c r="AM19" s="135"/>
      <c r="AR19" s="135"/>
      <c r="AS19" s="135"/>
      <c r="AT19" s="135"/>
      <c r="AU19" s="135"/>
      <c r="AV19" s="135"/>
      <c r="AW19" s="135"/>
      <c r="AX19" s="135"/>
      <c r="BC19" s="135"/>
      <c r="BD19" s="135"/>
      <c r="BE19" s="135"/>
      <c r="BF19" s="135"/>
      <c r="BG19" s="135"/>
      <c r="BH19" s="135"/>
    </row>
    <row r="20" spans="1:60">
      <c r="A20" s="115"/>
      <c r="B20" s="128"/>
      <c r="C20" s="128"/>
      <c r="D20" s="128"/>
      <c r="E20" s="128"/>
      <c r="G20" s="128"/>
      <c r="H20" s="128"/>
      <c r="I20" s="128"/>
      <c r="J20" s="128"/>
      <c r="L20" s="132"/>
      <c r="M20" s="132"/>
      <c r="N20" s="132"/>
      <c r="O20" s="132"/>
      <c r="P20" s="132"/>
      <c r="Q20" s="132"/>
      <c r="R20" s="132"/>
      <c r="S20" s="132"/>
      <c r="U20" s="132"/>
      <c r="V20" s="132"/>
      <c r="W20" s="132"/>
      <c r="X20" s="132"/>
      <c r="Y20" s="115"/>
      <c r="Z20" s="140"/>
      <c r="AA20" s="140"/>
      <c r="AB20" s="638"/>
      <c r="AC20" s="681"/>
      <c r="AD20" s="636"/>
      <c r="AH20" s="135"/>
      <c r="AI20" s="135"/>
      <c r="AJ20" s="135"/>
      <c r="AK20" s="135"/>
      <c r="AL20" s="135"/>
      <c r="AM20" s="132"/>
      <c r="AR20" s="135"/>
      <c r="AS20" s="135"/>
      <c r="AT20" s="135"/>
      <c r="AU20" s="135"/>
      <c r="AV20" s="135"/>
      <c r="AW20" s="135"/>
      <c r="AX20" s="132"/>
      <c r="BC20" s="135"/>
      <c r="BD20" s="135"/>
      <c r="BE20" s="135"/>
      <c r="BF20" s="135"/>
      <c r="BG20" s="135"/>
      <c r="BH20" s="135"/>
    </row>
    <row r="21" spans="1:60">
      <c r="A21" s="670" t="s">
        <v>581</v>
      </c>
      <c r="B21" s="128"/>
      <c r="C21" s="128"/>
      <c r="D21" s="128"/>
      <c r="E21" s="128"/>
      <c r="G21" s="128"/>
      <c r="H21" s="128"/>
      <c r="I21" s="128"/>
      <c r="J21" s="128"/>
      <c r="L21" s="132"/>
      <c r="M21" s="132"/>
      <c r="N21" s="132"/>
      <c r="O21" s="132"/>
      <c r="P21" s="132"/>
      <c r="Q21" s="132"/>
      <c r="R21" s="132"/>
      <c r="S21" s="132"/>
      <c r="U21" s="132"/>
      <c r="V21" s="132"/>
      <c r="W21" s="132"/>
      <c r="X21" s="132"/>
      <c r="Y21" s="670" t="s">
        <v>581</v>
      </c>
      <c r="Z21" s="670"/>
      <c r="AA21" s="670"/>
      <c r="AB21" s="671"/>
      <c r="AC21" s="685"/>
      <c r="AD21" s="636"/>
      <c r="AH21" s="135"/>
      <c r="AI21" s="135"/>
      <c r="AJ21" s="135"/>
      <c r="AK21" s="135"/>
      <c r="AL21" s="135"/>
      <c r="AM21" s="132"/>
      <c r="AR21" s="135"/>
      <c r="AS21" s="135"/>
      <c r="AT21" s="135"/>
      <c r="AU21" s="135"/>
      <c r="AV21" s="135"/>
      <c r="AW21" s="135"/>
      <c r="AX21" s="132"/>
      <c r="BC21" s="135"/>
      <c r="BD21" s="135"/>
      <c r="BE21" s="135"/>
      <c r="BF21" s="135"/>
      <c r="BG21" s="135"/>
      <c r="BH21" s="135"/>
    </row>
    <row r="22" spans="1:60">
      <c r="A22" s="140" t="s">
        <v>582</v>
      </c>
      <c r="B22" s="128">
        <f t="shared" ref="B22:E23" si="18">$AB22/$AB$29*B$3</f>
        <v>543.10223139252719</v>
      </c>
      <c r="C22" s="128">
        <f t="shared" si="18"/>
        <v>543.10223139252719</v>
      </c>
      <c r="D22" s="128">
        <f t="shared" si="18"/>
        <v>543.10223139252719</v>
      </c>
      <c r="E22" s="128">
        <f t="shared" si="18"/>
        <v>543.10223139252719</v>
      </c>
      <c r="G22" s="128">
        <f t="shared" ref="G22:J23" si="19">$AB22/$AB$29*G$3</f>
        <v>860.17264301669343</v>
      </c>
      <c r="H22" s="128">
        <f t="shared" si="19"/>
        <v>860.17264301669343</v>
      </c>
      <c r="I22" s="128">
        <f t="shared" si="19"/>
        <v>860.17264301669343</v>
      </c>
      <c r="J22" s="128">
        <f t="shared" si="19"/>
        <v>860.17264301669343</v>
      </c>
      <c r="L22" s="132">
        <f t="shared" ref="L22:O23" si="20">B22*$AD22</f>
        <v>328800.03404488304</v>
      </c>
      <c r="M22" s="132">
        <f t="shared" si="20"/>
        <v>328800.03404488304</v>
      </c>
      <c r="N22" s="132">
        <f t="shared" si="20"/>
        <v>328800.03404488304</v>
      </c>
      <c r="O22" s="132">
        <f t="shared" si="20"/>
        <v>328800.03404488304</v>
      </c>
      <c r="P22" s="132">
        <f t="shared" ref="P22:S23" si="21">G22*$AD22</f>
        <v>520757.93093907251</v>
      </c>
      <c r="Q22" s="132">
        <f t="shared" si="21"/>
        <v>520757.93093907251</v>
      </c>
      <c r="R22" s="132">
        <f t="shared" si="21"/>
        <v>520757.93093907251</v>
      </c>
      <c r="S22" s="132">
        <f t="shared" si="21"/>
        <v>520757.93093907251</v>
      </c>
      <c r="U22" s="132">
        <f t="shared" ref="U22:X23" si="22">P22-L22</f>
        <v>191957.89689418947</v>
      </c>
      <c r="V22" s="132">
        <f t="shared" si="22"/>
        <v>191957.89689418947</v>
      </c>
      <c r="W22" s="132">
        <f t="shared" si="22"/>
        <v>191957.89689418947</v>
      </c>
      <c r="X22" s="132">
        <f t="shared" si="22"/>
        <v>191957.89689418947</v>
      </c>
      <c r="Y22" s="140" t="s">
        <v>582</v>
      </c>
      <c r="Z22" s="140"/>
      <c r="AA22" s="140"/>
      <c r="AB22" s="669">
        <v>1725</v>
      </c>
      <c r="AC22" s="686">
        <v>1044333.87665</v>
      </c>
      <c r="AD22" s="636">
        <f>AC22/AB22</f>
        <v>605.41094298550729</v>
      </c>
      <c r="AH22" s="135"/>
      <c r="AI22" s="135"/>
      <c r="AJ22" s="135"/>
      <c r="AK22" s="135"/>
      <c r="AL22" s="135"/>
      <c r="AM22" s="132"/>
      <c r="AR22" s="135"/>
      <c r="AS22" s="135"/>
      <c r="AT22" s="135"/>
      <c r="AU22" s="135"/>
      <c r="AV22" s="135"/>
      <c r="AW22" s="135"/>
      <c r="AX22" s="132"/>
      <c r="BC22" s="135"/>
      <c r="BD22" s="135"/>
      <c r="BE22" s="135"/>
      <c r="BF22" s="135"/>
      <c r="BG22" s="135"/>
      <c r="BH22" s="135"/>
    </row>
    <row r="23" spans="1:60">
      <c r="A23" s="140" t="s">
        <v>583</v>
      </c>
      <c r="B23" s="128">
        <f t="shared" si="18"/>
        <v>944.52561981309077</v>
      </c>
      <c r="C23" s="128">
        <f t="shared" si="18"/>
        <v>944.52561981309077</v>
      </c>
      <c r="D23" s="128">
        <f t="shared" si="18"/>
        <v>944.52561981309077</v>
      </c>
      <c r="E23" s="128">
        <f t="shared" si="18"/>
        <v>944.52561981309077</v>
      </c>
      <c r="G23" s="131">
        <f t="shared" si="19"/>
        <v>1495.952422637728</v>
      </c>
      <c r="H23" s="128">
        <f t="shared" si="19"/>
        <v>1495.952422637728</v>
      </c>
      <c r="I23" s="128">
        <f t="shared" si="19"/>
        <v>1495.952422637728</v>
      </c>
      <c r="J23" s="128">
        <f t="shared" si="19"/>
        <v>1495.952422637728</v>
      </c>
      <c r="L23" s="132">
        <f t="shared" si="20"/>
        <v>204238.08061185395</v>
      </c>
      <c r="M23" s="132">
        <f t="shared" si="20"/>
        <v>204238.08061185395</v>
      </c>
      <c r="N23" s="132">
        <f t="shared" si="20"/>
        <v>204238.08061185395</v>
      </c>
      <c r="O23" s="132">
        <f t="shared" si="20"/>
        <v>204238.08061185395</v>
      </c>
      <c r="P23" s="132">
        <f t="shared" si="21"/>
        <v>323475.02818043513</v>
      </c>
      <c r="Q23" s="132">
        <f t="shared" si="21"/>
        <v>323475.02818043513</v>
      </c>
      <c r="R23" s="132">
        <f t="shared" si="21"/>
        <v>323475.02818043513</v>
      </c>
      <c r="S23" s="132">
        <f t="shared" si="21"/>
        <v>323475.02818043513</v>
      </c>
      <c r="U23" s="132">
        <f t="shared" si="22"/>
        <v>119236.94756858118</v>
      </c>
      <c r="V23" s="132">
        <f t="shared" si="22"/>
        <v>119236.94756858118</v>
      </c>
      <c r="W23" s="132">
        <f t="shared" si="22"/>
        <v>119236.94756858118</v>
      </c>
      <c r="X23" s="132">
        <f t="shared" si="22"/>
        <v>119236.94756858118</v>
      </c>
      <c r="Y23" s="140" t="s">
        <v>583</v>
      </c>
      <c r="Z23" s="140"/>
      <c r="AA23" s="144"/>
      <c r="AB23" s="118">
        <v>3000</v>
      </c>
      <c r="AC23" s="687">
        <v>648700.5</v>
      </c>
      <c r="AD23" s="636">
        <f>AC23/AB23</f>
        <v>216.23349999999999</v>
      </c>
      <c r="AH23" s="135"/>
      <c r="AI23" s="135"/>
      <c r="AJ23" s="135"/>
      <c r="AK23" s="135"/>
      <c r="AL23" s="135"/>
      <c r="AM23" s="132"/>
      <c r="AR23" s="135"/>
      <c r="AS23" s="135"/>
      <c r="AT23" s="135"/>
      <c r="AU23" s="135"/>
      <c r="AV23" s="135"/>
      <c r="AW23" s="135"/>
      <c r="AX23" s="132"/>
      <c r="BC23" s="135"/>
      <c r="BD23" s="135"/>
      <c r="BE23" s="135"/>
      <c r="BF23" s="135"/>
      <c r="BG23" s="135"/>
      <c r="BH23" s="135"/>
    </row>
    <row r="24" spans="1:60">
      <c r="A24" s="113" t="s">
        <v>584</v>
      </c>
      <c r="B24" s="138">
        <f>B22+B23</f>
        <v>1487.6278512056178</v>
      </c>
      <c r="C24" s="138">
        <f>C22+C23</f>
        <v>1487.6278512056178</v>
      </c>
      <c r="D24" s="138">
        <f>D22+D23</f>
        <v>1487.6278512056178</v>
      </c>
      <c r="E24" s="138">
        <f>E22+E23</f>
        <v>1487.6278512056178</v>
      </c>
      <c r="G24" s="138">
        <f>G22+G23</f>
        <v>2356.1250656544216</v>
      </c>
      <c r="H24" s="138">
        <f>H22+H23</f>
        <v>2356.1250656544216</v>
      </c>
      <c r="I24" s="138">
        <f>I22+I23</f>
        <v>2356.1250656544216</v>
      </c>
      <c r="J24" s="138">
        <f>J22+J23</f>
        <v>2356.1250656544216</v>
      </c>
      <c r="L24" s="139">
        <f>L22+L23</f>
        <v>533038.11465673696</v>
      </c>
      <c r="M24" s="139">
        <f t="shared" ref="M24:O24" si="23">M22+M23</f>
        <v>533038.11465673696</v>
      </c>
      <c r="N24" s="139">
        <f t="shared" si="23"/>
        <v>533038.11465673696</v>
      </c>
      <c r="O24" s="139">
        <f t="shared" si="23"/>
        <v>533038.11465673696</v>
      </c>
      <c r="P24" s="139">
        <f>P22+P23</f>
        <v>844232.95911950758</v>
      </c>
      <c r="Q24" s="139">
        <f t="shared" ref="Q24:S24" si="24">Q22+Q23</f>
        <v>844232.95911950758</v>
      </c>
      <c r="R24" s="139">
        <f t="shared" si="24"/>
        <v>844232.95911950758</v>
      </c>
      <c r="S24" s="139">
        <f t="shared" si="24"/>
        <v>844232.95911950758</v>
      </c>
      <c r="U24" s="139">
        <f>U22+U23</f>
        <v>311194.84446277062</v>
      </c>
      <c r="V24" s="139">
        <f t="shared" ref="V24:X24" si="25">V22+V23</f>
        <v>311194.84446277062</v>
      </c>
      <c r="W24" s="139">
        <f t="shared" si="25"/>
        <v>311194.84446277062</v>
      </c>
      <c r="X24" s="139">
        <f t="shared" si="25"/>
        <v>311194.84446277062</v>
      </c>
      <c r="Y24" s="113" t="s">
        <v>584</v>
      </c>
      <c r="Z24" s="113"/>
      <c r="AA24" s="117"/>
      <c r="AB24" s="114">
        <f>SUM(AB22:AB23)</f>
        <v>4725</v>
      </c>
      <c r="AC24" s="680">
        <f>SUM(AC22:AC23)</f>
        <v>1693034.37665</v>
      </c>
      <c r="AD24" s="636">
        <f>AC24/AB24</f>
        <v>358.31415378835976</v>
      </c>
      <c r="AH24" s="135"/>
      <c r="AI24" s="135"/>
      <c r="AJ24" s="135"/>
      <c r="AK24" s="135"/>
      <c r="AL24" s="135"/>
      <c r="AM24" s="135"/>
      <c r="AR24" s="135"/>
      <c r="AS24" s="135"/>
      <c r="AT24" s="135"/>
      <c r="AU24" s="135"/>
      <c r="AV24" s="135"/>
      <c r="AW24" s="135"/>
      <c r="AX24" s="135"/>
      <c r="BC24" s="135"/>
      <c r="BD24" s="135"/>
      <c r="BE24" s="135"/>
      <c r="BF24" s="135"/>
      <c r="BG24" s="135"/>
      <c r="BH24" s="135"/>
    </row>
    <row r="25" spans="1:60">
      <c r="A25" s="140"/>
      <c r="B25" s="128"/>
      <c r="C25" s="128"/>
      <c r="D25" s="128"/>
      <c r="E25" s="128"/>
      <c r="G25" s="128"/>
      <c r="H25" s="128"/>
      <c r="I25" s="128"/>
      <c r="J25" s="128"/>
      <c r="L25" s="132"/>
      <c r="M25" s="132"/>
      <c r="N25" s="132"/>
      <c r="O25" s="132"/>
      <c r="P25" s="132"/>
      <c r="Q25" s="132"/>
      <c r="R25" s="132"/>
      <c r="S25" s="132"/>
      <c r="U25" s="132"/>
      <c r="V25" s="132"/>
      <c r="W25" s="132"/>
      <c r="X25" s="132"/>
      <c r="Y25" s="140"/>
      <c r="Z25" s="140"/>
      <c r="AA25" s="638"/>
      <c r="AB25" s="116"/>
      <c r="AC25" s="636"/>
      <c r="AD25" s="135"/>
      <c r="AH25" s="135"/>
      <c r="AI25" s="135"/>
      <c r="AJ25" s="135"/>
      <c r="AK25" s="135"/>
      <c r="AL25" s="135"/>
      <c r="AM25" s="132"/>
      <c r="AR25" s="135"/>
      <c r="AS25" s="135"/>
      <c r="AT25" s="135"/>
      <c r="AU25" s="135"/>
      <c r="AV25" s="135"/>
      <c r="AW25" s="135"/>
      <c r="AX25" s="132"/>
      <c r="BC25" s="135"/>
      <c r="BD25" s="135"/>
      <c r="BE25" s="135"/>
      <c r="BF25" s="135"/>
      <c r="BG25" s="135"/>
      <c r="BH25" s="135"/>
    </row>
    <row r="26" spans="1:60">
      <c r="A26" s="672" t="s">
        <v>585</v>
      </c>
      <c r="B26" s="128"/>
      <c r="C26" s="128"/>
      <c r="D26" s="128"/>
      <c r="E26" s="128"/>
      <c r="G26" s="128"/>
      <c r="H26" s="128"/>
      <c r="I26" s="128"/>
      <c r="J26" s="128"/>
      <c r="L26" s="132"/>
      <c r="M26" s="132"/>
      <c r="N26" s="132"/>
      <c r="O26" s="132"/>
      <c r="P26" s="132"/>
      <c r="Q26" s="132"/>
      <c r="R26" s="132"/>
      <c r="S26" s="132"/>
      <c r="U26" s="132"/>
      <c r="V26" s="132"/>
      <c r="W26" s="132"/>
      <c r="X26" s="132"/>
      <c r="Y26" s="672" t="s">
        <v>585</v>
      </c>
      <c r="Z26" s="672"/>
      <c r="AA26" s="672"/>
      <c r="AB26" s="673"/>
      <c r="AC26" s="688"/>
      <c r="AD26" s="636"/>
      <c r="AH26" s="135"/>
      <c r="AI26" s="135"/>
      <c r="AJ26" s="135"/>
      <c r="AK26" s="135"/>
      <c r="AL26" s="135"/>
      <c r="AM26" s="132"/>
      <c r="AR26" s="135"/>
      <c r="AS26" s="135"/>
      <c r="AT26" s="135"/>
      <c r="AU26" s="135"/>
      <c r="AV26" s="135"/>
      <c r="AW26" s="135"/>
      <c r="AX26" s="132"/>
      <c r="BC26" s="135"/>
      <c r="BD26" s="135"/>
      <c r="BE26" s="135"/>
      <c r="BF26" s="135"/>
      <c r="BG26" s="135"/>
      <c r="BH26" s="135"/>
    </row>
    <row r="27" spans="1:60">
      <c r="A27" s="137" t="s">
        <v>586</v>
      </c>
      <c r="B27" s="128">
        <f>$AB27/$AB$29*B$3</f>
        <v>8935.9679839276887</v>
      </c>
      <c r="C27" s="128">
        <f>$AB27/$AB$29*C$3</f>
        <v>8935.9679839276887</v>
      </c>
      <c r="D27" s="128">
        <f>$AB27/$AB$29*D$3</f>
        <v>8935.9679839276887</v>
      </c>
      <c r="E27" s="128">
        <f>$AB27/$AB$29*E$3</f>
        <v>8935.9679839276887</v>
      </c>
      <c r="G27" s="128">
        <f>$AB27/$AB$29*G$3</f>
        <v>14152.906680091017</v>
      </c>
      <c r="H27" s="128">
        <f>$AB27/$AB$29*H$3</f>
        <v>14152.906680091017</v>
      </c>
      <c r="I27" s="128">
        <f>$AB27/$AB$29*I$3</f>
        <v>14152.906680091017</v>
      </c>
      <c r="J27" s="128">
        <f>$AB27/$AB$29*J$3</f>
        <v>14152.906680091017</v>
      </c>
      <c r="L27" s="132">
        <f>B27*$AD27</f>
        <v>3048736.017530215</v>
      </c>
      <c r="M27" s="132">
        <f>C27*$AD27</f>
        <v>3048736.017530215</v>
      </c>
      <c r="N27" s="132">
        <f>D27*$AD27</f>
        <v>3048736.017530215</v>
      </c>
      <c r="O27" s="132">
        <f>E27*$AD27</f>
        <v>3048736.017530215</v>
      </c>
      <c r="P27" s="132">
        <f>G27*$AD27</f>
        <v>4828629.245980368</v>
      </c>
      <c r="Q27" s="132">
        <f>H27*$AD27</f>
        <v>4828629.245980368</v>
      </c>
      <c r="R27" s="132">
        <f>I27*$AD27</f>
        <v>4828629.245980368</v>
      </c>
      <c r="S27" s="132">
        <f>J27*$AD27</f>
        <v>4828629.245980368</v>
      </c>
      <c r="U27" s="721">
        <f t="shared" ref="U27:X27" si="26">P27-L27</f>
        <v>1779893.228450153</v>
      </c>
      <c r="V27" s="721">
        <f t="shared" si="26"/>
        <v>1779893.228450153</v>
      </c>
      <c r="W27" s="721">
        <f t="shared" si="26"/>
        <v>1779893.228450153</v>
      </c>
      <c r="X27" s="721">
        <f t="shared" si="26"/>
        <v>1779893.228450153</v>
      </c>
      <c r="Y27" s="137" t="s">
        <v>586</v>
      </c>
      <c r="Z27" s="137"/>
      <c r="AA27" s="143"/>
      <c r="AB27" s="119">
        <v>28382.400000000001</v>
      </c>
      <c r="AC27" s="689">
        <v>9683388</v>
      </c>
      <c r="AD27" s="636">
        <f>AC27/AB27</f>
        <v>341.17579908675799</v>
      </c>
      <c r="AH27" s="135"/>
      <c r="AI27" s="135"/>
      <c r="AJ27" s="135"/>
      <c r="AK27" s="135"/>
      <c r="AL27" s="135"/>
      <c r="AM27" s="132"/>
      <c r="AR27" s="135"/>
      <c r="AS27" s="135"/>
      <c r="AT27" s="135"/>
      <c r="AU27" s="135"/>
      <c r="AV27" s="135"/>
      <c r="AW27" s="135"/>
      <c r="AX27" s="132"/>
      <c r="BC27" s="135"/>
      <c r="BD27" s="135"/>
      <c r="BE27" s="135"/>
      <c r="BF27" s="135"/>
      <c r="BG27" s="135"/>
      <c r="BH27" s="135"/>
    </row>
    <row r="28" spans="1:60">
      <c r="A28" s="113" t="s">
        <v>587</v>
      </c>
      <c r="B28" s="138">
        <f>SUM(B27:B27)</f>
        <v>8935.9679839276887</v>
      </c>
      <c r="C28" s="138">
        <f>SUM(C27:C27)</f>
        <v>8935.9679839276887</v>
      </c>
      <c r="D28" s="138">
        <f>SUM(D27:D27)</f>
        <v>8935.9679839276887</v>
      </c>
      <c r="E28" s="138">
        <f>SUM(E27:E27)</f>
        <v>8935.9679839276887</v>
      </c>
      <c r="G28" s="138">
        <f>SUM(G27:G27)</f>
        <v>14152.906680091017</v>
      </c>
      <c r="H28" s="138">
        <f>SUM(H27:H27)</f>
        <v>14152.906680091017</v>
      </c>
      <c r="I28" s="138">
        <f>SUM(I27:I27)</f>
        <v>14152.906680091017</v>
      </c>
      <c r="J28" s="138">
        <f>SUM(J27:J27)</f>
        <v>14152.906680091017</v>
      </c>
      <c r="L28" s="139">
        <f t="shared" ref="L28:S28" si="27">SUM(L27:L27)</f>
        <v>3048736.017530215</v>
      </c>
      <c r="M28" s="139">
        <f t="shared" si="27"/>
        <v>3048736.017530215</v>
      </c>
      <c r="N28" s="139">
        <f t="shared" si="27"/>
        <v>3048736.017530215</v>
      </c>
      <c r="O28" s="139">
        <f t="shared" si="27"/>
        <v>3048736.017530215</v>
      </c>
      <c r="P28" s="139">
        <f t="shared" si="27"/>
        <v>4828629.245980368</v>
      </c>
      <c r="Q28" s="139">
        <f t="shared" si="27"/>
        <v>4828629.245980368</v>
      </c>
      <c r="R28" s="139">
        <f t="shared" si="27"/>
        <v>4828629.245980368</v>
      </c>
      <c r="S28" s="139">
        <f t="shared" si="27"/>
        <v>4828629.245980368</v>
      </c>
      <c r="U28" s="132">
        <f>U27</f>
        <v>1779893.228450153</v>
      </c>
      <c r="V28" s="132">
        <f t="shared" ref="V28:X28" si="28">V27</f>
        <v>1779893.228450153</v>
      </c>
      <c r="W28" s="132">
        <f t="shared" si="28"/>
        <v>1779893.228450153</v>
      </c>
      <c r="X28" s="132">
        <f t="shared" si="28"/>
        <v>1779893.228450153</v>
      </c>
      <c r="Y28" s="113" t="s">
        <v>587</v>
      </c>
      <c r="Z28" s="113"/>
      <c r="AA28" s="117"/>
      <c r="AB28" s="114">
        <f>AB27</f>
        <v>28382.400000000001</v>
      </c>
      <c r="AC28" s="680">
        <f>AC27</f>
        <v>9683388</v>
      </c>
      <c r="AD28" s="636">
        <f>AC28/AB28</f>
        <v>341.17579908675799</v>
      </c>
      <c r="AH28" s="135"/>
      <c r="AI28" s="135"/>
      <c r="AJ28" s="135"/>
      <c r="AK28" s="135"/>
      <c r="AL28" s="135"/>
      <c r="AM28" s="135"/>
      <c r="AR28" s="135"/>
      <c r="AS28" s="135"/>
      <c r="AT28" s="135"/>
      <c r="AU28" s="135"/>
      <c r="AV28" s="135"/>
      <c r="AW28" s="135"/>
      <c r="AX28" s="135"/>
      <c r="BC28" s="135"/>
      <c r="BD28" s="135"/>
      <c r="BE28" s="135"/>
      <c r="BF28" s="135"/>
      <c r="BG28" s="135"/>
      <c r="BH28" s="135"/>
    </row>
    <row r="29" spans="1:60" ht="13.5" thickBot="1">
      <c r="A29" s="120" t="s">
        <v>598</v>
      </c>
      <c r="B29" s="146">
        <f>B11+B19+B24+B28</f>
        <v>165511.94460937506</v>
      </c>
      <c r="C29" s="146">
        <f>C11+C19+C24+C28</f>
        <v>165511.94460937506</v>
      </c>
      <c r="D29" s="146">
        <f>D11+D19+D24+D28</f>
        <v>165511.94460937506</v>
      </c>
      <c r="E29" s="146">
        <f>E11+E19+E24+E28</f>
        <v>165511.94460937506</v>
      </c>
      <c r="G29" s="146">
        <f>G11+G19+G24+G28</f>
        <v>262140.05138671881</v>
      </c>
      <c r="H29" s="146">
        <f>H11+H19+H24+H28</f>
        <v>262140.05138671881</v>
      </c>
      <c r="I29" s="146">
        <f>I11+I19+I24+I28</f>
        <v>262140.05138671881</v>
      </c>
      <c r="J29" s="146">
        <f>J11+J19+J24+J28</f>
        <v>262140.05138671881</v>
      </c>
      <c r="L29" s="148">
        <f>L11+L19+L24+L28</f>
        <v>64352473.545366868</v>
      </c>
      <c r="M29" s="148">
        <f t="shared" ref="M29:O29" si="29">M11+M19+M24+M28</f>
        <v>64352473.545366868</v>
      </c>
      <c r="N29" s="148">
        <f t="shared" si="29"/>
        <v>64352473.545366868</v>
      </c>
      <c r="O29" s="148">
        <f t="shared" si="29"/>
        <v>64352473.545366868</v>
      </c>
      <c r="P29" s="148">
        <f>P11+P19+P24+P28</f>
        <v>101922316.01083736</v>
      </c>
      <c r="Q29" s="148">
        <f>Q11+Q19+Q24+Q28</f>
        <v>101922316.01083736</v>
      </c>
      <c r="R29" s="148">
        <f>R11+R19+R24+R28</f>
        <v>101922316.01083736</v>
      </c>
      <c r="S29" s="148">
        <f>S11+S19+S24+S28</f>
        <v>101922316.01083736</v>
      </c>
      <c r="U29" s="148">
        <f>U11+U19+U24+U28</f>
        <v>37569842.465470478</v>
      </c>
      <c r="V29" s="148">
        <f t="shared" ref="V29:X29" si="30">V11+V19+V24+V28</f>
        <v>37569842.465470478</v>
      </c>
      <c r="W29" s="148">
        <f t="shared" si="30"/>
        <v>37569842.465470478</v>
      </c>
      <c r="X29" s="148">
        <f t="shared" si="30"/>
        <v>37569842.465470478</v>
      </c>
      <c r="Y29" s="120" t="s">
        <v>598</v>
      </c>
      <c r="AB29" s="146">
        <f>AB11+AB19+AB24+AB28</f>
        <v>525698.64004999993</v>
      </c>
      <c r="AC29" s="148">
        <f>AC11+AC19+AC24+AC28</f>
        <v>204396171.56631932</v>
      </c>
      <c r="AD29" s="147"/>
      <c r="AH29" s="135"/>
      <c r="AI29" s="135"/>
      <c r="AJ29" s="135"/>
      <c r="AK29" s="135"/>
      <c r="AL29" s="135"/>
      <c r="AM29" s="135"/>
      <c r="AR29" s="135"/>
      <c r="AS29" s="135"/>
      <c r="AT29" s="135"/>
      <c r="AU29" s="135"/>
      <c r="AV29" s="135"/>
      <c r="AW29" s="135"/>
      <c r="AX29" s="135"/>
      <c r="BC29" s="135"/>
      <c r="BD29" s="135"/>
      <c r="BE29" s="135"/>
      <c r="BF29" s="135"/>
      <c r="BG29" s="135"/>
      <c r="BH29" s="135"/>
    </row>
    <row r="30" spans="1:60" ht="13.5" thickTop="1">
      <c r="AB30" s="149"/>
      <c r="AC30" s="150"/>
      <c r="AD30" s="150"/>
      <c r="AE30" s="150"/>
      <c r="AF30" s="150"/>
      <c r="AG30" s="150"/>
      <c r="AH30" s="150"/>
      <c r="AI30" s="150"/>
      <c r="AJ30" s="150"/>
      <c r="AN30" s="150"/>
      <c r="AO30" s="150"/>
      <c r="AP30" s="150"/>
      <c r="AQ30" s="150"/>
      <c r="AR30" s="150"/>
      <c r="AS30" s="150"/>
      <c r="AT30" s="150"/>
      <c r="AU30" s="150"/>
    </row>
    <row r="31" spans="1:60">
      <c r="D31" s="127"/>
      <c r="E31" s="127"/>
      <c r="G31" s="128"/>
      <c r="H31" s="128"/>
      <c r="I31" s="128"/>
      <c r="J31" s="128"/>
      <c r="K31" s="128"/>
      <c r="L31" s="128"/>
      <c r="M31" s="128"/>
      <c r="N31" s="128"/>
      <c r="O31" s="128"/>
      <c r="P31" s="128"/>
      <c r="Q31" s="128"/>
      <c r="R31" s="128"/>
      <c r="S31" s="128"/>
      <c r="T31" s="128"/>
      <c r="U31" s="128"/>
      <c r="V31" s="128"/>
      <c r="W31" s="128"/>
      <c r="X31" s="128"/>
      <c r="Y31" s="128"/>
      <c r="Z31" s="128"/>
      <c r="AA31" s="128"/>
      <c r="AB31" s="149"/>
      <c r="AC31" s="151"/>
      <c r="AD31" s="151"/>
      <c r="AE31" s="151"/>
      <c r="AF31" s="151"/>
      <c r="AG31" s="151"/>
      <c r="AH31" s="151"/>
      <c r="AI31" s="151"/>
      <c r="AJ31" s="151"/>
      <c r="AN31" s="151"/>
      <c r="AO31" s="151"/>
      <c r="AP31" s="151"/>
      <c r="AQ31" s="151"/>
      <c r="AR31" s="151"/>
      <c r="AS31" s="151"/>
      <c r="AT31" s="151"/>
      <c r="AU31" s="151"/>
    </row>
    <row r="32" spans="1:60">
      <c r="E32" s="128"/>
      <c r="AC32" s="131"/>
      <c r="AD32" s="131"/>
      <c r="AE32" s="131"/>
      <c r="AF32" s="131"/>
      <c r="AG32" s="131"/>
      <c r="AH32" s="131"/>
      <c r="AI32" s="131"/>
      <c r="AJ32" s="131"/>
      <c r="AN32" s="131"/>
      <c r="AO32" s="131"/>
      <c r="AP32" s="131"/>
      <c r="AQ32" s="131"/>
      <c r="AR32" s="131"/>
      <c r="AS32" s="131"/>
      <c r="AT32" s="131"/>
      <c r="AU32" s="131"/>
    </row>
    <row r="36" spans="1:13" ht="14.45" customHeight="1">
      <c r="A36" s="707"/>
      <c r="B36" s="707"/>
      <c r="C36" s="707"/>
      <c r="D36" s="707"/>
      <c r="E36" s="707"/>
      <c r="F36" s="707"/>
      <c r="G36" s="707"/>
      <c r="H36" s="707"/>
      <c r="I36" s="707"/>
      <c r="J36" s="707"/>
      <c r="K36" s="707"/>
      <c r="L36" s="707"/>
    </row>
    <row r="37" spans="1:13">
      <c r="A37" s="784" t="s">
        <v>740</v>
      </c>
      <c r="B37" s="784"/>
      <c r="C37" s="784"/>
      <c r="D37" s="784"/>
      <c r="E37" s="784"/>
      <c r="F37" s="784"/>
      <c r="G37" s="784"/>
      <c r="H37" s="784"/>
      <c r="I37" s="784"/>
      <c r="J37" s="784"/>
      <c r="K37" s="784"/>
      <c r="L37" s="784"/>
      <c r="M37" s="705"/>
    </row>
    <row r="38" spans="1:13" ht="24" customHeight="1">
      <c r="A38" s="643" t="s">
        <v>698</v>
      </c>
      <c r="B38" s="156">
        <v>2022</v>
      </c>
      <c r="C38" s="156">
        <v>2023</v>
      </c>
      <c r="D38" s="156">
        <v>2024</v>
      </c>
      <c r="E38" s="156">
        <v>2025</v>
      </c>
      <c r="F38" s="156">
        <v>2026</v>
      </c>
      <c r="G38" s="156">
        <v>2027</v>
      </c>
      <c r="H38" s="156">
        <v>2028</v>
      </c>
      <c r="I38" s="156">
        <v>2029</v>
      </c>
      <c r="J38" s="156">
        <v>2030</v>
      </c>
      <c r="K38" s="156">
        <v>2031</v>
      </c>
      <c r="L38" s="641" t="s">
        <v>708</v>
      </c>
      <c r="M38" s="641" t="s">
        <v>707</v>
      </c>
    </row>
    <row r="39" spans="1:13" ht="15">
      <c r="A39" s="120" t="s">
        <v>704</v>
      </c>
      <c r="B39" s="640">
        <f>'IRP No-CETA Energy'!D25</f>
        <v>66137.778930664063</v>
      </c>
      <c r="C39" s="640">
        <f>'IRP No-CETA Energy'!E25</f>
        <v>209431.60595703125</v>
      </c>
      <c r="D39" s="640">
        <f>'IRP No-CETA Energy'!F25</f>
        <v>361154.17578125</v>
      </c>
      <c r="E39" s="640">
        <f>'IRP No-CETA Energy'!G25</f>
        <v>516465.2099609375</v>
      </c>
      <c r="F39" s="640">
        <f>'IRP No-CETA Energy'!H25</f>
        <v>678065.2529296875</v>
      </c>
      <c r="G39" s="640">
        <f>'IRP No-CETA Energy'!I25</f>
        <v>846685.283203125</v>
      </c>
      <c r="H39" s="640">
        <f>'IRP No-CETA Energy'!J25</f>
        <v>1025891.57421875</v>
      </c>
      <c r="I39" s="640">
        <f>'IRP No-CETA Energy'!K25</f>
        <v>1202091.203125</v>
      </c>
      <c r="J39" s="640">
        <f>'IRP No-CETA Energy'!L25</f>
        <v>1385831.85546875</v>
      </c>
      <c r="K39" s="640">
        <f>'IRP No-CETA Energy'!M25</f>
        <v>1576304.234375</v>
      </c>
      <c r="L39" s="128">
        <f>K39*0.2</f>
        <v>315260.84687500005</v>
      </c>
      <c r="M39" s="128">
        <f>L39/2*(1+0.05)</f>
        <v>165511.94460937503</v>
      </c>
    </row>
    <row r="40" spans="1:13" ht="15">
      <c r="A40" s="120" t="s">
        <v>705</v>
      </c>
      <c r="B40" s="640">
        <f>'CEIP With-CETA Energy'!D32</f>
        <v>91743.357543945313</v>
      </c>
      <c r="C40" s="640">
        <f>'CEIP With-CETA Energy'!E32</f>
        <v>295334.6923828125</v>
      </c>
      <c r="D40" s="640">
        <f>'CEIP With-CETA Energy'!F32</f>
        <v>518668.08251953125</v>
      </c>
      <c r="E40" s="640">
        <f>'CEIP With-CETA Energy'!G32</f>
        <v>757258.626953125</v>
      </c>
      <c r="F40" s="640">
        <f>'CEIP With-CETA Energy'!H32</f>
        <v>1014223.53125</v>
      </c>
      <c r="G40" s="640">
        <f>'CEIP With-CETA Energy'!I32</f>
        <v>1285930.8984375</v>
      </c>
      <c r="H40" s="640">
        <f>'CEIP With-CETA Energy'!J32</f>
        <v>1577921.751953125</v>
      </c>
      <c r="I40" s="640">
        <f>'CEIP With-CETA Energy'!K32</f>
        <v>1869178.408203125</v>
      </c>
      <c r="J40" s="640">
        <f>'CEIP With-CETA Energy'!L32</f>
        <v>2175329.13671875</v>
      </c>
      <c r="K40" s="640">
        <f>'CEIP With-CETA Energy'!M32</f>
        <v>2496571.91796875</v>
      </c>
      <c r="L40" s="128">
        <f>K40*0.2</f>
        <v>499314.38359375001</v>
      </c>
      <c r="M40" s="128">
        <f>L40/2*(1+0.05)</f>
        <v>262140.05138671875</v>
      </c>
    </row>
    <row r="42" spans="1:13" ht="29.45" customHeight="1">
      <c r="A42" s="783" t="s">
        <v>706</v>
      </c>
      <c r="B42" s="783"/>
      <c r="C42" s="783"/>
      <c r="D42" s="783"/>
      <c r="E42" s="783"/>
      <c r="F42" s="783"/>
      <c r="G42" s="706"/>
      <c r="H42" s="706"/>
      <c r="I42" s="706"/>
    </row>
    <row r="43" spans="1:13" ht="12.6" customHeight="1"/>
  </sheetData>
  <mergeCells count="6">
    <mergeCell ref="U1:X1"/>
    <mergeCell ref="A42:F42"/>
    <mergeCell ref="A37:L37"/>
    <mergeCell ref="B1:E1"/>
    <mergeCell ref="G1:J1"/>
    <mergeCell ref="L1:O1"/>
  </mergeCells>
  <pageMargins left="0.7" right="0.7" top="0.75" bottom="0.75" header="0.3" footer="0.3"/>
  <pageSetup paperSize="119" orientation="landscape" horizontalDpi="1200" verticalDpi="1200" r:id="rId1"/>
  <headerFooter>
    <oddHeader>&amp;LAppendix E-2: Incremental Cost Calculation&amp;RClean Energy Implementation Plan</oddHeader>
    <oddFooter>&amp;LDECEMBER 17, 2021&amp;C&amp;P of &amp;N&amp;RPuget Sound Energy</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tabSelected="1" workbookViewId="0">
      <pane ySplit="2" topLeftCell="A14" activePane="bottomLeft" state="frozen"/>
      <selection activeCell="E17" sqref="E17"/>
      <selection pane="bottomLeft" activeCell="E17" sqref="E17"/>
    </sheetView>
  </sheetViews>
  <sheetFormatPr defaultColWidth="9.140625" defaultRowHeight="12.75"/>
  <cols>
    <col min="1" max="1" width="72.7109375" style="120" customWidth="1"/>
    <col min="2" max="2" width="17.140625" style="120" customWidth="1"/>
    <col min="3" max="3" width="20" style="120" customWidth="1"/>
    <col min="4" max="7" width="20.7109375" style="120" bestFit="1" customWidth="1"/>
    <col min="8" max="8" width="5.7109375" style="120" customWidth="1"/>
    <col min="9" max="9" width="18" style="120" customWidth="1"/>
    <col min="10" max="10" width="7" style="120" customWidth="1"/>
    <col min="11" max="11" width="5.7109375" style="120" customWidth="1"/>
    <col min="12" max="12" width="71.5703125" style="120" customWidth="1"/>
    <col min="13" max="13" width="19.42578125" style="120" customWidth="1"/>
    <col min="14" max="14" width="22.85546875" style="120" customWidth="1"/>
    <col min="15" max="18" width="17.140625" style="120" bestFit="1" customWidth="1"/>
    <col min="19" max="19" width="5.7109375" style="120" customWidth="1"/>
    <col min="20" max="20" width="16.140625" style="120" customWidth="1"/>
    <col min="21" max="16384" width="9.140625" style="120"/>
  </cols>
  <sheetData>
    <row r="1" spans="1:21" ht="38.25">
      <c r="A1" s="599"/>
      <c r="B1" s="600"/>
      <c r="C1" s="601"/>
      <c r="D1" s="601">
        <v>2022</v>
      </c>
      <c r="E1" s="601">
        <v>2023</v>
      </c>
      <c r="F1" s="601">
        <v>2024</v>
      </c>
      <c r="G1" s="601">
        <v>2025</v>
      </c>
      <c r="H1" s="600"/>
      <c r="I1" s="602" t="s">
        <v>642</v>
      </c>
      <c r="J1" s="603" t="s">
        <v>539</v>
      </c>
      <c r="L1" s="599"/>
      <c r="M1" s="600"/>
      <c r="N1" s="601"/>
      <c r="O1" s="601">
        <f t="shared" ref="O1:T1" si="0">D1</f>
        <v>2022</v>
      </c>
      <c r="P1" s="601">
        <f t="shared" si="0"/>
        <v>2023</v>
      </c>
      <c r="Q1" s="601">
        <f t="shared" si="0"/>
        <v>2024</v>
      </c>
      <c r="R1" s="601">
        <f t="shared" si="0"/>
        <v>2025</v>
      </c>
      <c r="S1" s="600"/>
      <c r="T1" s="602" t="str">
        <f t="shared" si="0"/>
        <v>2022-2025 Incremental Cost</v>
      </c>
      <c r="U1" s="603" t="s">
        <v>539</v>
      </c>
    </row>
    <row r="2" spans="1:21" hidden="1">
      <c r="A2" s="604"/>
      <c r="B2" s="140"/>
      <c r="C2" s="140"/>
      <c r="D2" s="140"/>
      <c r="E2" s="140"/>
      <c r="F2" s="140"/>
      <c r="G2" s="140"/>
      <c r="H2" s="140"/>
      <c r="I2" s="140"/>
      <c r="J2" s="605"/>
      <c r="L2" s="604"/>
      <c r="M2" s="140"/>
      <c r="N2" s="140"/>
      <c r="O2" s="140"/>
      <c r="P2" s="140"/>
      <c r="Q2" s="140"/>
      <c r="R2" s="140"/>
      <c r="S2" s="140"/>
      <c r="T2" s="140"/>
      <c r="U2" s="605"/>
    </row>
    <row r="3" spans="1:21">
      <c r="A3" s="606" t="s">
        <v>612</v>
      </c>
      <c r="B3" s="140"/>
      <c r="C3" s="140"/>
      <c r="D3" s="140"/>
      <c r="E3" s="140"/>
      <c r="F3" s="140"/>
      <c r="G3" s="140"/>
      <c r="H3" s="140"/>
      <c r="I3" s="140"/>
      <c r="J3" s="605"/>
      <c r="L3" s="606" t="s">
        <v>644</v>
      </c>
      <c r="M3" s="140"/>
      <c r="N3" s="140"/>
      <c r="O3" s="140"/>
      <c r="P3" s="140"/>
      <c r="Q3" s="140"/>
      <c r="R3" s="140"/>
      <c r="S3" s="140"/>
      <c r="T3" s="140"/>
      <c r="U3" s="605"/>
    </row>
    <row r="4" spans="1:21">
      <c r="A4" s="607" t="s">
        <v>600</v>
      </c>
      <c r="B4" s="608"/>
      <c r="C4" s="608"/>
      <c r="D4" s="140"/>
      <c r="E4" s="140"/>
      <c r="F4" s="140"/>
      <c r="G4" s="140"/>
      <c r="H4" s="140"/>
      <c r="I4" s="140"/>
      <c r="J4" s="605"/>
      <c r="L4" s="607" t="str">
        <f t="shared" ref="L4:L31" si="1">A4</f>
        <v>Energy Efficiency</v>
      </c>
      <c r="M4" s="608"/>
      <c r="N4" s="608"/>
      <c r="O4" s="140"/>
      <c r="P4" s="140"/>
      <c r="Q4" s="140"/>
      <c r="R4" s="140"/>
      <c r="S4" s="140"/>
      <c r="T4" s="140"/>
      <c r="U4" s="605"/>
    </row>
    <row r="5" spans="1:21">
      <c r="A5" s="609" t="s">
        <v>734</v>
      </c>
      <c r="B5" s="610">
        <f>SUM('1. Energy Efficiency'!B3:E3)</f>
        <v>662047.77843750012</v>
      </c>
      <c r="C5" s="611" t="s">
        <v>640</v>
      </c>
      <c r="D5" s="158">
        <f>'3. Resource Incremental Cost'!B5</f>
        <v>64352473.545366868</v>
      </c>
      <c r="E5" s="158">
        <f>'3. Resource Incremental Cost'!C5</f>
        <v>64352473.545366868</v>
      </c>
      <c r="F5" s="158">
        <f>'3. Resource Incremental Cost'!D5</f>
        <v>64352473.545366868</v>
      </c>
      <c r="G5" s="158">
        <f>'3. Resource Incremental Cost'!E5</f>
        <v>64352473.545366868</v>
      </c>
      <c r="H5" s="140"/>
      <c r="I5" s="140"/>
      <c r="J5" s="605"/>
      <c r="L5" s="609" t="str">
        <f t="shared" si="1"/>
        <v>No-CETA Requirements</v>
      </c>
      <c r="M5" s="610">
        <f>B5</f>
        <v>662047.77843750012</v>
      </c>
      <c r="N5" s="611" t="str">
        <f>C5</f>
        <v>MWh through 2025</v>
      </c>
      <c r="O5" s="158">
        <f>D5/1000</f>
        <v>64352.473545366869</v>
      </c>
      <c r="P5" s="158">
        <f t="shared" ref="P5:R5" si="2">E5/1000</f>
        <v>64352.473545366869</v>
      </c>
      <c r="Q5" s="158">
        <f t="shared" si="2"/>
        <v>64352.473545366869</v>
      </c>
      <c r="R5" s="158">
        <f t="shared" si="2"/>
        <v>64352.473545366869</v>
      </c>
      <c r="S5" s="140"/>
      <c r="T5" s="140"/>
      <c r="U5" s="605"/>
    </row>
    <row r="6" spans="1:21">
      <c r="A6" s="609" t="s">
        <v>735</v>
      </c>
      <c r="B6" s="610">
        <f>SUM('1. Energy Efficiency'!G3:J3)</f>
        <v>1048560.205546875</v>
      </c>
      <c r="C6" s="611" t="s">
        <v>640</v>
      </c>
      <c r="D6" s="158">
        <f>'3. Resource Incremental Cost'!G5</f>
        <v>101922316.01083736</v>
      </c>
      <c r="E6" s="158">
        <f>'3. Resource Incremental Cost'!H5</f>
        <v>101922316.01083736</v>
      </c>
      <c r="F6" s="158">
        <f>'3. Resource Incremental Cost'!I5</f>
        <v>101922316.01083736</v>
      </c>
      <c r="G6" s="158">
        <f>'3. Resource Incremental Cost'!J5</f>
        <v>101922316.01083736</v>
      </c>
      <c r="H6" s="140"/>
      <c r="I6" s="140"/>
      <c r="J6" s="605"/>
      <c r="L6" s="609" t="str">
        <f t="shared" si="1"/>
        <v>With-CETA Requirements</v>
      </c>
      <c r="M6" s="610">
        <f>B6</f>
        <v>1048560.205546875</v>
      </c>
      <c r="N6" s="611" t="str">
        <f>C6</f>
        <v>MWh through 2025</v>
      </c>
      <c r="O6" s="158">
        <f>D6/1000</f>
        <v>101922.31601083736</v>
      </c>
      <c r="P6" s="158">
        <f t="shared" ref="P6:P7" si="3">E6/1000</f>
        <v>101922.31601083736</v>
      </c>
      <c r="Q6" s="158">
        <f t="shared" ref="Q6:Q7" si="4">F6/1000</f>
        <v>101922.31601083736</v>
      </c>
      <c r="R6" s="158">
        <f t="shared" ref="R6:R7" si="5">G6/1000</f>
        <v>101922.31601083736</v>
      </c>
      <c r="S6" s="140"/>
      <c r="T6" s="140"/>
      <c r="U6" s="605"/>
    </row>
    <row r="7" spans="1:21">
      <c r="A7" s="609" t="s">
        <v>593</v>
      </c>
      <c r="B7" s="611"/>
      <c r="C7" s="611"/>
      <c r="D7" s="158">
        <f>D6-D5</f>
        <v>37569842.465470493</v>
      </c>
      <c r="E7" s="158">
        <f>E6-E5</f>
        <v>37569842.465470493</v>
      </c>
      <c r="F7" s="158">
        <f>F6-F5</f>
        <v>37569842.465470493</v>
      </c>
      <c r="G7" s="158">
        <f>G6-G5</f>
        <v>37569842.465470493</v>
      </c>
      <c r="H7" s="140"/>
      <c r="I7" s="175">
        <f>SUM(D7:G7)</f>
        <v>150279369.86188197</v>
      </c>
      <c r="J7" s="612">
        <f>I7/I31</f>
        <v>0.33372621245479434</v>
      </c>
      <c r="L7" s="609" t="str">
        <f t="shared" si="1"/>
        <v>Incremental Cost</v>
      </c>
      <c r="M7" s="611"/>
      <c r="N7" s="611"/>
      <c r="O7" s="158">
        <f>D7/1000</f>
        <v>37569.842465470494</v>
      </c>
      <c r="P7" s="158">
        <f t="shared" si="3"/>
        <v>37569.842465470494</v>
      </c>
      <c r="Q7" s="158">
        <f t="shared" si="4"/>
        <v>37569.842465470494</v>
      </c>
      <c r="R7" s="158">
        <f t="shared" si="5"/>
        <v>37569.842465470494</v>
      </c>
      <c r="S7" s="140"/>
      <c r="T7" s="175">
        <f>I7/1000</f>
        <v>150279.36986188198</v>
      </c>
      <c r="U7" s="612">
        <f>J7</f>
        <v>0.33372621245479434</v>
      </c>
    </row>
    <row r="8" spans="1:21">
      <c r="A8" s="607" t="s">
        <v>9</v>
      </c>
      <c r="B8" s="608"/>
      <c r="C8" s="608"/>
      <c r="D8" s="158"/>
      <c r="E8" s="158"/>
      <c r="F8" s="158"/>
      <c r="G8" s="158"/>
      <c r="H8" s="140"/>
      <c r="I8" s="140"/>
      <c r="J8" s="605"/>
      <c r="L8" s="607" t="str">
        <f t="shared" si="1"/>
        <v>Demand Response</v>
      </c>
      <c r="M8" s="608"/>
      <c r="N8" s="608"/>
      <c r="O8" s="158"/>
      <c r="P8" s="158"/>
      <c r="Q8" s="158"/>
      <c r="R8" s="158"/>
      <c r="S8" s="140"/>
      <c r="T8" s="140"/>
      <c r="U8" s="605"/>
    </row>
    <row r="9" spans="1:21">
      <c r="A9" s="609" t="s">
        <v>734</v>
      </c>
      <c r="B9" s="610">
        <f>'2. Demand Response'!G111</f>
        <v>6.8850059390710303</v>
      </c>
      <c r="C9" s="611" t="s">
        <v>641</v>
      </c>
      <c r="D9" s="158">
        <f>'3. Resource Incremental Cost'!B6</f>
        <v>99542.060990168931</v>
      </c>
      <c r="E9" s="158">
        <f>'3. Resource Incremental Cost'!C6</f>
        <v>296295.57550658175</v>
      </c>
      <c r="F9" s="158">
        <f>'3. Resource Incremental Cost'!D6</f>
        <v>364670.68872201006</v>
      </c>
      <c r="G9" s="158">
        <f>'3. Resource Incremental Cost'!E6</f>
        <v>914580.94773179316</v>
      </c>
      <c r="H9" s="140"/>
      <c r="I9" s="140"/>
      <c r="J9" s="605"/>
      <c r="L9" s="609" t="str">
        <f t="shared" si="1"/>
        <v>No-CETA Requirements</v>
      </c>
      <c r="M9" s="613">
        <f>B9</f>
        <v>6.8850059390710303</v>
      </c>
      <c r="N9" s="611" t="str">
        <f>C9</f>
        <v>MW by 2025</v>
      </c>
      <c r="O9" s="158">
        <f>D9/1000</f>
        <v>99.542060990168935</v>
      </c>
      <c r="P9" s="158">
        <f t="shared" ref="P9:P11" si="6">E9/1000</f>
        <v>296.29557550658177</v>
      </c>
      <c r="Q9" s="158">
        <f t="shared" ref="Q9:Q11" si="7">F9/1000</f>
        <v>364.67068872201008</v>
      </c>
      <c r="R9" s="158">
        <f t="shared" ref="R9:R11" si="8">G9/1000</f>
        <v>914.58094773179312</v>
      </c>
      <c r="S9" s="140"/>
      <c r="T9" s="140"/>
      <c r="U9" s="605"/>
    </row>
    <row r="10" spans="1:21">
      <c r="A10" s="609" t="s">
        <v>735</v>
      </c>
      <c r="B10" s="610">
        <f>'2. Demand Response'!G112</f>
        <v>23.654766853644755</v>
      </c>
      <c r="C10" s="611" t="s">
        <v>641</v>
      </c>
      <c r="D10" s="158">
        <f>'3. Resource Incremental Cost'!G6</f>
        <v>341995.96422881761</v>
      </c>
      <c r="E10" s="158">
        <f>'3. Resource Incremental Cost'!H6</f>
        <v>1017980.6408882141</v>
      </c>
      <c r="F10" s="158">
        <f>'3. Resource Incremental Cost'!I6</f>
        <v>1252896.5401649475</v>
      </c>
      <c r="G10" s="158">
        <f>'3. Resource Incremental Cost'!J6</f>
        <v>3142219.3791600498</v>
      </c>
      <c r="H10" s="140"/>
      <c r="I10" s="140"/>
      <c r="J10" s="605"/>
      <c r="L10" s="609" t="str">
        <f t="shared" si="1"/>
        <v>With-CETA Requirements</v>
      </c>
      <c r="M10" s="613">
        <f>B10</f>
        <v>23.654766853644755</v>
      </c>
      <c r="N10" s="611" t="str">
        <f>C10</f>
        <v>MW by 2025</v>
      </c>
      <c r="O10" s="158">
        <f>D10/1000</f>
        <v>341.99596422881763</v>
      </c>
      <c r="P10" s="158">
        <f t="shared" si="6"/>
        <v>1017.9806408882141</v>
      </c>
      <c r="Q10" s="158">
        <f t="shared" si="7"/>
        <v>1252.8965401649475</v>
      </c>
      <c r="R10" s="158">
        <f t="shared" si="8"/>
        <v>3142.2193791600498</v>
      </c>
      <c r="S10" s="140"/>
      <c r="T10" s="140"/>
      <c r="U10" s="605"/>
    </row>
    <row r="11" spans="1:21">
      <c r="A11" s="609" t="s">
        <v>593</v>
      </c>
      <c r="B11" s="611"/>
      <c r="C11" s="611"/>
      <c r="D11" s="158">
        <f>D10-D9</f>
        <v>242453.90323864867</v>
      </c>
      <c r="E11" s="158">
        <f>E10-E9</f>
        <v>721685.06538163242</v>
      </c>
      <c r="F11" s="158">
        <f>F10-F9</f>
        <v>888225.85144293751</v>
      </c>
      <c r="G11" s="158">
        <f>G10-G9</f>
        <v>2227638.4314282564</v>
      </c>
      <c r="H11" s="140"/>
      <c r="I11" s="175">
        <f>SUM(D11:G11)</f>
        <v>4080003.2514914749</v>
      </c>
      <c r="J11" s="612">
        <f>I11/I31</f>
        <v>9.0604853691821571E-3</v>
      </c>
      <c r="L11" s="609" t="str">
        <f t="shared" si="1"/>
        <v>Incremental Cost</v>
      </c>
      <c r="M11" s="611"/>
      <c r="N11" s="611"/>
      <c r="O11" s="158">
        <f>D11/1000</f>
        <v>242.45390323864868</v>
      </c>
      <c r="P11" s="158">
        <f t="shared" si="6"/>
        <v>721.6850653816324</v>
      </c>
      <c r="Q11" s="158">
        <f t="shared" si="7"/>
        <v>888.22585144293748</v>
      </c>
      <c r="R11" s="158">
        <f t="shared" si="8"/>
        <v>2227.6384314282564</v>
      </c>
      <c r="S11" s="140"/>
      <c r="T11" s="175">
        <f>I11/1000</f>
        <v>4080.0032514914751</v>
      </c>
      <c r="U11" s="612">
        <f>J11</f>
        <v>9.0604853691821571E-3</v>
      </c>
    </row>
    <row r="12" spans="1:21">
      <c r="A12" s="607" t="s">
        <v>601</v>
      </c>
      <c r="B12" s="608"/>
      <c r="C12" s="608"/>
      <c r="D12" s="158"/>
      <c r="E12" s="158"/>
      <c r="F12" s="158"/>
      <c r="G12" s="158"/>
      <c r="H12" s="140"/>
      <c r="I12" s="140"/>
      <c r="J12" s="605"/>
      <c r="L12" s="607" t="str">
        <f t="shared" si="1"/>
        <v>Energy Supply Portfolio</v>
      </c>
      <c r="M12" s="608"/>
      <c r="N12" s="608"/>
      <c r="O12" s="158"/>
      <c r="P12" s="158"/>
      <c r="Q12" s="158"/>
      <c r="R12" s="158"/>
      <c r="S12" s="140"/>
      <c r="T12" s="140"/>
      <c r="U12" s="605"/>
    </row>
    <row r="13" spans="1:21">
      <c r="A13" s="609" t="s">
        <v>734</v>
      </c>
      <c r="B13" s="613">
        <v>1081</v>
      </c>
      <c r="C13" s="611" t="s">
        <v>643</v>
      </c>
      <c r="D13" s="158">
        <f>'3. Resource Incremental Cost'!B4</f>
        <v>561730745.3918457</v>
      </c>
      <c r="E13" s="158">
        <f>'3. Resource Incremental Cost'!C4</f>
        <v>588958682.80029297</v>
      </c>
      <c r="F13" s="158">
        <f>'3. Resource Incremental Cost'!D4</f>
        <v>586771395.5078125</v>
      </c>
      <c r="G13" s="158">
        <f>'3. Resource Incremental Cost'!E4</f>
        <v>585728232.54394531</v>
      </c>
      <c r="H13" s="140"/>
      <c r="I13" s="140"/>
      <c r="J13" s="605"/>
      <c r="L13" s="609" t="str">
        <f t="shared" si="1"/>
        <v>No-CETA Requirements</v>
      </c>
      <c r="M13" s="613">
        <f>B13</f>
        <v>1081</v>
      </c>
      <c r="N13" s="611" t="str">
        <f>C13</f>
        <v>aMW in 2025</v>
      </c>
      <c r="O13" s="158">
        <f>D13/1000</f>
        <v>561730.7453918457</v>
      </c>
      <c r="P13" s="158">
        <f t="shared" ref="P13:P15" si="9">E13/1000</f>
        <v>588958.68280029297</v>
      </c>
      <c r="Q13" s="158">
        <f t="shared" ref="Q13:Q15" si="10">F13/1000</f>
        <v>586771.3955078125</v>
      </c>
      <c r="R13" s="158">
        <f t="shared" ref="R13:R15" si="11">G13/1000</f>
        <v>585728.23254394531</v>
      </c>
      <c r="S13" s="140"/>
      <c r="T13" s="140"/>
      <c r="U13" s="605"/>
    </row>
    <row r="14" spans="1:21">
      <c r="A14" s="609" t="s">
        <v>735</v>
      </c>
      <c r="B14" s="611">
        <v>1316</v>
      </c>
      <c r="C14" s="611" t="s">
        <v>643</v>
      </c>
      <c r="D14" s="158">
        <f>'3. Resource Incremental Cost'!G4</f>
        <v>562142339.59197998</v>
      </c>
      <c r="E14" s="158">
        <f>'3. Resource Incremental Cost'!H4</f>
        <v>600124124.78351593</v>
      </c>
      <c r="F14" s="158">
        <f>'3. Resource Incremental Cost'!I4</f>
        <v>661577282.92703629</v>
      </c>
      <c r="G14" s="158">
        <f>'3. Resource Incremental Cost'!J4</f>
        <v>700185769.41156387</v>
      </c>
      <c r="H14" s="140"/>
      <c r="I14" s="140"/>
      <c r="J14" s="605"/>
      <c r="L14" s="609" t="str">
        <f t="shared" si="1"/>
        <v>With-CETA Requirements</v>
      </c>
      <c r="M14" s="611">
        <f>B14</f>
        <v>1316</v>
      </c>
      <c r="N14" s="611" t="str">
        <f>C14</f>
        <v>aMW in 2025</v>
      </c>
      <c r="O14" s="158">
        <f>D14/1000</f>
        <v>562142.33959197998</v>
      </c>
      <c r="P14" s="158">
        <f t="shared" si="9"/>
        <v>600124.12478351593</v>
      </c>
      <c r="Q14" s="158">
        <f t="shared" si="10"/>
        <v>661577.28292703629</v>
      </c>
      <c r="R14" s="158">
        <f t="shared" si="11"/>
        <v>700185.76941156387</v>
      </c>
      <c r="S14" s="140"/>
      <c r="T14" s="140"/>
      <c r="U14" s="605"/>
    </row>
    <row r="15" spans="1:21">
      <c r="A15" s="609" t="s">
        <v>593</v>
      </c>
      <c r="B15" s="611"/>
      <c r="C15" s="611"/>
      <c r="D15" s="158">
        <f>D14-D13</f>
        <v>411594.20013427734</v>
      </c>
      <c r="E15" s="158">
        <f>E14-E13</f>
        <v>11165441.983222961</v>
      </c>
      <c r="F15" s="158">
        <f>F14-F13</f>
        <v>74805887.419223785</v>
      </c>
      <c r="G15" s="158">
        <f>G14-G13</f>
        <v>114457536.86761856</v>
      </c>
      <c r="H15" s="140"/>
      <c r="I15" s="175">
        <f>SUM(D15:G15)</f>
        <v>200840460.47019958</v>
      </c>
      <c r="J15" s="612">
        <f>I15/I31</f>
        <v>0.44600750084325097</v>
      </c>
      <c r="L15" s="609" t="str">
        <f t="shared" si="1"/>
        <v>Incremental Cost</v>
      </c>
      <c r="M15" s="611"/>
      <c r="N15" s="611"/>
      <c r="O15" s="158">
        <f>D15/1000</f>
        <v>411.59420013427734</v>
      </c>
      <c r="P15" s="158">
        <f t="shared" si="9"/>
        <v>11165.441983222961</v>
      </c>
      <c r="Q15" s="158">
        <f t="shared" si="10"/>
        <v>74805.887419223785</v>
      </c>
      <c r="R15" s="158">
        <f t="shared" si="11"/>
        <v>114457.53686761856</v>
      </c>
      <c r="S15" s="140"/>
      <c r="T15" s="175">
        <f>I15/1000</f>
        <v>200840.46047019958</v>
      </c>
      <c r="U15" s="612">
        <f>J15</f>
        <v>0.44600750084325097</v>
      </c>
    </row>
    <row r="16" spans="1:21">
      <c r="A16" s="609"/>
      <c r="B16" s="611"/>
      <c r="C16" s="611"/>
      <c r="D16" s="158"/>
      <c r="E16" s="158"/>
      <c r="F16" s="158"/>
      <c r="G16" s="158"/>
      <c r="H16" s="140"/>
      <c r="I16" s="140"/>
      <c r="J16" s="605"/>
      <c r="L16" s="609"/>
      <c r="M16" s="611"/>
      <c r="N16" s="611"/>
      <c r="O16" s="158"/>
      <c r="P16" s="158"/>
      <c r="Q16" s="158"/>
      <c r="R16" s="158"/>
      <c r="S16" s="140"/>
      <c r="T16" s="140"/>
      <c r="U16" s="605"/>
    </row>
    <row r="17" spans="1:21">
      <c r="A17" s="607" t="s">
        <v>605</v>
      </c>
      <c r="B17" s="608"/>
      <c r="C17" s="608"/>
      <c r="D17" s="158"/>
      <c r="E17" s="158"/>
      <c r="F17" s="158"/>
      <c r="G17" s="158"/>
      <c r="H17" s="140"/>
      <c r="I17" s="140"/>
      <c r="J17" s="605"/>
      <c r="L17" s="607" t="str">
        <f t="shared" si="1"/>
        <v>Technology and Enabling Costs for Distributed Energy Resources</v>
      </c>
      <c r="M17" s="608"/>
      <c r="N17" s="608"/>
      <c r="O17" s="158"/>
      <c r="P17" s="158"/>
      <c r="Q17" s="158"/>
      <c r="R17" s="158"/>
      <c r="S17" s="140"/>
      <c r="T17" s="140"/>
      <c r="U17" s="605"/>
    </row>
    <row r="18" spans="1:21">
      <c r="A18" s="609" t="s">
        <v>734</v>
      </c>
      <c r="B18" s="608"/>
      <c r="C18" s="608"/>
      <c r="D18" s="158">
        <f>'4C. Enablement and Grid Mod Bud'!I305</f>
        <v>135957223</v>
      </c>
      <c r="E18" s="158">
        <f>'4C. Enablement and Grid Mod Bud'!J305</f>
        <v>258263790</v>
      </c>
      <c r="F18" s="158">
        <f>'4C. Enablement and Grid Mod Bud'!K305</f>
        <v>309517482.99999988</v>
      </c>
      <c r="G18" s="158">
        <f>'4C. Enablement and Grid Mod Bud'!L305</f>
        <v>321123591.99999988</v>
      </c>
      <c r="H18" s="140"/>
      <c r="I18" s="140"/>
      <c r="J18" s="605"/>
      <c r="L18" s="609" t="str">
        <f t="shared" si="1"/>
        <v>No-CETA Requirements</v>
      </c>
      <c r="M18" s="608"/>
      <c r="N18" s="608"/>
      <c r="O18" s="158">
        <f t="shared" ref="O18:R20" si="12">D18/1000</f>
        <v>135957.223</v>
      </c>
      <c r="P18" s="158">
        <f t="shared" si="12"/>
        <v>258263.79</v>
      </c>
      <c r="Q18" s="158">
        <f t="shared" si="12"/>
        <v>309517.48299999989</v>
      </c>
      <c r="R18" s="158">
        <f t="shared" si="12"/>
        <v>321123.59199999989</v>
      </c>
      <c r="S18" s="140"/>
      <c r="T18" s="140"/>
      <c r="U18" s="605"/>
    </row>
    <row r="19" spans="1:21">
      <c r="A19" s="609" t="s">
        <v>735</v>
      </c>
      <c r="B19" s="611"/>
      <c r="C19" s="611"/>
      <c r="D19" s="158">
        <f>'4C. Enablement and Grid Mod Bud'!C305</f>
        <v>146726483</v>
      </c>
      <c r="E19" s="158">
        <f>'4C. Enablement and Grid Mod Bud'!D305</f>
        <v>305044092</v>
      </c>
      <c r="F19" s="158">
        <f>'4C. Enablement and Grid Mod Bud'!E305</f>
        <v>360169066.49999958</v>
      </c>
      <c r="G19" s="158">
        <f>'4C. Enablement and Grid Mod Bud'!F305</f>
        <v>376746175.49999958</v>
      </c>
      <c r="H19" s="140"/>
      <c r="J19" s="605"/>
      <c r="L19" s="609" t="str">
        <f t="shared" si="1"/>
        <v>With-CETA Requirements</v>
      </c>
      <c r="M19" s="611"/>
      <c r="N19" s="611"/>
      <c r="O19" s="158">
        <f>D19/1000</f>
        <v>146726.48300000001</v>
      </c>
      <c r="P19" s="158">
        <f t="shared" si="12"/>
        <v>305044.092</v>
      </c>
      <c r="Q19" s="158">
        <f t="shared" si="12"/>
        <v>360169.06649999961</v>
      </c>
      <c r="R19" s="158">
        <f t="shared" si="12"/>
        <v>376746.1754999996</v>
      </c>
      <c r="S19" s="140"/>
      <c r="U19" s="605"/>
    </row>
    <row r="20" spans="1:21">
      <c r="A20" s="609" t="s">
        <v>593</v>
      </c>
      <c r="B20" s="611"/>
      <c r="C20" s="611"/>
      <c r="D20" s="158">
        <f>('4A. Supp-DER Enab RR'!F24+'4B. Supp - GridMod RR'!F23)*1000</f>
        <v>4074735.5204807618</v>
      </c>
      <c r="E20" s="158">
        <f>('4A. Supp-DER Enab RR'!G24+'4B. Supp - GridMod RR'!G23)*1000</f>
        <v>10785453.890341485</v>
      </c>
      <c r="F20" s="158">
        <f>('4A. Supp-DER Enab RR'!H24+'4B. Supp - GridMod RR'!H23)*1000</f>
        <v>16969485.855642598</v>
      </c>
      <c r="G20" s="158">
        <f>('4A. Supp-DER Enab RR'!I24+'4B. Supp - GridMod RR'!I23)*1000</f>
        <v>23320506.157638177</v>
      </c>
      <c r="H20" s="140"/>
      <c r="I20" s="175">
        <f>SUM(D20:G20)</f>
        <v>55150181.424103022</v>
      </c>
      <c r="J20" s="612">
        <f>I20/I31</f>
        <v>0.1224723072752853</v>
      </c>
      <c r="L20" s="609" t="s">
        <v>832</v>
      </c>
      <c r="M20" s="611"/>
      <c r="N20" s="611"/>
      <c r="O20" s="158">
        <f>D20/1000</f>
        <v>4074.7355204807618</v>
      </c>
      <c r="P20" s="158">
        <f t="shared" si="12"/>
        <v>10785.453890341485</v>
      </c>
      <c r="Q20" s="158">
        <f t="shared" si="12"/>
        <v>16969.485855642597</v>
      </c>
      <c r="R20" s="158">
        <f t="shared" si="12"/>
        <v>23320.506157638178</v>
      </c>
      <c r="S20" s="140"/>
      <c r="T20" s="176">
        <f>I20/1000</f>
        <v>55150.181424103022</v>
      </c>
      <c r="U20" s="612">
        <f>J20</f>
        <v>0.1224723072752853</v>
      </c>
    </row>
    <row r="21" spans="1:21">
      <c r="A21" s="607" t="s">
        <v>602</v>
      </c>
      <c r="B21" s="608"/>
      <c r="C21" s="608"/>
      <c r="D21" s="158"/>
      <c r="E21" s="158"/>
      <c r="F21" s="158"/>
      <c r="G21" s="158"/>
      <c r="H21" s="140"/>
      <c r="I21" s="140"/>
      <c r="J21" s="605"/>
      <c r="L21" s="607" t="str">
        <f t="shared" si="1"/>
        <v>Customer Education and Outreach</v>
      </c>
      <c r="M21" s="608"/>
      <c r="N21" s="608"/>
      <c r="O21" s="158"/>
      <c r="P21" s="158"/>
      <c r="Q21" s="158"/>
      <c r="R21" s="158"/>
      <c r="S21" s="140"/>
      <c r="T21" s="140"/>
      <c r="U21" s="605"/>
    </row>
    <row r="22" spans="1:21">
      <c r="A22" s="609" t="s">
        <v>734</v>
      </c>
      <c r="B22" s="608"/>
      <c r="C22" s="608"/>
      <c r="D22" s="158">
        <v>0</v>
      </c>
      <c r="E22" s="158">
        <v>0</v>
      </c>
      <c r="F22" s="158">
        <v>0</v>
      </c>
      <c r="G22" s="158">
        <v>0</v>
      </c>
      <c r="H22" s="140"/>
      <c r="I22" s="140"/>
      <c r="J22" s="605"/>
      <c r="L22" s="609" t="str">
        <f t="shared" si="1"/>
        <v>No-CETA Requirements</v>
      </c>
      <c r="M22" s="608"/>
      <c r="N22" s="608"/>
      <c r="O22" s="158">
        <f>D22/1000</f>
        <v>0</v>
      </c>
      <c r="P22" s="158">
        <f t="shared" ref="P22:R24" si="13">E22/1000</f>
        <v>0</v>
      </c>
      <c r="Q22" s="158">
        <f t="shared" si="13"/>
        <v>0</v>
      </c>
      <c r="R22" s="158">
        <f t="shared" si="13"/>
        <v>0</v>
      </c>
      <c r="S22" s="140"/>
      <c r="T22" s="140"/>
      <c r="U22" s="605"/>
    </row>
    <row r="23" spans="1:21">
      <c r="A23" s="609" t="s">
        <v>735</v>
      </c>
      <c r="B23" s="611"/>
      <c r="C23" s="611"/>
      <c r="D23" s="158">
        <f>'7. Incremental Cost'!E19</f>
        <v>959640</v>
      </c>
      <c r="E23" s="158">
        <f>'7. Incremental Cost'!F19</f>
        <v>9829637.5</v>
      </c>
      <c r="F23" s="158">
        <f>'7. Incremental Cost'!G19</f>
        <v>10215072.5</v>
      </c>
      <c r="G23" s="158">
        <f>'7. Incremental Cost'!H19</f>
        <v>10406142.5</v>
      </c>
      <c r="H23" s="140"/>
      <c r="J23" s="605"/>
      <c r="L23" s="609" t="str">
        <f t="shared" si="1"/>
        <v>With-CETA Requirements</v>
      </c>
      <c r="M23" s="611"/>
      <c r="N23" s="611"/>
      <c r="O23" s="158">
        <f>D23/1000</f>
        <v>959.64</v>
      </c>
      <c r="P23" s="158">
        <f t="shared" si="13"/>
        <v>9829.6375000000007</v>
      </c>
      <c r="Q23" s="158">
        <f t="shared" si="13"/>
        <v>10215.0725</v>
      </c>
      <c r="R23" s="158">
        <f t="shared" si="13"/>
        <v>10406.1425</v>
      </c>
      <c r="S23" s="140"/>
      <c r="U23" s="605"/>
    </row>
    <row r="24" spans="1:21">
      <c r="A24" s="609" t="s">
        <v>593</v>
      </c>
      <c r="B24" s="611"/>
      <c r="C24" s="611"/>
      <c r="D24" s="158">
        <f>D23-D22</f>
        <v>959640</v>
      </c>
      <c r="E24" s="158">
        <f t="shared" ref="E24:G24" si="14">E23-E22</f>
        <v>9829637.5</v>
      </c>
      <c r="F24" s="158">
        <f t="shared" si="14"/>
        <v>10215072.5</v>
      </c>
      <c r="G24" s="158">
        <f t="shared" si="14"/>
        <v>10406142.5</v>
      </c>
      <c r="H24" s="140"/>
      <c r="I24" s="175">
        <f>SUM(D24:G24)</f>
        <v>31410492.5</v>
      </c>
      <c r="J24" s="612">
        <f>I24/I31</f>
        <v>6.9753451208898018E-2</v>
      </c>
      <c r="L24" s="609" t="str">
        <f t="shared" si="1"/>
        <v>Incremental Cost</v>
      </c>
      <c r="M24" s="611"/>
      <c r="N24" s="611"/>
      <c r="O24" s="158">
        <f>D24/1000</f>
        <v>959.64</v>
      </c>
      <c r="P24" s="158">
        <f t="shared" si="13"/>
        <v>9829.6375000000007</v>
      </c>
      <c r="Q24" s="158">
        <f t="shared" si="13"/>
        <v>10215.0725</v>
      </c>
      <c r="R24" s="158">
        <f t="shared" si="13"/>
        <v>10406.1425</v>
      </c>
      <c r="S24" s="140"/>
      <c r="T24" s="175">
        <f>I24/1000</f>
        <v>31410.4925</v>
      </c>
      <c r="U24" s="612">
        <f>J24</f>
        <v>6.9753451208898018E-2</v>
      </c>
    </row>
    <row r="25" spans="1:21">
      <c r="A25" s="607" t="s">
        <v>603</v>
      </c>
      <c r="B25" s="608"/>
      <c r="C25" s="608"/>
      <c r="D25" s="158"/>
      <c r="E25" s="158"/>
      <c r="F25" s="158"/>
      <c r="G25" s="158"/>
      <c r="H25" s="140"/>
      <c r="I25" s="140"/>
      <c r="J25" s="605"/>
      <c r="L25" s="607" t="str">
        <f t="shared" si="1"/>
        <v>Administration and Reporting</v>
      </c>
      <c r="M25" s="608"/>
      <c r="N25" s="608"/>
      <c r="O25" s="158"/>
      <c r="P25" s="158"/>
      <c r="Q25" s="158"/>
      <c r="R25" s="158"/>
      <c r="S25" s="140"/>
      <c r="T25" s="140"/>
      <c r="U25" s="605"/>
    </row>
    <row r="26" spans="1:21">
      <c r="A26" s="609" t="s">
        <v>734</v>
      </c>
      <c r="B26" s="608"/>
      <c r="C26" s="608"/>
      <c r="D26" s="158">
        <f>D22</f>
        <v>0</v>
      </c>
      <c r="E26" s="158">
        <f t="shared" ref="E26:G26" si="15">E22</f>
        <v>0</v>
      </c>
      <c r="F26" s="158">
        <f t="shared" si="15"/>
        <v>0</v>
      </c>
      <c r="G26" s="158">
        <f t="shared" si="15"/>
        <v>0</v>
      </c>
      <c r="H26" s="140"/>
      <c r="I26" s="140"/>
      <c r="J26" s="605"/>
      <c r="L26" s="609" t="str">
        <f t="shared" si="1"/>
        <v>No-CETA Requirements</v>
      </c>
      <c r="M26" s="608"/>
      <c r="N26" s="608"/>
      <c r="O26" s="158">
        <f>D26/1000</f>
        <v>0</v>
      </c>
      <c r="P26" s="158">
        <f t="shared" ref="P26:R28" si="16">E26/1000</f>
        <v>0</v>
      </c>
      <c r="Q26" s="158">
        <f t="shared" si="16"/>
        <v>0</v>
      </c>
      <c r="R26" s="158">
        <f t="shared" si="16"/>
        <v>0</v>
      </c>
      <c r="S26" s="140"/>
      <c r="T26" s="140"/>
      <c r="U26" s="605"/>
    </row>
    <row r="27" spans="1:21">
      <c r="A27" s="609" t="s">
        <v>735</v>
      </c>
      <c r="B27" s="611"/>
      <c r="C27" s="611"/>
      <c r="D27" s="158">
        <f>'7. Incremental Cost'!E20</f>
        <v>2058235</v>
      </c>
      <c r="E27" s="158">
        <f>'7. Incremental Cost'!F20</f>
        <v>2109690.875</v>
      </c>
      <c r="F27" s="158">
        <f>'7. Incremental Cost'!G20</f>
        <v>2162433.1468749996</v>
      </c>
      <c r="G27" s="158">
        <f>'7. Incremental Cost'!H20</f>
        <v>2216493.9755468746</v>
      </c>
      <c r="H27" s="140"/>
      <c r="J27" s="605"/>
      <c r="L27" s="609" t="str">
        <f t="shared" si="1"/>
        <v>With-CETA Requirements</v>
      </c>
      <c r="M27" s="611"/>
      <c r="N27" s="611"/>
      <c r="O27" s="158">
        <f>D27/1000</f>
        <v>2058.2350000000001</v>
      </c>
      <c r="P27" s="158">
        <f t="shared" si="16"/>
        <v>2109.6908749999998</v>
      </c>
      <c r="Q27" s="158">
        <f t="shared" si="16"/>
        <v>2162.4331468749997</v>
      </c>
      <c r="R27" s="158">
        <f t="shared" si="16"/>
        <v>2216.4939755468745</v>
      </c>
      <c r="S27" s="140"/>
      <c r="U27" s="605"/>
    </row>
    <row r="28" spans="1:21">
      <c r="A28" s="609" t="s">
        <v>593</v>
      </c>
      <c r="B28" s="140"/>
      <c r="C28" s="140"/>
      <c r="D28" s="158">
        <f>D27-D26</f>
        <v>2058235</v>
      </c>
      <c r="E28" s="158">
        <f t="shared" ref="E28:F28" si="17">E27-E26</f>
        <v>2109690.875</v>
      </c>
      <c r="F28" s="158">
        <f t="shared" si="17"/>
        <v>2162433.1468749996</v>
      </c>
      <c r="G28" s="158">
        <f>G27-G26</f>
        <v>2216493.9755468746</v>
      </c>
      <c r="H28" s="140"/>
      <c r="I28" s="175">
        <f>SUM(D28:G28)</f>
        <v>8546852.9974218737</v>
      </c>
      <c r="J28" s="612">
        <f>I28/I31</f>
        <v>1.8980042848589226E-2</v>
      </c>
      <c r="L28" s="609" t="str">
        <f t="shared" si="1"/>
        <v>Incremental Cost</v>
      </c>
      <c r="M28" s="140"/>
      <c r="N28" s="140"/>
      <c r="O28" s="158">
        <f>D28/1000</f>
        <v>2058.2350000000001</v>
      </c>
      <c r="P28" s="158">
        <f t="shared" si="16"/>
        <v>2109.6908749999998</v>
      </c>
      <c r="Q28" s="158">
        <f t="shared" si="16"/>
        <v>2162.4331468749997</v>
      </c>
      <c r="R28" s="158">
        <f t="shared" si="16"/>
        <v>2216.4939755468745</v>
      </c>
      <c r="S28" s="140"/>
      <c r="T28" s="176">
        <f>I28/1000</f>
        <v>8546.8529974218745</v>
      </c>
      <c r="U28" s="612">
        <f>J28</f>
        <v>1.8980042848589226E-2</v>
      </c>
    </row>
    <row r="29" spans="1:21">
      <c r="A29" s="604"/>
      <c r="B29" s="140"/>
      <c r="C29" s="140"/>
      <c r="D29" s="158"/>
      <c r="E29" s="158"/>
      <c r="F29" s="158"/>
      <c r="G29" s="158"/>
      <c r="H29" s="140"/>
      <c r="I29" s="140"/>
      <c r="J29" s="605"/>
      <c r="L29" s="604"/>
      <c r="M29" s="140"/>
      <c r="N29" s="140"/>
      <c r="O29" s="158"/>
      <c r="P29" s="158"/>
      <c r="Q29" s="158"/>
      <c r="R29" s="158"/>
      <c r="S29" s="140"/>
      <c r="T29" s="140"/>
      <c r="U29" s="605"/>
    </row>
    <row r="30" spans="1:21">
      <c r="A30" s="614" t="s">
        <v>604</v>
      </c>
      <c r="B30" s="615"/>
      <c r="C30" s="615"/>
      <c r="D30" s="616">
        <f>SUM(D6,D10,D14,D19,D23,D27)</f>
        <v>814151009.56704617</v>
      </c>
      <c r="E30" s="616">
        <f t="shared" ref="E30:G30" si="18">SUM(E6,E10,E14,E19,E23,E27)</f>
        <v>1020047841.8102415</v>
      </c>
      <c r="F30" s="616">
        <f t="shared" si="18"/>
        <v>1137299067.624913</v>
      </c>
      <c r="G30" s="616">
        <f t="shared" si="18"/>
        <v>1194619116.7771077</v>
      </c>
      <c r="H30" s="140"/>
      <c r="I30" s="140"/>
      <c r="J30" s="605"/>
      <c r="L30" s="614" t="str">
        <f t="shared" si="1"/>
        <v>Total Cost</v>
      </c>
      <c r="M30" s="615"/>
      <c r="N30" s="615"/>
      <c r="O30" s="616">
        <f>D30/1000</f>
        <v>814151.00956704619</v>
      </c>
      <c r="P30" s="616">
        <f t="shared" ref="P30:P31" si="19">E30/1000</f>
        <v>1020047.8418102415</v>
      </c>
      <c r="Q30" s="616">
        <f t="shared" ref="Q30:Q31" si="20">F30/1000</f>
        <v>1137299.0676249131</v>
      </c>
      <c r="R30" s="616">
        <f t="shared" ref="R30:R31" si="21">G30/1000</f>
        <v>1194619.1167771078</v>
      </c>
      <c r="S30" s="140"/>
      <c r="T30" s="140"/>
      <c r="U30" s="605"/>
    </row>
    <row r="31" spans="1:21">
      <c r="A31" s="617" t="s">
        <v>647</v>
      </c>
      <c r="B31" s="618"/>
      <c r="C31" s="618"/>
      <c r="D31" s="619">
        <f>SUM(D7,D11,D15,D20,D24,D28)</f>
        <v>45316501.089324176</v>
      </c>
      <c r="E31" s="619">
        <f t="shared" ref="E31:G31" si="22">SUM(E7,E11,E15,E20,E24,E28)</f>
        <v>72181751.779416561</v>
      </c>
      <c r="F31" s="619">
        <f t="shared" si="22"/>
        <v>142610947.23865482</v>
      </c>
      <c r="G31" s="619">
        <f t="shared" si="22"/>
        <v>190198160.39770237</v>
      </c>
      <c r="H31" s="144"/>
      <c r="I31" s="160">
        <f>SUM(D31:G31)</f>
        <v>450307360.50509793</v>
      </c>
      <c r="J31" s="620">
        <f>I31/I31</f>
        <v>1</v>
      </c>
      <c r="L31" s="617" t="str">
        <f t="shared" si="1"/>
        <v>Total Incremental Cost Forecast</v>
      </c>
      <c r="M31" s="618"/>
      <c r="N31" s="618"/>
      <c r="O31" s="619">
        <f>D31/1000</f>
        <v>45316.501089324178</v>
      </c>
      <c r="P31" s="619">
        <f t="shared" si="19"/>
        <v>72181.751779416561</v>
      </c>
      <c r="Q31" s="619">
        <f t="shared" si="20"/>
        <v>142610.94723865483</v>
      </c>
      <c r="R31" s="619">
        <f t="shared" si="21"/>
        <v>190198.16039770236</v>
      </c>
      <c r="S31" s="144"/>
      <c r="T31" s="160">
        <f>I31/1000</f>
        <v>450307.36050509795</v>
      </c>
      <c r="U31" s="620">
        <f>J31</f>
        <v>1</v>
      </c>
    </row>
    <row r="32" spans="1:21">
      <c r="D32" s="171"/>
      <c r="E32" s="171"/>
      <c r="F32" s="171"/>
      <c r="G32" s="171"/>
      <c r="L32" s="120" t="s">
        <v>833</v>
      </c>
    </row>
    <row r="33" spans="1:18">
      <c r="D33" s="171"/>
      <c r="E33" s="171"/>
      <c r="F33" s="171"/>
      <c r="G33" s="171"/>
    </row>
    <row r="34" spans="1:18">
      <c r="D34" s="171"/>
      <c r="E34" s="171"/>
      <c r="F34" s="171"/>
      <c r="G34" s="171"/>
    </row>
    <row r="35" spans="1:18">
      <c r="D35" s="171"/>
      <c r="E35" s="171"/>
      <c r="F35" s="171"/>
      <c r="G35" s="171"/>
    </row>
    <row r="36" spans="1:18">
      <c r="A36" s="621" t="s">
        <v>610</v>
      </c>
      <c r="B36" s="600"/>
      <c r="C36" s="601">
        <v>2021</v>
      </c>
      <c r="D36" s="601">
        <v>2022</v>
      </c>
      <c r="E36" s="601">
        <v>2023</v>
      </c>
      <c r="F36" s="601">
        <v>2024</v>
      </c>
      <c r="G36" s="622">
        <v>2025</v>
      </c>
      <c r="L36" s="621" t="s">
        <v>610</v>
      </c>
      <c r="M36" s="600"/>
      <c r="N36" s="601">
        <v>2021</v>
      </c>
      <c r="O36" s="601">
        <v>2022</v>
      </c>
      <c r="P36" s="601">
        <v>2023</v>
      </c>
      <c r="Q36" s="601">
        <v>2024</v>
      </c>
      <c r="R36" s="622">
        <v>2025</v>
      </c>
    </row>
    <row r="37" spans="1:18">
      <c r="A37" s="604" t="s">
        <v>606</v>
      </c>
      <c r="B37" s="623">
        <f>'8. 2020 CBR'!EH15</f>
        <v>1988341486.675221</v>
      </c>
      <c r="C37" s="623"/>
      <c r="D37" s="158"/>
      <c r="E37" s="158"/>
      <c r="F37" s="158"/>
      <c r="G37" s="624"/>
      <c r="L37" s="604" t="str">
        <f>A37</f>
        <v>PSE 2020 Retail Sales to Customers</v>
      </c>
      <c r="M37" s="623">
        <f>B37/1000</f>
        <v>1988341.486675221</v>
      </c>
      <c r="N37" s="623"/>
      <c r="O37" s="158"/>
      <c r="P37" s="158"/>
      <c r="Q37" s="158"/>
      <c r="R37" s="624"/>
    </row>
    <row r="38" spans="1:18">
      <c r="A38" s="625" t="s">
        <v>607</v>
      </c>
      <c r="B38" s="626">
        <v>2.5000000000000001E-2</v>
      </c>
      <c r="C38" s="627">
        <f>B37*(1+$B38)</f>
        <v>2038050023.8421013</v>
      </c>
      <c r="D38" s="158">
        <f>C38*(1+$B38)</f>
        <v>2089001274.4381537</v>
      </c>
      <c r="E38" s="158">
        <f>D38*(1+$B38)</f>
        <v>2141226306.2991073</v>
      </c>
      <c r="F38" s="158">
        <f>E38*(1+$B38)</f>
        <v>2194756963.9565849</v>
      </c>
      <c r="G38" s="624">
        <f>F38*(1+$B38)</f>
        <v>2249625888.0554996</v>
      </c>
      <c r="L38" s="625" t="str">
        <f>A38</f>
        <v>Escalated at 2.5% per year</v>
      </c>
      <c r="M38" s="626">
        <f>B38</f>
        <v>2.5000000000000001E-2</v>
      </c>
      <c r="N38" s="665">
        <f>C38/1000</f>
        <v>2038050.0238421015</v>
      </c>
      <c r="O38" s="158">
        <f t="shared" ref="O38:R38" si="23">D38/1000</f>
        <v>2089001.2744381537</v>
      </c>
      <c r="P38" s="158">
        <f t="shared" si="23"/>
        <v>2141226.3062991071</v>
      </c>
      <c r="Q38" s="158">
        <f t="shared" si="23"/>
        <v>2194756.9639565852</v>
      </c>
      <c r="R38" s="624">
        <f t="shared" si="23"/>
        <v>2249625.8880554996</v>
      </c>
    </row>
    <row r="39" spans="1:18">
      <c r="A39" s="604"/>
      <c r="B39" s="140"/>
      <c r="C39" s="140"/>
      <c r="D39" s="158"/>
      <c r="E39" s="158"/>
      <c r="F39" s="158"/>
      <c r="G39" s="624"/>
      <c r="L39" s="604"/>
      <c r="M39" s="140"/>
      <c r="N39" s="140"/>
      <c r="O39" s="158"/>
      <c r="P39" s="158"/>
      <c r="Q39" s="158"/>
      <c r="R39" s="624"/>
    </row>
    <row r="40" spans="1:18">
      <c r="A40" s="604" t="s">
        <v>608</v>
      </c>
      <c r="B40" s="628">
        <v>0.02</v>
      </c>
      <c r="C40" s="140"/>
      <c r="D40" s="158">
        <f>C38*$B40</f>
        <v>40761000.476842031</v>
      </c>
      <c r="E40" s="775">
        <f>D38*$B40</f>
        <v>41780025.488763079</v>
      </c>
      <c r="F40" s="775">
        <f>E38*$B40</f>
        <v>42824526.12598215</v>
      </c>
      <c r="G40" s="624">
        <f>F38*$B40</f>
        <v>43895139.279131703</v>
      </c>
      <c r="L40" s="604" t="str">
        <f>A40</f>
        <v>2% of Previous Year's Forecasted Weather Adjusted Retail Sales</v>
      </c>
      <c r="M40" s="628"/>
      <c r="N40" s="140"/>
      <c r="O40" s="158">
        <f>D40/1000</f>
        <v>40761.000476842033</v>
      </c>
      <c r="P40" s="158">
        <f t="shared" ref="P40:R41" si="24">E40/1000</f>
        <v>41780.02548876308</v>
      </c>
      <c r="Q40" s="158">
        <f t="shared" si="24"/>
        <v>42824.526125982149</v>
      </c>
      <c r="R40" s="624">
        <f t="shared" si="24"/>
        <v>43895.139279131705</v>
      </c>
    </row>
    <row r="41" spans="1:18">
      <c r="A41" s="604" t="s">
        <v>834</v>
      </c>
      <c r="B41" s="628">
        <v>0.02</v>
      </c>
      <c r="C41" s="140"/>
      <c r="D41" s="158"/>
      <c r="E41" s="775">
        <f>SUM($D$40:D40)*$B41</f>
        <v>815220.0095368406</v>
      </c>
      <c r="F41" s="775">
        <f>SUM($D$40:E40)*$B41</f>
        <v>1650820.5193121023</v>
      </c>
      <c r="G41" s="624">
        <f>SUM($D$40:F40)*$B41</f>
        <v>2507311.0418317453</v>
      </c>
      <c r="L41" s="604" t="str">
        <f>A41</f>
        <v>Compounding Effect for 2% Annual Increase in Weather-Adjusted Sales Revenue</v>
      </c>
      <c r="M41" s="628"/>
      <c r="N41" s="140"/>
      <c r="O41" s="776">
        <f t="shared" ref="O41" si="25">D41/1000</f>
        <v>0</v>
      </c>
      <c r="P41" s="776">
        <f t="shared" si="24"/>
        <v>815.22000953684062</v>
      </c>
      <c r="Q41" s="776">
        <f t="shared" si="24"/>
        <v>1650.8205193121023</v>
      </c>
      <c r="R41" s="777">
        <f t="shared" si="24"/>
        <v>2507.3110418317451</v>
      </c>
    </row>
    <row r="42" spans="1:18" hidden="1">
      <c r="A42" s="604" t="s">
        <v>645</v>
      </c>
      <c r="B42" s="628"/>
      <c r="C42" s="140"/>
      <c r="D42" s="158">
        <f>SUM(D40:D41)</f>
        <v>40761000.476842031</v>
      </c>
      <c r="E42" s="158">
        <f>SUM(E40:E41)</f>
        <v>42595245.498299919</v>
      </c>
      <c r="F42" s="158">
        <f>SUM(F40:F41)</f>
        <v>44475346.645294249</v>
      </c>
      <c r="G42" s="624">
        <f>SUM(G40:G41)</f>
        <v>46402450.32096345</v>
      </c>
      <c r="L42" s="604" t="str">
        <f>A42</f>
        <v>Total 2% Increase Estimate, Including Compounding</v>
      </c>
      <c r="M42" s="628"/>
      <c r="N42" s="140"/>
      <c r="O42" s="158">
        <f>D42/1000</f>
        <v>40761.000476842033</v>
      </c>
      <c r="P42" s="158">
        <f>E42/1000</f>
        <v>42595.245498299919</v>
      </c>
      <c r="Q42" s="158">
        <f>F42/1000</f>
        <v>44475.346645294252</v>
      </c>
      <c r="R42" s="624">
        <f>G42/1000</f>
        <v>46402.450320963449</v>
      </c>
    </row>
    <row r="43" spans="1:18" hidden="1">
      <c r="A43" s="604"/>
      <c r="B43" s="140"/>
      <c r="C43" s="140"/>
      <c r="D43" s="158"/>
      <c r="E43" s="158"/>
      <c r="F43" s="158"/>
      <c r="G43" s="624"/>
      <c r="L43" s="604"/>
      <c r="M43" s="140"/>
      <c r="N43" s="140"/>
      <c r="O43" s="158"/>
      <c r="P43" s="158"/>
      <c r="Q43" s="158"/>
      <c r="R43" s="624"/>
    </row>
    <row r="44" spans="1:18">
      <c r="A44" s="629" t="s">
        <v>835</v>
      </c>
      <c r="B44" s="140"/>
      <c r="C44" s="600"/>
      <c r="D44" s="778">
        <f>SUM(D40:D41)</f>
        <v>40761000.476842031</v>
      </c>
      <c r="E44" s="778">
        <f>SUM(E40:E41)</f>
        <v>42595245.498299919</v>
      </c>
      <c r="F44" s="778">
        <f>SUM(F40:F41)</f>
        <v>44475346.645294249</v>
      </c>
      <c r="G44" s="779">
        <f>SUM(G40:G41)</f>
        <v>46402450.32096345</v>
      </c>
      <c r="L44" s="629" t="str">
        <f>A44</f>
        <v>Estimated 2% Annual Increase in Weather-Adjusted Sales Revenue, Including Compounding</v>
      </c>
      <c r="M44" s="140"/>
      <c r="N44" s="140"/>
      <c r="O44" s="158">
        <f t="shared" ref="O44:R45" si="26">D44/1000</f>
        <v>40761.000476842033</v>
      </c>
      <c r="P44" s="158">
        <f t="shared" si="26"/>
        <v>42595.245498299919</v>
      </c>
      <c r="Q44" s="158">
        <f t="shared" si="26"/>
        <v>44475.346645294252</v>
      </c>
      <c r="R44" s="624">
        <f t="shared" si="26"/>
        <v>46402.450320963449</v>
      </c>
    </row>
    <row r="45" spans="1:18">
      <c r="A45" s="629" t="s">
        <v>609</v>
      </c>
      <c r="B45" s="140"/>
      <c r="C45" s="140"/>
      <c r="D45" s="158">
        <f>SUM($D$44:D44)</f>
        <v>40761000.476842031</v>
      </c>
      <c r="E45" s="158">
        <f>SUM($D$44:E44)</f>
        <v>83356245.975141943</v>
      </c>
      <c r="F45" s="158">
        <f>SUM($D$44:F44)</f>
        <v>127831592.62043619</v>
      </c>
      <c r="G45" s="624">
        <f>SUM($D$44:G44)</f>
        <v>174234042.94139963</v>
      </c>
      <c r="L45" s="629" t="str">
        <f>A45</f>
        <v>Cumulative Estimated 2% Annual Increase in Weather-Adjusted Sales Revenue</v>
      </c>
      <c r="M45" s="140"/>
      <c r="N45" s="140"/>
      <c r="O45" s="158">
        <f t="shared" si="26"/>
        <v>40761.000476842033</v>
      </c>
      <c r="P45" s="158">
        <f t="shared" si="26"/>
        <v>83356.245975141937</v>
      </c>
      <c r="Q45" s="158">
        <f t="shared" si="26"/>
        <v>127831.59262043619</v>
      </c>
      <c r="R45" s="624">
        <f t="shared" si="26"/>
        <v>174234.04294139965</v>
      </c>
    </row>
    <row r="46" spans="1:18">
      <c r="A46" s="604"/>
      <c r="B46" s="140"/>
      <c r="C46" s="140"/>
      <c r="D46" s="158"/>
      <c r="E46" s="158"/>
      <c r="F46" s="158"/>
      <c r="G46" s="624"/>
      <c r="L46" s="604"/>
      <c r="M46" s="140"/>
      <c r="N46" s="140"/>
      <c r="O46" s="158"/>
      <c r="P46" s="158"/>
      <c r="Q46" s="158"/>
      <c r="R46" s="624"/>
    </row>
    <row r="47" spans="1:18">
      <c r="A47" s="606" t="s">
        <v>611</v>
      </c>
      <c r="B47" s="140"/>
      <c r="C47" s="140"/>
      <c r="D47" s="158"/>
      <c r="E47" s="158"/>
      <c r="F47" s="158"/>
      <c r="G47" s="624"/>
      <c r="L47" s="606" t="s">
        <v>611</v>
      </c>
      <c r="M47" s="140"/>
      <c r="N47" s="140"/>
      <c r="O47" s="158"/>
      <c r="P47" s="158"/>
      <c r="Q47" s="158"/>
      <c r="R47" s="624"/>
    </row>
    <row r="48" spans="1:18">
      <c r="A48" s="630" t="s">
        <v>646</v>
      </c>
      <c r="B48" s="140"/>
      <c r="C48" s="140"/>
      <c r="D48" s="616">
        <f>D31</f>
        <v>45316501.089324176</v>
      </c>
      <c r="E48" s="616">
        <f>E31</f>
        <v>72181751.779416561</v>
      </c>
      <c r="F48" s="616">
        <f>F31</f>
        <v>142610947.23865482</v>
      </c>
      <c r="G48" s="631">
        <f>G31</f>
        <v>190198160.39770237</v>
      </c>
      <c r="L48" s="630" t="str">
        <f>A48</f>
        <v>Estimated Incremental Cost</v>
      </c>
      <c r="M48" s="140"/>
      <c r="N48" s="140"/>
      <c r="O48" s="616">
        <f>D48/1000</f>
        <v>45316.501089324178</v>
      </c>
      <c r="P48" s="616">
        <f t="shared" ref="P48:P50" si="27">E48/1000</f>
        <v>72181.751779416561</v>
      </c>
      <c r="Q48" s="616">
        <f t="shared" ref="Q48:Q50" si="28">F48/1000</f>
        <v>142610.94723865483</v>
      </c>
      <c r="R48" s="631">
        <f t="shared" ref="R48:R50" si="29">G48/1000</f>
        <v>190198.16039770236</v>
      </c>
    </row>
    <row r="49" spans="1:18">
      <c r="A49" s="630" t="s">
        <v>613</v>
      </c>
      <c r="B49" s="140"/>
      <c r="C49" s="140"/>
      <c r="D49" s="616">
        <f>D31-D45</f>
        <v>4555500.6124821454</v>
      </c>
      <c r="E49" s="616">
        <f>E31-E45</f>
        <v>-11174494.195725381</v>
      </c>
      <c r="F49" s="616">
        <f>F31-F45</f>
        <v>14779354.618218631</v>
      </c>
      <c r="G49" s="631">
        <f>G31-G45</f>
        <v>15964117.456302732</v>
      </c>
      <c r="L49" s="630" t="str">
        <f>A49</f>
        <v>Annual Comparison</v>
      </c>
      <c r="M49" s="140"/>
      <c r="N49" s="140"/>
      <c r="O49" s="616">
        <f t="shared" ref="O49:O50" si="30">D49/1000</f>
        <v>4555.5006124821457</v>
      </c>
      <c r="P49" s="616">
        <f t="shared" si="27"/>
        <v>-11174.494195725381</v>
      </c>
      <c r="Q49" s="616">
        <f t="shared" si="28"/>
        <v>14779.354618218631</v>
      </c>
      <c r="R49" s="631">
        <f t="shared" si="29"/>
        <v>15964.117456302733</v>
      </c>
    </row>
    <row r="50" spans="1:18">
      <c r="A50" s="632" t="s">
        <v>614</v>
      </c>
      <c r="B50" s="144"/>
      <c r="C50" s="144"/>
      <c r="D50" s="619">
        <f>SUM(D49:$D$49)</f>
        <v>4555500.6124821454</v>
      </c>
      <c r="E50" s="619">
        <f>SUM($D49:E$49)</f>
        <v>-6618993.5832432359</v>
      </c>
      <c r="F50" s="619">
        <f>SUM($D49:F$49)</f>
        <v>8160361.0349753946</v>
      </c>
      <c r="G50" s="633">
        <f>SUM($D49:G$49)</f>
        <v>24124478.491278127</v>
      </c>
      <c r="L50" s="632" t="str">
        <f>A50</f>
        <v>Cumulative</v>
      </c>
      <c r="M50" s="144"/>
      <c r="N50" s="144"/>
      <c r="O50" s="619">
        <f t="shared" si="30"/>
        <v>4555.5006124821457</v>
      </c>
      <c r="P50" s="619">
        <f t="shared" si="27"/>
        <v>-6618.9935832432357</v>
      </c>
      <c r="Q50" s="619">
        <f t="shared" si="28"/>
        <v>8160.3610349753944</v>
      </c>
      <c r="R50" s="633">
        <f t="shared" si="29"/>
        <v>24124.478491278125</v>
      </c>
    </row>
  </sheetData>
  <pageMargins left="0.7" right="0.7" top="0.75" bottom="0.75" header="0.3" footer="0.3"/>
  <pageSetup paperSize="119" orientation="landscape" r:id="rId1"/>
  <headerFooter>
    <oddHeader>&amp;LAppendix E-2: Incremental Cost Calculation&amp;RClean Energy Implementation Plan</oddHeader>
    <oddFooter>&amp;LDECEMBER 17, 2021&amp;C&amp;P of &amp;N&amp;RPuget Sound Energy</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tabSelected="1" zoomScaleNormal="100" workbookViewId="0">
      <selection activeCell="E17" sqref="E17"/>
    </sheetView>
  </sheetViews>
  <sheetFormatPr defaultRowHeight="15"/>
  <cols>
    <col min="1" max="1" width="43.85546875" customWidth="1"/>
    <col min="2" max="2" width="22.5703125" customWidth="1"/>
    <col min="3" max="3" width="16.85546875" customWidth="1"/>
    <col min="4" max="6" width="11.7109375" bestFit="1" customWidth="1"/>
    <col min="7" max="9" width="12.140625" bestFit="1" customWidth="1"/>
    <col min="10" max="10" width="11.7109375" bestFit="1" customWidth="1"/>
    <col min="12" max="12" width="10" bestFit="1" customWidth="1"/>
    <col min="13" max="13" width="8" style="54" customWidth="1"/>
    <col min="14" max="14" width="12.42578125" customWidth="1"/>
    <col min="15" max="15" width="6.28515625" customWidth="1"/>
  </cols>
  <sheetData>
    <row r="1" spans="1:15" s="54" customFormat="1">
      <c r="A1" s="120"/>
      <c r="B1" s="591">
        <v>2022</v>
      </c>
      <c r="C1" s="591">
        <v>2023</v>
      </c>
      <c r="D1" s="591">
        <v>2024</v>
      </c>
      <c r="E1" s="591">
        <v>2025</v>
      </c>
      <c r="F1" s="592" t="s">
        <v>15</v>
      </c>
      <c r="G1" s="592" t="s">
        <v>539</v>
      </c>
      <c r="H1" s="608"/>
      <c r="I1" s="608"/>
      <c r="J1" s="608"/>
      <c r="K1" s="186"/>
      <c r="N1" s="663"/>
      <c r="O1" s="663"/>
    </row>
    <row r="2" spans="1:15">
      <c r="A2" s="54" t="s">
        <v>749</v>
      </c>
      <c r="B2" s="581">
        <f>'7. Incremental Cost'!E24</f>
        <v>4555.5006124821448</v>
      </c>
      <c r="C2" s="581">
        <f>'7. Incremental Cost'!F24</f>
        <v>-11174.49419572539</v>
      </c>
      <c r="D2" s="581">
        <f>'7. Incremental Cost'!G24</f>
        <v>14763.0502180279</v>
      </c>
      <c r="E2" s="581">
        <f>'7. Incremental Cost'!H24</f>
        <v>15898.166157531203</v>
      </c>
      <c r="F2" s="581">
        <f>SUM(B2:E2)</f>
        <v>24042.222792315857</v>
      </c>
      <c r="G2" s="191">
        <f>F2/SUM('7. Incremental Cost'!E8:H8)</f>
        <v>5.6402038696665671E-2</v>
      </c>
      <c r="H2" s="662"/>
      <c r="I2" s="662"/>
      <c r="J2" s="662"/>
      <c r="K2" s="120"/>
      <c r="N2" s="662"/>
      <c r="O2" s="664"/>
    </row>
    <row r="3" spans="1:15" s="54" customFormat="1">
      <c r="A3" s="120"/>
      <c r="B3" s="581"/>
      <c r="C3" s="581"/>
      <c r="D3" s="581"/>
      <c r="E3" s="581"/>
      <c r="F3" s="662"/>
      <c r="G3" s="662"/>
      <c r="H3" s="662"/>
      <c r="I3" s="662"/>
      <c r="J3" s="662"/>
      <c r="K3" s="120"/>
      <c r="L3" s="581"/>
      <c r="M3" s="191"/>
      <c r="N3" s="581"/>
      <c r="O3" s="191"/>
    </row>
    <row r="4" spans="1:15" s="54" customFormat="1">
      <c r="A4" s="120"/>
      <c r="B4" s="581"/>
      <c r="C4" s="581"/>
      <c r="D4" s="581"/>
      <c r="E4" s="581"/>
      <c r="F4" s="662"/>
      <c r="G4" s="662"/>
      <c r="H4" s="662"/>
      <c r="I4" s="662"/>
      <c r="J4" s="662"/>
      <c r="K4" s="120"/>
      <c r="L4" s="581"/>
      <c r="M4" s="191"/>
      <c r="N4" s="581"/>
      <c r="O4" s="191"/>
    </row>
    <row r="5" spans="1:15" s="54" customFormat="1">
      <c r="A5" s="120"/>
      <c r="B5" s="581"/>
      <c r="C5" s="581"/>
      <c r="D5" s="581"/>
      <c r="E5" s="581"/>
      <c r="F5" s="662"/>
      <c r="G5" s="662"/>
      <c r="H5" s="662"/>
      <c r="I5" s="662"/>
      <c r="J5" s="662"/>
      <c r="K5" s="120"/>
      <c r="L5" s="581"/>
      <c r="M5" s="191"/>
      <c r="N5" s="581"/>
      <c r="O5" s="191"/>
    </row>
    <row r="6" spans="1:15" s="54" customFormat="1">
      <c r="A6" s="120"/>
      <c r="B6" s="581"/>
      <c r="C6" s="581"/>
      <c r="D6" s="581"/>
      <c r="E6" s="581"/>
      <c r="F6" s="662"/>
      <c r="G6" s="662"/>
      <c r="H6" s="662"/>
      <c r="I6" s="662"/>
      <c r="J6" s="662"/>
      <c r="K6" s="120"/>
      <c r="L6" s="581"/>
      <c r="M6" s="191"/>
      <c r="N6" s="581"/>
      <c r="O6" s="191"/>
    </row>
    <row r="7" spans="1:15" s="54" customFormat="1">
      <c r="A7" s="120" t="s">
        <v>709</v>
      </c>
      <c r="B7" s="581">
        <f>SUM($B$2:B2)</f>
        <v>4555.5006124821448</v>
      </c>
      <c r="C7" s="581">
        <f>SUM($B$2:C2)</f>
        <v>-6618.9935832432457</v>
      </c>
      <c r="D7" s="581">
        <f>SUM($B$2:D2)</f>
        <v>8144.0566347846543</v>
      </c>
      <c r="E7" s="581">
        <f>SUM($B$2:E2)</f>
        <v>24042.222792315857</v>
      </c>
      <c r="F7" s="662"/>
      <c r="G7" s="662"/>
      <c r="H7" s="662"/>
      <c r="I7" s="662"/>
      <c r="J7" s="662"/>
      <c r="K7" s="120"/>
      <c r="L7" s="581"/>
      <c r="M7" s="191"/>
      <c r="N7" s="581"/>
      <c r="O7" s="191"/>
    </row>
    <row r="8" spans="1:15" s="54" customFormat="1">
      <c r="A8" s="120" t="s">
        <v>710</v>
      </c>
      <c r="B8" s="581">
        <f>'7. Incremental Cost'!E8</f>
        <v>40761.000476842033</v>
      </c>
      <c r="C8" s="581">
        <f>'7. Incremental Cost'!F8</f>
        <v>83356.245975141952</v>
      </c>
      <c r="D8" s="581">
        <f>'7. Incremental Cost'!G8</f>
        <v>127847.89702062693</v>
      </c>
      <c r="E8" s="581">
        <f>'7. Incremental Cost'!H8</f>
        <v>174299.99424017116</v>
      </c>
      <c r="F8" s="662"/>
      <c r="G8" s="662"/>
      <c r="H8" s="662"/>
      <c r="I8" s="662"/>
      <c r="J8" s="662"/>
      <c r="K8" s="120"/>
      <c r="L8" s="581"/>
      <c r="M8" s="191"/>
      <c r="N8" s="581"/>
      <c r="O8" s="191"/>
    </row>
    <row r="9" spans="1:15" s="54" customFormat="1">
      <c r="A9" s="120"/>
      <c r="B9" s="581"/>
      <c r="C9" s="581"/>
      <c r="D9" s="581"/>
      <c r="E9" s="581"/>
      <c r="F9" s="662"/>
      <c r="G9" s="662"/>
      <c r="H9" s="662"/>
      <c r="I9" s="662"/>
      <c r="J9" s="662"/>
      <c r="K9" s="120"/>
      <c r="L9" s="581"/>
      <c r="M9" s="191"/>
      <c r="N9" s="581"/>
      <c r="O9" s="191"/>
    </row>
    <row r="10" spans="1:15" s="54" customFormat="1">
      <c r="A10" s="120"/>
      <c r="B10" s="581"/>
      <c r="C10" s="581"/>
      <c r="D10" s="581"/>
      <c r="E10" s="581"/>
      <c r="F10" s="662"/>
      <c r="G10" s="662"/>
      <c r="H10" s="662"/>
      <c r="I10" s="662"/>
      <c r="J10" s="662"/>
      <c r="K10" s="120"/>
      <c r="L10" s="581"/>
      <c r="M10" s="191"/>
      <c r="N10" s="581"/>
      <c r="O10" s="191"/>
    </row>
    <row r="11" spans="1:15" s="54" customFormat="1">
      <c r="A11" s="120" t="s">
        <v>637</v>
      </c>
      <c r="B11" s="581">
        <f>SUM(B8:$B$8)</f>
        <v>40761.000476842033</v>
      </c>
      <c r="C11" s="581">
        <f>SUM($B8:C$8)</f>
        <v>124117.24645198399</v>
      </c>
      <c r="D11" s="581">
        <f>SUM($B8:D$8)</f>
        <v>251965.14347261091</v>
      </c>
      <c r="E11" s="581">
        <f>SUM($B8:E$8)</f>
        <v>426265.13771278207</v>
      </c>
      <c r="F11" s="662"/>
      <c r="G11" s="662"/>
      <c r="H11" s="662"/>
      <c r="I11" s="662"/>
      <c r="J11" s="662"/>
      <c r="K11" s="120"/>
      <c r="L11" s="581"/>
      <c r="M11" s="191"/>
      <c r="N11" s="581"/>
      <c r="O11" s="191"/>
    </row>
    <row r="12" spans="1:15" s="54" customFormat="1">
      <c r="A12" s="120"/>
      <c r="B12" s="581"/>
      <c r="C12" s="581"/>
      <c r="D12" s="581"/>
      <c r="E12" s="581"/>
      <c r="F12" s="662"/>
      <c r="G12" s="662"/>
      <c r="H12" s="662"/>
      <c r="I12" s="662"/>
      <c r="J12" s="662"/>
      <c r="K12" s="120"/>
      <c r="L12" s="581"/>
      <c r="M12" s="191"/>
      <c r="N12" s="581"/>
      <c r="O12" s="191"/>
    </row>
    <row r="13" spans="1:15" s="54" customFormat="1">
      <c r="A13" s="582" t="s">
        <v>542</v>
      </c>
      <c r="B13" s="581">
        <f>'7. Incremental Cost'!E9/1000</f>
        <v>40761.000476842033</v>
      </c>
      <c r="C13" s="581">
        <f>'7. Incremental Cost'!F9/1000</f>
        <v>83356.245975141952</v>
      </c>
      <c r="D13" s="581">
        <f>'7. Incremental Cost'!G9/1000</f>
        <v>127847.89702062693</v>
      </c>
      <c r="E13" s="581">
        <f>'7. Incremental Cost'!H9/1000</f>
        <v>174299.99424017116</v>
      </c>
      <c r="F13" s="662"/>
      <c r="G13" s="662"/>
      <c r="H13" s="662"/>
      <c r="I13" s="662"/>
      <c r="J13" s="662"/>
      <c r="K13" s="120"/>
      <c r="L13" s="581"/>
      <c r="M13" s="191"/>
      <c r="N13" s="581"/>
      <c r="O13" s="191"/>
    </row>
    <row r="14" spans="1:15" s="54" customFormat="1">
      <c r="A14" s="120" t="s">
        <v>543</v>
      </c>
      <c r="B14" s="581">
        <f>SUM(B13:$B$13)</f>
        <v>40761.000476842033</v>
      </c>
      <c r="C14" s="581">
        <f>SUM($B13:C$13)</f>
        <v>124117.24645198399</v>
      </c>
      <c r="D14" s="581">
        <f>SUM($B13:D$13)</f>
        <v>251965.14347261091</v>
      </c>
      <c r="E14" s="581">
        <f>SUM($B13:E$13)</f>
        <v>426265.13771278207</v>
      </c>
      <c r="F14" s="662"/>
      <c r="G14" s="662"/>
      <c r="H14" s="662"/>
      <c r="I14" s="662"/>
      <c r="J14" s="662"/>
      <c r="K14" s="120"/>
      <c r="L14" s="581"/>
      <c r="M14" s="191"/>
      <c r="N14" s="581"/>
      <c r="O14" s="191"/>
    </row>
    <row r="15" spans="1:15" s="54" customFormat="1">
      <c r="A15" s="120" t="s">
        <v>544</v>
      </c>
      <c r="B15" s="581">
        <f>'7. Incremental Cost'!E22/1000</f>
        <v>45316.501089324178</v>
      </c>
      <c r="C15" s="581">
        <f>'7. Incremental Cost'!F22/1000</f>
        <v>72181.751779416561</v>
      </c>
      <c r="D15" s="581">
        <f>'7. Incremental Cost'!G22/1000</f>
        <v>142610.94723865483</v>
      </c>
      <c r="E15" s="581">
        <f>'7. Incremental Cost'!H22/1000</f>
        <v>190198.16039770236</v>
      </c>
      <c r="F15" s="662"/>
      <c r="G15" s="662"/>
      <c r="H15" s="662"/>
      <c r="I15" s="662"/>
      <c r="J15" s="662"/>
      <c r="K15" s="120"/>
      <c r="L15" s="581"/>
      <c r="M15" s="191"/>
      <c r="N15" s="581"/>
      <c r="O15" s="191"/>
    </row>
    <row r="16" spans="1:15" s="54" customFormat="1">
      <c r="A16" s="120" t="s">
        <v>545</v>
      </c>
      <c r="B16" s="581">
        <f>SUM($B$15:B15)</f>
        <v>45316.501089324178</v>
      </c>
      <c r="C16" s="581">
        <f>SUM($B$15:C15)</f>
        <v>117498.25286874073</v>
      </c>
      <c r="D16" s="581">
        <f>SUM($B$15:D15)</f>
        <v>260109.20010739556</v>
      </c>
      <c r="E16" s="581">
        <f>SUM($B$15:E15)</f>
        <v>450307.36050509789</v>
      </c>
      <c r="F16" s="662"/>
      <c r="G16" s="662"/>
      <c r="H16" s="662"/>
      <c r="I16" s="662"/>
      <c r="J16" s="662"/>
      <c r="K16" s="120"/>
      <c r="L16" s="581"/>
      <c r="M16" s="191"/>
      <c r="N16" s="581"/>
      <c r="O16" s="191"/>
    </row>
    <row r="17" spans="2:15" s="54" customFormat="1">
      <c r="B17" s="105"/>
      <c r="C17" s="105"/>
      <c r="D17" s="105"/>
      <c r="E17" s="105"/>
      <c r="F17" s="105"/>
      <c r="G17" s="105"/>
      <c r="H17" s="105"/>
      <c r="I17" s="105"/>
      <c r="J17" s="105"/>
      <c r="L17" s="105"/>
      <c r="M17" s="94"/>
      <c r="N17" s="105"/>
      <c r="O17" s="94"/>
    </row>
    <row r="86" spans="1:3">
      <c r="A86" s="583" t="s">
        <v>550</v>
      </c>
      <c r="B86" s="120"/>
      <c r="C86" s="120"/>
    </row>
    <row r="87" spans="1:3">
      <c r="A87" s="120"/>
      <c r="B87" s="584" t="s">
        <v>547</v>
      </c>
      <c r="C87" s="584" t="s">
        <v>548</v>
      </c>
    </row>
    <row r="88" spans="1:3" s="54" customFormat="1" ht="6" customHeight="1" thickBot="1">
      <c r="A88" s="120"/>
      <c r="B88" s="585"/>
      <c r="C88" s="585"/>
    </row>
    <row r="89" spans="1:3" ht="15.75" thickBot="1">
      <c r="A89" s="586" t="s">
        <v>546</v>
      </c>
      <c r="B89" s="587">
        <f>SUM(E14)</f>
        <v>426265.13771278207</v>
      </c>
      <c r="C89" s="587">
        <f>SUM(J14)</f>
        <v>0</v>
      </c>
    </row>
    <row r="90" spans="1:3" ht="15.75" thickBot="1">
      <c r="A90" s="588" t="s">
        <v>549</v>
      </c>
      <c r="B90" s="587">
        <f>E16</f>
        <v>450307.36050509789</v>
      </c>
      <c r="C90" s="587">
        <f>J16</f>
        <v>0</v>
      </c>
    </row>
    <row r="91" spans="1:3" s="54" customFormat="1" ht="2.25" customHeight="1">
      <c r="A91" s="186"/>
      <c r="B91" s="589"/>
      <c r="C91" s="589"/>
    </row>
    <row r="92" spans="1:3">
      <c r="A92" s="120"/>
      <c r="B92" s="590">
        <f>(B90-B89)/B89</f>
        <v>5.6402038696665588E-2</v>
      </c>
      <c r="C92" s="590" t="e">
        <f>(C90-C89)/C89</f>
        <v>#DIV/0!</v>
      </c>
    </row>
  </sheetData>
  <pageMargins left="0.7" right="0.7" top="0.75" bottom="0.75" header="0.3" footer="0.3"/>
  <pageSetup paperSize="119" orientation="landscape" horizontalDpi="300" verticalDpi="300" r:id="rId1"/>
  <headerFooter>
    <oddHeader>&amp;LAppendix E-2: Incremental Cost Calculation&amp;RClean Energy Implementation Plan</oddHeader>
    <oddFooter>&amp;LDECEMBER 17, 2021&amp;C&amp;P of &amp;N&amp;RPuget Sound Energy</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tabSelected="1" workbookViewId="0">
      <selection activeCell="E17" sqref="E17"/>
    </sheetView>
  </sheetViews>
  <sheetFormatPr defaultRowHeight="15"/>
  <cols>
    <col min="1" max="1" width="61" bestFit="1" customWidth="1"/>
  </cols>
  <sheetData>
    <row r="1" spans="1:28">
      <c r="A1" s="9" t="s">
        <v>758</v>
      </c>
      <c r="B1" s="748">
        <v>2021</v>
      </c>
      <c r="C1" s="748">
        <v>2022</v>
      </c>
      <c r="D1" s="748">
        <v>2023</v>
      </c>
      <c r="E1" s="748">
        <v>2024</v>
      </c>
      <c r="F1" s="748">
        <v>2025</v>
      </c>
      <c r="G1" s="748">
        <v>2026</v>
      </c>
      <c r="H1" s="748">
        <v>2027</v>
      </c>
      <c r="I1" s="748">
        <v>2028</v>
      </c>
      <c r="J1" s="748">
        <v>2029</v>
      </c>
      <c r="K1" s="748">
        <v>2030</v>
      </c>
      <c r="L1" s="748">
        <v>2031</v>
      </c>
      <c r="M1" s="748">
        <v>2032</v>
      </c>
      <c r="N1" s="748">
        <v>2033</v>
      </c>
      <c r="O1" s="748">
        <v>2034</v>
      </c>
      <c r="P1" s="748">
        <v>2035</v>
      </c>
      <c r="Q1" s="748">
        <v>2036</v>
      </c>
      <c r="R1" s="748">
        <v>2037</v>
      </c>
      <c r="S1" s="748">
        <v>2038</v>
      </c>
      <c r="T1" s="748">
        <v>2039</v>
      </c>
      <c r="U1" s="748">
        <v>2040</v>
      </c>
      <c r="V1" s="748">
        <v>2041</v>
      </c>
      <c r="W1" s="748">
        <v>2042</v>
      </c>
      <c r="X1" s="748">
        <v>2043</v>
      </c>
      <c r="Y1" s="748">
        <v>2044</v>
      </c>
      <c r="Z1" s="748">
        <v>2045</v>
      </c>
      <c r="AA1" s="748">
        <v>2046</v>
      </c>
      <c r="AB1" s="748">
        <v>2047</v>
      </c>
    </row>
    <row r="2" spans="1:28">
      <c r="A2" s="752" t="s">
        <v>755</v>
      </c>
      <c r="B2" s="749">
        <v>503090.13494873047</v>
      </c>
      <c r="C2" s="749">
        <v>524065.49401855469</v>
      </c>
      <c r="D2" s="749">
        <v>587433.94494628906</v>
      </c>
      <c r="E2" s="749">
        <v>587099.92114257813</v>
      </c>
      <c r="F2" s="749">
        <v>544409.67626953125</v>
      </c>
      <c r="G2" s="749">
        <v>292982.62182617188</v>
      </c>
      <c r="H2" s="749">
        <v>301892.61315917969</v>
      </c>
      <c r="I2" s="749">
        <v>300466.9306640625</v>
      </c>
      <c r="J2" s="749">
        <v>299444.56555175781</v>
      </c>
      <c r="K2" s="749">
        <v>293289.63854980469</v>
      </c>
      <c r="L2" s="749">
        <v>285341.04992675781</v>
      </c>
      <c r="M2" s="749">
        <v>282989.79028320313</v>
      </c>
      <c r="N2" s="749">
        <v>295072.74670410156</v>
      </c>
      <c r="O2" s="749">
        <v>294402.25744628906</v>
      </c>
      <c r="P2" s="749">
        <v>286739.52844238281</v>
      </c>
      <c r="Q2" s="749">
        <v>295111.3310546875</v>
      </c>
      <c r="R2" s="749">
        <v>295011.42727661133</v>
      </c>
      <c r="S2" s="749">
        <v>290142.7021484375</v>
      </c>
      <c r="T2" s="749">
        <v>295985.56518554688</v>
      </c>
      <c r="U2" s="749">
        <v>298721.61669921875</v>
      </c>
      <c r="V2" s="749">
        <v>323270.73852539063</v>
      </c>
      <c r="W2" s="749">
        <v>313877.7275390625</v>
      </c>
      <c r="X2" s="749">
        <v>291732.89453125</v>
      </c>
      <c r="Y2" s="749">
        <v>270219.42358398438</v>
      </c>
      <c r="Z2" s="749">
        <v>275162.630859375</v>
      </c>
      <c r="AA2" s="749">
        <v>271285.744140625</v>
      </c>
      <c r="AB2" s="749">
        <v>237181.57666015625</v>
      </c>
    </row>
    <row r="3" spans="1:28">
      <c r="A3" s="753" t="s">
        <v>756</v>
      </c>
      <c r="B3" s="750">
        <v>0</v>
      </c>
      <c r="C3" s="750">
        <v>300.44277954101563</v>
      </c>
      <c r="D3" s="750">
        <v>1824.5855102539063</v>
      </c>
      <c r="E3" s="750">
        <v>3487.790771484375</v>
      </c>
      <c r="F3" s="750">
        <v>30492.763305664063</v>
      </c>
      <c r="G3" s="750">
        <v>58713.301879882813</v>
      </c>
      <c r="H3" s="750">
        <v>85102.11962890625</v>
      </c>
      <c r="I3" s="750">
        <v>89617.597412109375</v>
      </c>
      <c r="J3" s="750">
        <v>92589.26123046875</v>
      </c>
      <c r="K3" s="750">
        <v>93349.89892578125</v>
      </c>
      <c r="L3" s="750">
        <v>129655.8623046875</v>
      </c>
      <c r="M3" s="750">
        <v>133963.89916992188</v>
      </c>
      <c r="N3" s="750">
        <v>140816.59741210938</v>
      </c>
      <c r="O3" s="750">
        <v>151008.40258789063</v>
      </c>
      <c r="P3" s="750">
        <v>212629.98120117188</v>
      </c>
      <c r="Q3" s="750">
        <v>258002.54736328125</v>
      </c>
      <c r="R3" s="750">
        <v>260567.41821289063</v>
      </c>
      <c r="S3" s="750">
        <v>264455.80297851563</v>
      </c>
      <c r="T3" s="750">
        <v>274875.83569335938</v>
      </c>
      <c r="U3" s="750">
        <v>324042.09936523438</v>
      </c>
      <c r="V3" s="750">
        <v>334238.9052734375</v>
      </c>
      <c r="W3" s="750">
        <v>345175.708984375</v>
      </c>
      <c r="X3" s="750">
        <v>397433.07543945313</v>
      </c>
      <c r="Y3" s="750">
        <v>491013.30810546875</v>
      </c>
      <c r="Z3" s="750">
        <v>499836.3056640625</v>
      </c>
      <c r="AA3" s="750">
        <v>690942.37451171875</v>
      </c>
      <c r="AB3" s="750">
        <v>771221.994140625</v>
      </c>
    </row>
    <row r="4" spans="1:28">
      <c r="A4" s="753" t="s">
        <v>693</v>
      </c>
      <c r="B4" s="750">
        <v>103719.3984375</v>
      </c>
      <c r="C4" s="750">
        <v>75417.109375</v>
      </c>
      <c r="D4" s="750">
        <v>50456.51953125</v>
      </c>
      <c r="E4" s="750">
        <v>47084.8046875</v>
      </c>
      <c r="F4" s="750">
        <v>56125.90625</v>
      </c>
      <c r="G4" s="750">
        <v>136338.078125</v>
      </c>
      <c r="H4" s="750">
        <v>162657.125</v>
      </c>
      <c r="I4" s="750">
        <v>176120.796875</v>
      </c>
      <c r="J4" s="750">
        <v>192353.234375</v>
      </c>
      <c r="K4" s="750">
        <v>195853.421875</v>
      </c>
      <c r="L4" s="750">
        <v>198033.96875</v>
      </c>
      <c r="M4" s="750">
        <v>223661.515625</v>
      </c>
      <c r="N4" s="750">
        <v>236324.078125</v>
      </c>
      <c r="O4" s="750">
        <v>247300.328125</v>
      </c>
      <c r="P4" s="750">
        <v>246781.4375</v>
      </c>
      <c r="Q4" s="750">
        <v>257536.453125</v>
      </c>
      <c r="R4" s="750">
        <v>271742.21875</v>
      </c>
      <c r="S4" s="750">
        <v>289582.5</v>
      </c>
      <c r="T4" s="750">
        <v>299778.03125</v>
      </c>
      <c r="U4" s="750">
        <v>317868.09375</v>
      </c>
      <c r="V4" s="750">
        <v>330305.21875</v>
      </c>
      <c r="W4" s="750">
        <v>376559.625</v>
      </c>
      <c r="X4" s="750">
        <v>423640.625</v>
      </c>
      <c r="Y4" s="750">
        <v>441242.25</v>
      </c>
      <c r="Z4" s="750">
        <v>475072.9375</v>
      </c>
      <c r="AA4" s="750">
        <v>487134.84375</v>
      </c>
      <c r="AB4" s="750">
        <v>385023.28125</v>
      </c>
    </row>
    <row r="5" spans="1:28">
      <c r="A5" s="753" t="s">
        <v>694</v>
      </c>
      <c r="B5" s="750">
        <v>-22774.69921875</v>
      </c>
      <c r="C5" s="750">
        <v>-38052.30078125</v>
      </c>
      <c r="D5" s="750">
        <v>-50756.3671875</v>
      </c>
      <c r="E5" s="750">
        <v>-50901.12109375</v>
      </c>
      <c r="F5" s="750">
        <v>-45300.11328125</v>
      </c>
      <c r="G5" s="750">
        <v>-13528.8486328125</v>
      </c>
      <c r="H5" s="750">
        <v>-16944.607421875</v>
      </c>
      <c r="I5" s="750">
        <v>-17703.33203125</v>
      </c>
      <c r="J5" s="750">
        <v>-15690.8291015625</v>
      </c>
      <c r="K5" s="750">
        <v>-17422.830078125</v>
      </c>
      <c r="L5" s="750">
        <v>-18639.876953125</v>
      </c>
      <c r="M5" s="750">
        <v>-19648.62890625</v>
      </c>
      <c r="N5" s="750">
        <v>-22125.953125</v>
      </c>
      <c r="O5" s="750">
        <v>-23082.65234375</v>
      </c>
      <c r="P5" s="750">
        <v>-23331.138671875</v>
      </c>
      <c r="Q5" s="750">
        <v>-29361.666015625</v>
      </c>
      <c r="R5" s="750">
        <v>-28610.806640625</v>
      </c>
      <c r="S5" s="750">
        <v>-29579.509765625</v>
      </c>
      <c r="T5" s="750">
        <v>-31263.4921875</v>
      </c>
      <c r="U5" s="750">
        <v>-33239.98828125</v>
      </c>
      <c r="V5" s="750">
        <v>-38406.80859375</v>
      </c>
      <c r="W5" s="750">
        <v>-34768.78515625</v>
      </c>
      <c r="X5" s="750">
        <v>-31548.013671875</v>
      </c>
      <c r="Y5" s="750">
        <v>-35261.3984375</v>
      </c>
      <c r="Z5" s="750">
        <v>-32075.662109375</v>
      </c>
      <c r="AA5" s="750">
        <v>-39596.76171875</v>
      </c>
      <c r="AB5" s="750">
        <v>-39958.45703125</v>
      </c>
    </row>
    <row r="6" spans="1:28">
      <c r="A6" s="754" t="s">
        <v>757</v>
      </c>
      <c r="B6" s="751">
        <v>0</v>
      </c>
      <c r="C6" s="751">
        <v>0</v>
      </c>
      <c r="D6" s="751">
        <v>0</v>
      </c>
      <c r="E6" s="751">
        <v>0</v>
      </c>
      <c r="F6" s="751">
        <v>0</v>
      </c>
      <c r="G6" s="751">
        <v>0</v>
      </c>
      <c r="H6" s="751">
        <v>0</v>
      </c>
      <c r="I6" s="751">
        <v>0</v>
      </c>
      <c r="J6" s="751">
        <v>0</v>
      </c>
      <c r="K6" s="751">
        <v>0</v>
      </c>
      <c r="L6" s="751">
        <v>0</v>
      </c>
      <c r="M6" s="751">
        <v>0</v>
      </c>
      <c r="N6" s="751">
        <v>0</v>
      </c>
      <c r="O6" s="751">
        <v>0</v>
      </c>
      <c r="P6" s="751">
        <v>0</v>
      </c>
      <c r="Q6" s="751">
        <v>0</v>
      </c>
      <c r="R6" s="751">
        <v>0</v>
      </c>
      <c r="S6" s="751">
        <v>0</v>
      </c>
      <c r="T6" s="751">
        <v>0</v>
      </c>
      <c r="U6" s="751">
        <v>0</v>
      </c>
      <c r="V6" s="751">
        <v>0</v>
      </c>
      <c r="W6" s="751">
        <v>0</v>
      </c>
      <c r="X6" s="751">
        <v>0</v>
      </c>
      <c r="Y6" s="751">
        <v>0</v>
      </c>
      <c r="Z6" s="751">
        <v>0</v>
      </c>
      <c r="AA6" s="751">
        <v>0</v>
      </c>
      <c r="AB6" s="751">
        <v>0</v>
      </c>
    </row>
    <row r="7" spans="1:28">
      <c r="A7" s="753" t="s">
        <v>695</v>
      </c>
      <c r="B7" s="750">
        <v>0</v>
      </c>
      <c r="C7" s="750">
        <v>111860.44653320313</v>
      </c>
      <c r="D7" s="750">
        <v>131856.86962890625</v>
      </c>
      <c r="E7" s="750">
        <v>146365.46606445313</v>
      </c>
      <c r="F7" s="750">
        <v>156483.39575195313</v>
      </c>
      <c r="G7" s="750">
        <v>170110.60498046875</v>
      </c>
      <c r="H7" s="750">
        <v>184578.29150390625</v>
      </c>
      <c r="I7" s="750">
        <v>199558.40380859375</v>
      </c>
      <c r="J7" s="750">
        <v>206036.71948242188</v>
      </c>
      <c r="K7" s="750">
        <v>223658.44653320313</v>
      </c>
      <c r="L7" s="750">
        <v>236551.87524414063</v>
      </c>
      <c r="M7" s="750">
        <v>163343.22900390625</v>
      </c>
      <c r="N7" s="750">
        <v>162852.20989990234</v>
      </c>
      <c r="O7" s="750">
        <v>181166.35772705078</v>
      </c>
      <c r="P7" s="750">
        <v>188185.43469238281</v>
      </c>
      <c r="Q7" s="750">
        <v>188356.52966308594</v>
      </c>
      <c r="R7" s="750">
        <v>175383.7721862793</v>
      </c>
      <c r="S7" s="750">
        <v>143293.93771362305</v>
      </c>
      <c r="T7" s="750">
        <v>144259.74778747559</v>
      </c>
      <c r="U7" s="750">
        <v>139789.50833129883</v>
      </c>
      <c r="V7" s="750">
        <v>117096.17332458496</v>
      </c>
      <c r="W7" s="750">
        <v>109897.31391906738</v>
      </c>
      <c r="X7" s="750">
        <v>79598.987167358398</v>
      </c>
      <c r="Y7" s="750">
        <v>81736.780834197998</v>
      </c>
      <c r="Z7" s="750">
        <v>76365.370853424072</v>
      </c>
      <c r="AA7" s="750">
        <v>76379.753776550293</v>
      </c>
      <c r="AB7" s="750">
        <v>76381.47590637207</v>
      </c>
    </row>
    <row r="8" spans="1:28">
      <c r="A8" s="634" t="s">
        <v>759</v>
      </c>
      <c r="B8" s="54">
        <v>0</v>
      </c>
      <c r="C8" s="54">
        <v>0</v>
      </c>
      <c r="D8" s="54">
        <v>0</v>
      </c>
      <c r="E8" s="54">
        <v>0</v>
      </c>
      <c r="F8" s="54">
        <v>0</v>
      </c>
      <c r="G8" s="54">
        <v>530.0870361328125</v>
      </c>
      <c r="H8" s="54">
        <v>553.71795654296875</v>
      </c>
      <c r="I8" s="54">
        <v>1063.950805664062</v>
      </c>
      <c r="J8" s="54">
        <v>1110.048706054688</v>
      </c>
      <c r="K8" s="54">
        <v>1160.717651367188</v>
      </c>
      <c r="L8" s="54">
        <v>1213.466918945312</v>
      </c>
      <c r="M8" s="54">
        <v>154.6350402832031</v>
      </c>
      <c r="N8" s="54">
        <v>157.96620178222659</v>
      </c>
      <c r="O8" s="54">
        <v>161.5712585449219</v>
      </c>
      <c r="P8" s="54">
        <v>165.51936340332031</v>
      </c>
      <c r="Q8" s="54">
        <v>169.78071594238281</v>
      </c>
      <c r="R8" s="54">
        <v>172.7466735839844</v>
      </c>
      <c r="S8" s="54">
        <v>176.17266845703119</v>
      </c>
      <c r="T8" s="54">
        <v>179.77552795410159</v>
      </c>
      <c r="U8" s="54">
        <v>184.0963439941406</v>
      </c>
      <c r="V8" s="54">
        <v>187.3279113769531</v>
      </c>
      <c r="W8" s="54">
        <v>191.28614807128909</v>
      </c>
      <c r="X8" s="54">
        <v>195.13458251953119</v>
      </c>
      <c r="Y8" s="54">
        <v>199.54142761230469</v>
      </c>
      <c r="Z8" s="54">
        <v>202.55445861816409</v>
      </c>
      <c r="AA8" s="54">
        <v>206.41319274902341</v>
      </c>
      <c r="AB8" s="54">
        <v>211.5735168457031</v>
      </c>
    </row>
    <row r="9" spans="1:28">
      <c r="A9" s="634" t="s">
        <v>760</v>
      </c>
      <c r="B9" s="54">
        <v>0</v>
      </c>
      <c r="C9" s="54">
        <v>0</v>
      </c>
      <c r="D9" s="54">
        <v>0</v>
      </c>
      <c r="E9" s="54">
        <v>0</v>
      </c>
      <c r="F9" s="54">
        <v>8.6705942153930664</v>
      </c>
      <c r="G9" s="54">
        <v>8.9154157638549805</v>
      </c>
      <c r="H9" s="54">
        <v>16.430070877075199</v>
      </c>
      <c r="I9" s="54">
        <v>17.17714691162109</v>
      </c>
      <c r="J9" s="54">
        <v>17.898519515991211</v>
      </c>
      <c r="K9" s="54">
        <v>18.586029052734379</v>
      </c>
      <c r="L9" s="54">
        <v>3.506020307540894</v>
      </c>
      <c r="M9" s="54">
        <v>3.596174001693726</v>
      </c>
      <c r="N9" s="54">
        <v>3.6725654602050781</v>
      </c>
      <c r="O9" s="54">
        <v>3.7609503269195561</v>
      </c>
      <c r="P9" s="54">
        <v>3.8591423034667969</v>
      </c>
      <c r="Q9" s="54">
        <v>3.942531824111938</v>
      </c>
      <c r="R9" s="54">
        <v>4.0262837409973136</v>
      </c>
      <c r="S9" s="54">
        <v>4.1043591499328613</v>
      </c>
      <c r="T9" s="54">
        <v>4.2100248336791992</v>
      </c>
      <c r="U9" s="54">
        <v>4.3029427528381348</v>
      </c>
      <c r="V9" s="54">
        <v>4.3987541198730469</v>
      </c>
      <c r="W9" s="54">
        <v>4.4833154678344727</v>
      </c>
      <c r="X9" s="54">
        <v>4.5676069259643546</v>
      </c>
      <c r="Y9" s="54">
        <v>4.6918702125549316</v>
      </c>
      <c r="Z9" s="54">
        <v>4.7670993804931641</v>
      </c>
      <c r="AA9" s="54">
        <v>4.8862771987915039</v>
      </c>
      <c r="AB9" s="54">
        <v>5.0084338188171387</v>
      </c>
    </row>
    <row r="10" spans="1:28">
      <c r="A10" s="634" t="s">
        <v>761</v>
      </c>
      <c r="B10" s="54">
        <v>0</v>
      </c>
      <c r="C10" s="54">
        <v>0</v>
      </c>
      <c r="D10" s="54">
        <v>0</v>
      </c>
      <c r="E10" s="54">
        <v>0</v>
      </c>
      <c r="F10" s="54">
        <v>0</v>
      </c>
      <c r="G10" s="54">
        <v>0</v>
      </c>
      <c r="H10" s="54">
        <v>0</v>
      </c>
      <c r="I10" s="54">
        <v>0</v>
      </c>
      <c r="J10" s="54">
        <v>1041.205688476562</v>
      </c>
      <c r="K10" s="54">
        <v>1193.904052734375</v>
      </c>
      <c r="L10" s="54">
        <v>2491.863037109375</v>
      </c>
      <c r="M10" s="54">
        <v>2859.931884765625</v>
      </c>
      <c r="N10" s="54">
        <v>3251.843994140625</v>
      </c>
      <c r="O10" s="54">
        <v>3685.038330078125</v>
      </c>
      <c r="P10" s="54">
        <v>1530.572509765625</v>
      </c>
      <c r="Q10" s="54">
        <v>1626.604614257812</v>
      </c>
      <c r="R10" s="54">
        <v>1717.917846679688</v>
      </c>
      <c r="S10" s="54">
        <v>1817.884887695312</v>
      </c>
      <c r="T10" s="54">
        <v>1921.775756835938</v>
      </c>
      <c r="U10" s="54">
        <v>2037.136840820312</v>
      </c>
      <c r="V10" s="54">
        <v>2140.646728515625</v>
      </c>
      <c r="W10" s="54">
        <v>2253.818603515625</v>
      </c>
      <c r="X10" s="54">
        <v>2370.912353515625</v>
      </c>
      <c r="Y10" s="54">
        <v>2495.515380859375</v>
      </c>
      <c r="Z10" s="54">
        <v>2617.088134765625</v>
      </c>
      <c r="AA10" s="54">
        <v>2745.2939453125</v>
      </c>
      <c r="AB10" s="54">
        <v>2878.459228515625</v>
      </c>
    </row>
    <row r="11" spans="1:28">
      <c r="A11" s="634" t="s">
        <v>762</v>
      </c>
      <c r="B11" s="54">
        <v>0</v>
      </c>
      <c r="C11" s="54">
        <v>0</v>
      </c>
      <c r="D11" s="54">
        <v>0</v>
      </c>
      <c r="E11" s="54">
        <v>0</v>
      </c>
      <c r="F11" s="54">
        <v>0</v>
      </c>
      <c r="G11" s="54">
        <v>0</v>
      </c>
      <c r="H11" s="54">
        <v>0</v>
      </c>
      <c r="I11" s="54">
        <v>2.8221287727355961</v>
      </c>
      <c r="J11" s="54">
        <v>7.8814697265625</v>
      </c>
      <c r="K11" s="54">
        <v>16.663894653320309</v>
      </c>
      <c r="L11" s="54">
        <v>30.276277542114261</v>
      </c>
      <c r="M11" s="54">
        <v>49.787143707275391</v>
      </c>
      <c r="N11" s="54">
        <v>57.605873107910163</v>
      </c>
      <c r="O11" s="54">
        <v>71.843978881835938</v>
      </c>
      <c r="P11" s="54">
        <v>85.812324523925781</v>
      </c>
      <c r="Q11" s="54">
        <v>99.476997375488281</v>
      </c>
      <c r="R11" s="54">
        <v>110.56744384765619</v>
      </c>
      <c r="S11" s="54">
        <v>120.0483932495117</v>
      </c>
      <c r="T11" s="54">
        <v>128.7185974121094</v>
      </c>
      <c r="U11" s="54">
        <v>136.561767578125</v>
      </c>
      <c r="V11" s="54">
        <v>143.44879150390619</v>
      </c>
      <c r="W11" s="54">
        <v>151.0855407714844</v>
      </c>
      <c r="X11" s="54">
        <v>159.40834045410159</v>
      </c>
      <c r="Y11" s="54">
        <v>167.82807922363281</v>
      </c>
      <c r="Z11" s="54">
        <v>176.04185485839841</v>
      </c>
      <c r="AA11" s="54">
        <v>185.32081604003909</v>
      </c>
      <c r="AB11" s="54">
        <v>194.3973083496094</v>
      </c>
    </row>
    <row r="12" spans="1:28">
      <c r="A12" s="634" t="s">
        <v>763</v>
      </c>
      <c r="B12" s="54">
        <v>0</v>
      </c>
      <c r="C12" s="54">
        <v>0</v>
      </c>
      <c r="D12" s="54">
        <v>0</v>
      </c>
      <c r="E12" s="54">
        <v>0</v>
      </c>
      <c r="F12" s="54">
        <v>0</v>
      </c>
      <c r="G12" s="54">
        <v>0</v>
      </c>
      <c r="H12" s="54">
        <v>0</v>
      </c>
      <c r="I12" s="54">
        <v>0</v>
      </c>
      <c r="J12" s="54">
        <v>0</v>
      </c>
      <c r="K12" s="54">
        <v>3852.75</v>
      </c>
      <c r="L12" s="54">
        <v>3843.7958984375</v>
      </c>
      <c r="M12" s="54">
        <v>7394.13330078125</v>
      </c>
      <c r="N12" s="54">
        <v>7176.76171875</v>
      </c>
      <c r="O12" s="54">
        <v>6838.9814453125</v>
      </c>
      <c r="P12" s="54">
        <v>6351.14453125</v>
      </c>
      <c r="Q12" s="54">
        <v>1287.92333984375</v>
      </c>
      <c r="R12" s="54">
        <v>1205.349975585938</v>
      </c>
      <c r="S12" s="54">
        <v>1112.121215820312</v>
      </c>
      <c r="T12" s="54">
        <v>1003.604064941406</v>
      </c>
      <c r="U12" s="54">
        <v>881.02783203125</v>
      </c>
      <c r="V12" s="54">
        <v>734.362060546875</v>
      </c>
      <c r="W12" s="54">
        <v>571.8114013671875</v>
      </c>
      <c r="X12" s="54">
        <v>531.1644287109375</v>
      </c>
      <c r="Y12" s="54">
        <v>1146.843505859375</v>
      </c>
      <c r="Z12" s="54">
        <v>1190.269409179688</v>
      </c>
      <c r="AA12" s="54">
        <v>1238.86376953125</v>
      </c>
      <c r="AB12" s="54">
        <v>1288.008056640625</v>
      </c>
    </row>
    <row r="13" spans="1:28">
      <c r="A13" s="634" t="s">
        <v>764</v>
      </c>
      <c r="B13" s="54">
        <v>0</v>
      </c>
      <c r="C13" s="54">
        <v>0</v>
      </c>
      <c r="D13" s="54">
        <v>82.868812561035156</v>
      </c>
      <c r="E13" s="54">
        <v>196.51683044433591</v>
      </c>
      <c r="F13" s="54">
        <v>527.7144775390625</v>
      </c>
      <c r="G13" s="54">
        <v>855.9449462890625</v>
      </c>
      <c r="H13" s="54">
        <v>1260.809814453125</v>
      </c>
      <c r="I13" s="54">
        <v>1756.141845703125</v>
      </c>
      <c r="J13" s="54">
        <v>1437.37841796875</v>
      </c>
      <c r="K13" s="54">
        <v>1645.129150390625</v>
      </c>
      <c r="L13" s="54">
        <v>1874.29833984375</v>
      </c>
      <c r="M13" s="54">
        <v>2127.24853515625</v>
      </c>
      <c r="N13" s="54">
        <v>2393.100830078125</v>
      </c>
      <c r="O13" s="54">
        <v>2679.718994140625</v>
      </c>
      <c r="P13" s="54">
        <v>2994.13916015625</v>
      </c>
      <c r="Q13" s="54">
        <v>2826.852294921875</v>
      </c>
      <c r="R13" s="54">
        <v>2763.762451171875</v>
      </c>
      <c r="S13" s="54">
        <v>2906.72900390625</v>
      </c>
      <c r="T13" s="54">
        <v>3056.307861328125</v>
      </c>
      <c r="U13" s="54">
        <v>3220.70849609375</v>
      </c>
      <c r="V13" s="54">
        <v>3368.326416015625</v>
      </c>
      <c r="W13" s="54">
        <v>3531.47705078125</v>
      </c>
      <c r="X13" s="54">
        <v>3700.907470703125</v>
      </c>
      <c r="Y13" s="54">
        <v>3881.521728515625</v>
      </c>
      <c r="Z13" s="54">
        <v>4054.69580078125</v>
      </c>
      <c r="AA13" s="54">
        <v>4204.80810546875</v>
      </c>
      <c r="AB13" s="54">
        <v>4359.89208984375</v>
      </c>
    </row>
    <row r="14" spans="1:28">
      <c r="A14" s="634" t="s">
        <v>765</v>
      </c>
      <c r="B14" s="54">
        <v>0</v>
      </c>
      <c r="C14" s="54">
        <v>0</v>
      </c>
      <c r="D14" s="54">
        <v>3.8778090476989751</v>
      </c>
      <c r="E14" s="54">
        <v>9.2635793685913086</v>
      </c>
      <c r="F14" s="54">
        <v>24.268533706665039</v>
      </c>
      <c r="G14" s="54">
        <v>39.763755798339837</v>
      </c>
      <c r="H14" s="54">
        <v>58.729274749755859</v>
      </c>
      <c r="I14" s="54">
        <v>83.99053955078125</v>
      </c>
      <c r="J14" s="54">
        <v>75.397613525390625</v>
      </c>
      <c r="K14" s="54">
        <v>86.453094482421875</v>
      </c>
      <c r="L14" s="54">
        <v>98.108551025390625</v>
      </c>
      <c r="M14" s="54">
        <v>110.6051025390625</v>
      </c>
      <c r="N14" s="54">
        <v>123.16944885253911</v>
      </c>
      <c r="O14" s="54">
        <v>138.47685241699219</v>
      </c>
      <c r="P14" s="54">
        <v>152.65492248535159</v>
      </c>
      <c r="Q14" s="54">
        <v>148.40716552734381</v>
      </c>
      <c r="R14" s="54">
        <v>146.6690979003906</v>
      </c>
      <c r="S14" s="54">
        <v>151.00691223144531</v>
      </c>
      <c r="T14" s="54">
        <v>157.35162353515619</v>
      </c>
      <c r="U14" s="54">
        <v>164.38641357421881</v>
      </c>
      <c r="V14" s="54">
        <v>170.67881774902341</v>
      </c>
      <c r="W14" s="54">
        <v>177.6708679199219</v>
      </c>
      <c r="X14" s="54">
        <v>182.82171630859381</v>
      </c>
      <c r="Y14" s="54">
        <v>190.70024108886719</v>
      </c>
      <c r="Z14" s="54">
        <v>197.91093444824219</v>
      </c>
      <c r="AA14" s="54">
        <v>203.61083984375</v>
      </c>
      <c r="AB14" s="54">
        <v>209.4720458984375</v>
      </c>
    </row>
    <row r="15" spans="1:28">
      <c r="A15" s="634" t="s">
        <v>766</v>
      </c>
      <c r="B15" s="54">
        <v>0</v>
      </c>
      <c r="C15" s="54">
        <v>0</v>
      </c>
      <c r="D15" s="54">
        <v>0</v>
      </c>
      <c r="E15" s="54">
        <v>0</v>
      </c>
      <c r="F15" s="54">
        <v>0</v>
      </c>
      <c r="G15" s="54">
        <v>0</v>
      </c>
      <c r="H15" s="54">
        <v>0</v>
      </c>
      <c r="I15" s="54">
        <v>0</v>
      </c>
      <c r="J15" s="54">
        <v>160.2565612792969</v>
      </c>
      <c r="K15" s="54">
        <v>176.8540344238281</v>
      </c>
      <c r="L15" s="54">
        <v>365.73696899414063</v>
      </c>
      <c r="M15" s="54">
        <v>402.50460815429688</v>
      </c>
      <c r="N15" s="54">
        <v>441.09524536132813</v>
      </c>
      <c r="O15" s="54">
        <v>484.9405517578125</v>
      </c>
      <c r="P15" s="54">
        <v>130.5898742675781</v>
      </c>
      <c r="Q15" s="54">
        <v>140.66590881347659</v>
      </c>
      <c r="R15" s="54">
        <v>150.0621032714844</v>
      </c>
      <c r="S15" s="54">
        <v>160.3335266113281</v>
      </c>
      <c r="T15" s="54">
        <v>171.2367858886719</v>
      </c>
      <c r="U15" s="54">
        <v>182.9401550292969</v>
      </c>
      <c r="V15" s="54">
        <v>193.80079650878909</v>
      </c>
      <c r="W15" s="54">
        <v>205.2999267578125</v>
      </c>
      <c r="X15" s="54">
        <v>217.74346923828119</v>
      </c>
      <c r="Y15" s="54">
        <v>230.28437805175781</v>
      </c>
      <c r="Z15" s="54">
        <v>242.9266052246094</v>
      </c>
      <c r="AA15" s="54">
        <v>256.4542236328125</v>
      </c>
      <c r="AB15" s="54">
        <v>270.17523193359381</v>
      </c>
    </row>
    <row r="16" spans="1:28">
      <c r="A16" s="634" t="s">
        <v>767</v>
      </c>
      <c r="B16" s="54">
        <v>0</v>
      </c>
      <c r="C16" s="54">
        <v>0</v>
      </c>
      <c r="D16" s="54">
        <v>50.598640441894531</v>
      </c>
      <c r="E16" s="54">
        <v>47.824016571044922</v>
      </c>
      <c r="F16" s="54">
        <v>100.8152542114258</v>
      </c>
      <c r="G16" s="54">
        <v>96.975845336914063</v>
      </c>
      <c r="H16" s="54">
        <v>94.888031005859375</v>
      </c>
      <c r="I16" s="54">
        <v>93.8309326171875</v>
      </c>
      <c r="J16" s="54">
        <v>-34.708942413330078</v>
      </c>
      <c r="K16" s="54">
        <v>-32.302055358886719</v>
      </c>
      <c r="L16" s="54">
        <v>-29.28326416015625</v>
      </c>
      <c r="M16" s="54">
        <v>-26.574298858642582</v>
      </c>
      <c r="N16" s="54">
        <v>-23.109819412231449</v>
      </c>
      <c r="O16" s="54">
        <v>-20.207281112670898</v>
      </c>
      <c r="P16" s="54">
        <v>-16.665903091430661</v>
      </c>
      <c r="Q16" s="54">
        <v>-13.374826431274411</v>
      </c>
      <c r="R16" s="54">
        <v>-9.7684202194213867</v>
      </c>
      <c r="S16" s="54">
        <v>-5.931765079498291</v>
      </c>
      <c r="T16" s="54">
        <v>-1.79176926612854</v>
      </c>
      <c r="U16" s="54">
        <v>2.639350414276123</v>
      </c>
      <c r="V16" s="54">
        <v>6.8262729644775391</v>
      </c>
      <c r="W16" s="54">
        <v>11.296628952026371</v>
      </c>
      <c r="X16" s="54">
        <v>16.09372520446777</v>
      </c>
      <c r="Y16" s="54">
        <v>20.639459609985352</v>
      </c>
      <c r="Z16" s="54">
        <v>25.952669143676761</v>
      </c>
      <c r="AA16" s="54">
        <v>30.91990852355957</v>
      </c>
      <c r="AB16" s="54">
        <v>36.119289398193359</v>
      </c>
    </row>
    <row r="17" spans="1:28">
      <c r="A17" s="634" t="s">
        <v>768</v>
      </c>
      <c r="B17" s="54">
        <v>0</v>
      </c>
      <c r="C17" s="54">
        <v>0</v>
      </c>
      <c r="D17" s="54">
        <v>0</v>
      </c>
      <c r="E17" s="54">
        <v>0</v>
      </c>
      <c r="F17" s="54">
        <v>0</v>
      </c>
      <c r="G17" s="54">
        <v>0</v>
      </c>
      <c r="H17" s="54">
        <v>0</v>
      </c>
      <c r="I17" s="54">
        <v>0</v>
      </c>
      <c r="J17" s="54">
        <v>0</v>
      </c>
      <c r="K17" s="54">
        <v>0</v>
      </c>
      <c r="L17" s="54">
        <v>0</v>
      </c>
      <c r="M17" s="54">
        <v>0</v>
      </c>
      <c r="N17" s="54">
        <v>0</v>
      </c>
      <c r="O17" s="54">
        <v>24.813861846923832</v>
      </c>
      <c r="P17" s="54">
        <v>51.974250793457031</v>
      </c>
      <c r="Q17" s="54">
        <v>106.83912658691411</v>
      </c>
      <c r="R17" s="54">
        <v>164.97816467285159</v>
      </c>
      <c r="S17" s="54">
        <v>227.4549255371094</v>
      </c>
      <c r="T17" s="54">
        <v>294.17306518554688</v>
      </c>
      <c r="U17" s="54">
        <v>304.86264038085938</v>
      </c>
      <c r="V17" s="54">
        <v>315.47772216796881</v>
      </c>
      <c r="W17" s="54">
        <v>327.30813598632813</v>
      </c>
      <c r="X17" s="54">
        <v>338.185546875</v>
      </c>
      <c r="Y17" s="54">
        <v>350.35952758789063</v>
      </c>
      <c r="Z17" s="54">
        <v>362.38400268554688</v>
      </c>
      <c r="AA17" s="54">
        <v>378.69833374023438</v>
      </c>
      <c r="AB17" s="54">
        <v>392.62747192382813</v>
      </c>
    </row>
    <row r="18" spans="1:28">
      <c r="A18" s="634" t="s">
        <v>769</v>
      </c>
      <c r="B18" s="54">
        <v>0</v>
      </c>
      <c r="C18" s="54">
        <v>0</v>
      </c>
      <c r="D18" s="54">
        <v>0</v>
      </c>
      <c r="E18" s="54">
        <v>0</v>
      </c>
      <c r="F18" s="54">
        <v>0</v>
      </c>
      <c r="G18" s="54">
        <v>0</v>
      </c>
      <c r="H18" s="54">
        <v>0</v>
      </c>
      <c r="I18" s="54">
        <v>0</v>
      </c>
      <c r="J18" s="54">
        <v>0</v>
      </c>
      <c r="K18" s="54">
        <v>0</v>
      </c>
      <c r="L18" s="54">
        <v>0</v>
      </c>
      <c r="M18" s="54">
        <v>0</v>
      </c>
      <c r="N18" s="54">
        <v>0</v>
      </c>
      <c r="O18" s="54">
        <v>117.73903656005859</v>
      </c>
      <c r="P18" s="54">
        <v>140.02156066894531</v>
      </c>
      <c r="Q18" s="54">
        <v>288.01492309570313</v>
      </c>
      <c r="R18" s="54">
        <v>337.63229370117188</v>
      </c>
      <c r="S18" s="54">
        <v>396.28143310546881</v>
      </c>
      <c r="T18" s="54">
        <v>457.02423095703119</v>
      </c>
      <c r="U18" s="54">
        <v>234.38615417480469</v>
      </c>
      <c r="V18" s="54">
        <v>249.30064392089841</v>
      </c>
      <c r="W18" s="54">
        <v>265.83035278320313</v>
      </c>
      <c r="X18" s="54">
        <v>267.09912109375</v>
      </c>
      <c r="Y18" s="54">
        <v>273.77029418945313</v>
      </c>
      <c r="Z18" s="54">
        <v>299.15643310546881</v>
      </c>
      <c r="AA18" s="54">
        <v>320.09097290039063</v>
      </c>
      <c r="AB18" s="54">
        <v>324.61962890625</v>
      </c>
    </row>
    <row r="19" spans="1:28">
      <c r="A19" s="634" t="s">
        <v>770</v>
      </c>
      <c r="B19" s="54">
        <v>0</v>
      </c>
      <c r="C19" s="54">
        <v>0</v>
      </c>
      <c r="D19" s="54">
        <v>0</v>
      </c>
      <c r="E19" s="54">
        <v>0</v>
      </c>
      <c r="F19" s="54">
        <v>75.277969360351563</v>
      </c>
      <c r="G19" s="54">
        <v>80.916259765625</v>
      </c>
      <c r="H19" s="54">
        <v>115.9435272216797</v>
      </c>
      <c r="I19" s="54">
        <v>121.5715866088867</v>
      </c>
      <c r="J19" s="54">
        <v>125.448356628418</v>
      </c>
      <c r="K19" s="54">
        <v>129.2803039550781</v>
      </c>
      <c r="L19" s="54">
        <v>58.1397705078125</v>
      </c>
      <c r="M19" s="54">
        <v>60.158748626708977</v>
      </c>
      <c r="N19" s="54">
        <v>61.113468170166023</v>
      </c>
      <c r="O19" s="54">
        <v>62.660953521728523</v>
      </c>
      <c r="P19" s="54">
        <v>64.447616577148438</v>
      </c>
      <c r="Q19" s="54">
        <v>65.886627197265625</v>
      </c>
      <c r="R19" s="54">
        <v>67.3001708984375</v>
      </c>
      <c r="S19" s="54">
        <v>69.328224182128906</v>
      </c>
      <c r="T19" s="54">
        <v>70.885887145996094</v>
      </c>
      <c r="U19" s="54">
        <v>73.1658935546875</v>
      </c>
      <c r="V19" s="54">
        <v>74.354499816894531</v>
      </c>
      <c r="W19" s="54">
        <v>76.375282287597656</v>
      </c>
      <c r="X19" s="54">
        <v>77.813385009765625</v>
      </c>
      <c r="Y19" s="54">
        <v>80.115486145019531</v>
      </c>
      <c r="Z19" s="54">
        <v>82.017562866210938</v>
      </c>
      <c r="AA19" s="54">
        <v>83.53643798828125</v>
      </c>
      <c r="AB19" s="54">
        <v>85.722419738769531</v>
      </c>
    </row>
    <row r="20" spans="1:28">
      <c r="A20" s="634" t="s">
        <v>771</v>
      </c>
      <c r="B20" s="54">
        <v>0</v>
      </c>
      <c r="C20" s="54">
        <v>0</v>
      </c>
      <c r="D20" s="54">
        <v>0</v>
      </c>
      <c r="E20" s="54">
        <v>0</v>
      </c>
      <c r="F20" s="54">
        <v>0</v>
      </c>
      <c r="G20" s="54">
        <v>0</v>
      </c>
      <c r="H20" s="54">
        <v>0</v>
      </c>
      <c r="I20" s="54">
        <v>0</v>
      </c>
      <c r="J20" s="54">
        <v>0</v>
      </c>
      <c r="K20" s="54">
        <v>0</v>
      </c>
      <c r="L20" s="54">
        <v>106.9961700439453</v>
      </c>
      <c r="M20" s="54">
        <v>223.37969970703119</v>
      </c>
      <c r="N20" s="54">
        <v>348.65548706054688</v>
      </c>
      <c r="O20" s="54">
        <v>483.397216796875</v>
      </c>
      <c r="P20" s="54">
        <v>628.348876953125</v>
      </c>
      <c r="Q20" s="54">
        <v>654.35723876953125</v>
      </c>
      <c r="R20" s="54">
        <v>677.608154296875</v>
      </c>
      <c r="S20" s="54">
        <v>704.48468017578125</v>
      </c>
      <c r="T20" s="54">
        <v>733.29998779296875</v>
      </c>
      <c r="U20" s="54">
        <v>765.20648193359375</v>
      </c>
      <c r="V20" s="54">
        <v>791.823974609375</v>
      </c>
      <c r="W20" s="54">
        <v>822.58740234375</v>
      </c>
      <c r="X20" s="54">
        <v>856.64251708984375</v>
      </c>
      <c r="Y20" s="54">
        <v>894.32977294921875</v>
      </c>
      <c r="Z20" s="54">
        <v>928.3568115234375</v>
      </c>
      <c r="AA20" s="54">
        <v>966.09344482421875</v>
      </c>
      <c r="AB20" s="54">
        <v>1003.895751953125</v>
      </c>
    </row>
  </sheetData>
  <pageMargins left="0.7" right="0.7" top="0.75" bottom="0.75" header="0.3" footer="0.3"/>
  <pageSetup orientation="portrait" horizontalDpi="1200" verticalDpi="1200" r:id="rId1"/>
  <headerFooter>
    <oddHeader>&amp;LAppendix E-2: Incremental Cost Calculation&amp;RClean Energy Implementation Plan</oddHeader>
    <oddFooter>&amp;LDECEMBER 17, 2021&amp;C&amp;P of &amp;N&amp;RPuget Sound Energy</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abSelected="1" workbookViewId="0">
      <selection activeCell="E17" sqref="E17"/>
    </sheetView>
  </sheetViews>
  <sheetFormatPr defaultRowHeight="15"/>
  <cols>
    <col min="1" max="1" width="59.5703125" customWidth="1"/>
  </cols>
  <sheetData>
    <row r="1" spans="1:28">
      <c r="A1" s="9" t="s">
        <v>758</v>
      </c>
      <c r="B1" s="748">
        <v>2021</v>
      </c>
      <c r="C1" s="748">
        <f t="shared" ref="C1:Z1" si="0">B1+1</f>
        <v>2022</v>
      </c>
      <c r="D1" s="748">
        <f t="shared" si="0"/>
        <v>2023</v>
      </c>
      <c r="E1" s="748">
        <f t="shared" si="0"/>
        <v>2024</v>
      </c>
      <c r="F1" s="748">
        <f t="shared" si="0"/>
        <v>2025</v>
      </c>
      <c r="G1" s="748">
        <f t="shared" si="0"/>
        <v>2026</v>
      </c>
      <c r="H1" s="748">
        <f t="shared" si="0"/>
        <v>2027</v>
      </c>
      <c r="I1" s="748">
        <f t="shared" si="0"/>
        <v>2028</v>
      </c>
      <c r="J1" s="748">
        <f t="shared" si="0"/>
        <v>2029</v>
      </c>
      <c r="K1" s="748">
        <f t="shared" si="0"/>
        <v>2030</v>
      </c>
      <c r="L1" s="748">
        <f t="shared" si="0"/>
        <v>2031</v>
      </c>
      <c r="M1" s="748">
        <f t="shared" si="0"/>
        <v>2032</v>
      </c>
      <c r="N1" s="748">
        <f t="shared" si="0"/>
        <v>2033</v>
      </c>
      <c r="O1" s="748">
        <f t="shared" si="0"/>
        <v>2034</v>
      </c>
      <c r="P1" s="748">
        <f t="shared" si="0"/>
        <v>2035</v>
      </c>
      <c r="Q1" s="748">
        <f t="shared" si="0"/>
        <v>2036</v>
      </c>
      <c r="R1" s="748">
        <f t="shared" si="0"/>
        <v>2037</v>
      </c>
      <c r="S1" s="748">
        <f t="shared" si="0"/>
        <v>2038</v>
      </c>
      <c r="T1" s="748">
        <f t="shared" si="0"/>
        <v>2039</v>
      </c>
      <c r="U1" s="748">
        <f t="shared" si="0"/>
        <v>2040</v>
      </c>
      <c r="V1" s="748">
        <f t="shared" si="0"/>
        <v>2041</v>
      </c>
      <c r="W1" s="748">
        <f t="shared" si="0"/>
        <v>2042</v>
      </c>
      <c r="X1" s="748">
        <f t="shared" si="0"/>
        <v>2043</v>
      </c>
      <c r="Y1" s="748">
        <f t="shared" si="0"/>
        <v>2044</v>
      </c>
      <c r="Z1" s="748">
        <f t="shared" si="0"/>
        <v>2045</v>
      </c>
    </row>
    <row r="2" spans="1:28">
      <c r="A2" t="s">
        <v>755</v>
      </c>
      <c r="B2" s="749">
        <v>503090.13494873047</v>
      </c>
      <c r="C2" s="749">
        <v>523989.85021972656</v>
      </c>
      <c r="D2" s="749">
        <v>588503.60559082031</v>
      </c>
      <c r="E2" s="749">
        <v>585457.8525390625</v>
      </c>
      <c r="F2" s="749">
        <v>540948.09887695313</v>
      </c>
      <c r="G2" s="749">
        <v>290832.96179199219</v>
      </c>
      <c r="H2" s="749">
        <v>290610.22888183594</v>
      </c>
      <c r="I2" s="749">
        <v>283230.81884765625</v>
      </c>
      <c r="J2" s="749">
        <v>282057.52502441406</v>
      </c>
      <c r="K2" s="749">
        <v>269965.7275390625</v>
      </c>
      <c r="L2" s="749">
        <v>268153.81848144531</v>
      </c>
      <c r="M2" s="749">
        <v>260432.771484375</v>
      </c>
      <c r="N2" s="749">
        <v>260897.83471679688</v>
      </c>
      <c r="O2" s="749">
        <v>262552.35424804688</v>
      </c>
      <c r="P2" s="749">
        <v>267157.33227539063</v>
      </c>
      <c r="Q2" s="749">
        <v>259532.08532714844</v>
      </c>
      <c r="R2" s="749">
        <v>258646.82708740234</v>
      </c>
      <c r="S2" s="749">
        <v>251923.35119628906</v>
      </c>
      <c r="T2" s="749">
        <v>251124.12377929688</v>
      </c>
      <c r="U2" s="749">
        <v>247004.85424804688</v>
      </c>
      <c r="V2" s="749">
        <v>243336.60009765625</v>
      </c>
      <c r="W2" s="749">
        <v>237056.08471679688</v>
      </c>
      <c r="X2" s="749">
        <v>191076.6982421875</v>
      </c>
      <c r="Y2" s="749">
        <v>146639.27307128906</v>
      </c>
      <c r="Z2" s="749">
        <v>135261.09155273438</v>
      </c>
    </row>
    <row r="3" spans="1:28">
      <c r="A3" t="s">
        <v>756</v>
      </c>
      <c r="B3" s="749">
        <v>0</v>
      </c>
      <c r="C3" s="749">
        <v>300.44277954101563</v>
      </c>
      <c r="D3" s="749">
        <v>1824.5855102539063</v>
      </c>
      <c r="E3" s="749">
        <v>82583.450927734375</v>
      </c>
      <c r="F3" s="749">
        <v>158520.27429199219</v>
      </c>
      <c r="G3" s="749">
        <v>259683.64636230469</v>
      </c>
      <c r="H3" s="749">
        <v>335242.7548828125</v>
      </c>
      <c r="I3" s="749">
        <v>427881.05737304688</v>
      </c>
      <c r="J3" s="749">
        <v>490026.84118652344</v>
      </c>
      <c r="K3" s="749">
        <v>575562.92297363281</v>
      </c>
      <c r="L3" s="749">
        <v>609415.11791992188</v>
      </c>
      <c r="M3" s="749">
        <v>670926.14489746094</v>
      </c>
      <c r="N3" s="749">
        <v>710400.09191894531</v>
      </c>
      <c r="O3" s="749">
        <v>769530.83227539063</v>
      </c>
      <c r="P3" s="749">
        <v>861019.50219726563</v>
      </c>
      <c r="Q3" s="749">
        <v>974865.00354003906</v>
      </c>
      <c r="R3" s="749">
        <v>1054491.4630126953</v>
      </c>
      <c r="S3" s="749">
        <v>1149395.3061523438</v>
      </c>
      <c r="T3" s="749">
        <v>1235247.6124267578</v>
      </c>
      <c r="U3" s="749">
        <v>1325316.2436523438</v>
      </c>
      <c r="V3" s="749">
        <v>1394575.7457885742</v>
      </c>
      <c r="W3" s="749">
        <v>1552529.3656005859</v>
      </c>
      <c r="X3" s="749">
        <v>1730601.5462036133</v>
      </c>
      <c r="Y3" s="749">
        <v>1924739.6832275391</v>
      </c>
      <c r="Z3" s="749">
        <v>2022545.0743408203</v>
      </c>
    </row>
    <row r="4" spans="1:28">
      <c r="A4" t="s">
        <v>693</v>
      </c>
      <c r="B4" s="749">
        <v>103719.3984375</v>
      </c>
      <c r="C4" s="749">
        <v>75310.203125</v>
      </c>
      <c r="D4" s="749">
        <v>49883.640625</v>
      </c>
      <c r="E4" s="749">
        <v>36532.69140625</v>
      </c>
      <c r="F4" s="749">
        <v>35911.55859375</v>
      </c>
      <c r="G4" s="749">
        <v>90527.828125</v>
      </c>
      <c r="H4" s="749">
        <v>102760.6171875</v>
      </c>
      <c r="I4" s="749">
        <v>96097.328125</v>
      </c>
      <c r="J4" s="749">
        <v>96004.0703125</v>
      </c>
      <c r="K4" s="749">
        <v>86556.140625</v>
      </c>
      <c r="L4" s="749">
        <v>83919.09375</v>
      </c>
      <c r="M4" s="749">
        <v>89369.90625</v>
      </c>
      <c r="N4" s="749">
        <v>92198.59375</v>
      </c>
      <c r="O4" s="749">
        <v>90657.1875</v>
      </c>
      <c r="P4" s="749">
        <v>90045.65625</v>
      </c>
      <c r="Q4" s="749">
        <v>96081.8828125</v>
      </c>
      <c r="R4" s="749">
        <v>93066.3984375</v>
      </c>
      <c r="S4" s="749">
        <v>89359.4765625</v>
      </c>
      <c r="T4" s="749">
        <v>87949.6796875</v>
      </c>
      <c r="U4" s="749">
        <v>92689.6796875</v>
      </c>
      <c r="V4" s="749">
        <v>99438.96875</v>
      </c>
      <c r="W4" s="749">
        <v>101237.578125</v>
      </c>
      <c r="X4" s="749">
        <v>114905.65625</v>
      </c>
      <c r="Y4" s="749">
        <v>119388.265625</v>
      </c>
      <c r="Z4" s="749">
        <v>131232.265625</v>
      </c>
    </row>
    <row r="5" spans="1:28">
      <c r="A5" s="54" t="s">
        <v>694</v>
      </c>
      <c r="B5" s="749">
        <v>-22774.69921875</v>
      </c>
      <c r="C5" s="749">
        <v>-38216.75390625</v>
      </c>
      <c r="D5" s="749">
        <v>-51782.75390625</v>
      </c>
      <c r="E5" s="749">
        <v>-61395.76953125</v>
      </c>
      <c r="F5" s="749">
        <v>-64920.52734375</v>
      </c>
      <c r="G5" s="749">
        <v>-21633.142578125</v>
      </c>
      <c r="H5" s="749">
        <v>-28126.8984375</v>
      </c>
      <c r="I5" s="749">
        <v>-34371.2734375</v>
      </c>
      <c r="J5" s="749">
        <v>-37377.89453125</v>
      </c>
      <c r="K5" s="749">
        <v>-45606.5625</v>
      </c>
      <c r="L5" s="749">
        <v>-45334.17578125</v>
      </c>
      <c r="M5" s="749">
        <v>-48225.43359375</v>
      </c>
      <c r="N5" s="749">
        <v>-55483.65234375</v>
      </c>
      <c r="O5" s="749">
        <v>-57684.8046875</v>
      </c>
      <c r="P5" s="749">
        <v>-60549.88671875</v>
      </c>
      <c r="Q5" s="749">
        <v>-65780.15625</v>
      </c>
      <c r="R5" s="749">
        <v>-68324.90625</v>
      </c>
      <c r="S5" s="749">
        <v>-70792.3046875</v>
      </c>
      <c r="T5" s="749">
        <v>-70302.9609375</v>
      </c>
      <c r="U5" s="749">
        <v>-70980.0546875</v>
      </c>
      <c r="V5" s="749">
        <v>-67696.8984375</v>
      </c>
      <c r="W5" s="749">
        <v>-69696.3671875</v>
      </c>
      <c r="X5" s="749">
        <v>-67799.28125</v>
      </c>
      <c r="Y5" s="749">
        <v>-66578.890625</v>
      </c>
      <c r="Z5" s="749">
        <v>-63226.5625</v>
      </c>
    </row>
    <row r="6" spans="1:28">
      <c r="A6" s="54" t="s">
        <v>757</v>
      </c>
      <c r="B6" s="749">
        <v>0</v>
      </c>
      <c r="C6" s="749">
        <v>758.59737396240246</v>
      </c>
      <c r="D6" s="749">
        <v>11695.046963691711</v>
      </c>
      <c r="E6" s="749">
        <v>18399.05758523941</v>
      </c>
      <c r="F6" s="749">
        <v>29726.364992618561</v>
      </c>
      <c r="G6" s="749">
        <v>19625.583344221115</v>
      </c>
      <c r="H6" s="749">
        <v>19449.911488056183</v>
      </c>
      <c r="I6" s="749">
        <v>19426.310339450836</v>
      </c>
      <c r="J6" s="749">
        <v>19354.029045343399</v>
      </c>
      <c r="K6" s="749">
        <v>19383.881734848022</v>
      </c>
      <c r="L6" s="749">
        <v>19800.875824928284</v>
      </c>
      <c r="M6" s="749">
        <v>20313.27187204361</v>
      </c>
      <c r="N6" s="749">
        <v>28212.765350341797</v>
      </c>
      <c r="O6" s="749">
        <v>31825.364955425262</v>
      </c>
      <c r="P6" s="749">
        <v>40443.052341461182</v>
      </c>
      <c r="Q6" s="749">
        <v>22313.31641960144</v>
      </c>
      <c r="R6" s="749">
        <v>22768.449426174164</v>
      </c>
      <c r="S6" s="749">
        <v>23318.712161064148</v>
      </c>
      <c r="T6" s="749">
        <v>23926.441030025482</v>
      </c>
      <c r="U6" s="749">
        <v>24591.42324924469</v>
      </c>
      <c r="V6" s="749">
        <v>25115.534411907196</v>
      </c>
      <c r="W6" s="749">
        <v>25781.233804225922</v>
      </c>
      <c r="X6" s="749">
        <v>29565.109691619873</v>
      </c>
      <c r="Y6" s="749">
        <v>32793.421600341797</v>
      </c>
      <c r="Z6" s="749">
        <v>40112.36985874176</v>
      </c>
    </row>
    <row r="7" spans="1:28">
      <c r="A7" s="54" t="s">
        <v>695</v>
      </c>
      <c r="B7" s="749">
        <v>0</v>
      </c>
      <c r="C7" s="749">
        <v>113711.00842285156</v>
      </c>
      <c r="D7" s="749">
        <v>135108.17333984375</v>
      </c>
      <c r="E7" s="749">
        <v>150679.31372070313</v>
      </c>
      <c r="F7" s="749">
        <v>163445.30981445313</v>
      </c>
      <c r="G7" s="749">
        <v>178536.61376953125</v>
      </c>
      <c r="H7" s="749">
        <v>194250.13916015625</v>
      </c>
      <c r="I7" s="749">
        <v>210407.7177734375</v>
      </c>
      <c r="J7" s="749">
        <v>217958.50463867188</v>
      </c>
      <c r="K7" s="749">
        <v>236650.48803710938</v>
      </c>
      <c r="L7" s="749">
        <v>250597.90551757813</v>
      </c>
      <c r="M7" s="749">
        <v>178403.19863891602</v>
      </c>
      <c r="N7" s="749">
        <v>178949.79063415527</v>
      </c>
      <c r="O7" s="749">
        <v>198147.61785888672</v>
      </c>
      <c r="P7" s="749">
        <v>200506.88067626953</v>
      </c>
      <c r="Q7" s="749">
        <v>200356.74432373047</v>
      </c>
      <c r="R7" s="749">
        <v>186508.1416015625</v>
      </c>
      <c r="S7" s="749">
        <v>154497.32441711426</v>
      </c>
      <c r="T7" s="749">
        <v>156006.44361877441</v>
      </c>
      <c r="U7" s="749">
        <v>151189.51724243164</v>
      </c>
      <c r="V7" s="749">
        <v>128008.5615234375</v>
      </c>
      <c r="W7" s="749">
        <v>120640.55712890625</v>
      </c>
      <c r="X7" s="749">
        <v>90230.892776489258</v>
      </c>
      <c r="Y7" s="749">
        <v>91753.665885925293</v>
      </c>
      <c r="Z7" s="749">
        <v>86232.754592895508</v>
      </c>
    </row>
    <row r="8" spans="1:28">
      <c r="A8" s="54" t="s">
        <v>711</v>
      </c>
      <c r="B8" s="749">
        <v>0</v>
      </c>
      <c r="C8" s="749">
        <v>0</v>
      </c>
      <c r="D8" s="749">
        <v>0</v>
      </c>
      <c r="E8" s="749">
        <v>0</v>
      </c>
      <c r="F8" s="749">
        <v>517.1580810546875</v>
      </c>
      <c r="G8" s="749">
        <v>540.212646484375</v>
      </c>
      <c r="H8" s="749">
        <v>1035.164794921875</v>
      </c>
      <c r="I8" s="749">
        <v>1085.94140625</v>
      </c>
      <c r="J8" s="749">
        <v>1132.407470703125</v>
      </c>
      <c r="K8" s="749">
        <v>1183.8701171875</v>
      </c>
      <c r="L8" s="749">
        <v>150.4512634277344</v>
      </c>
      <c r="M8" s="749">
        <v>154.53559875488281</v>
      </c>
      <c r="N8" s="749">
        <v>157.6304931640625</v>
      </c>
      <c r="O8" s="749">
        <v>161.4822998046875</v>
      </c>
      <c r="P8" s="749">
        <v>165.1871643066406</v>
      </c>
      <c r="Q8" s="749">
        <v>168.99507141113281</v>
      </c>
      <c r="R8" s="749">
        <v>171.87577819824219</v>
      </c>
      <c r="S8" s="749">
        <v>175.39076232910159</v>
      </c>
      <c r="T8" s="749">
        <v>179.11546325683591</v>
      </c>
      <c r="U8" s="749">
        <v>183.2596435546875</v>
      </c>
      <c r="V8" s="749">
        <v>186.62062072753909</v>
      </c>
      <c r="W8" s="749">
        <v>190.37519836425781</v>
      </c>
      <c r="X8" s="749">
        <v>194.14265441894531</v>
      </c>
      <c r="Y8" s="749">
        <v>198.155517578125</v>
      </c>
      <c r="Z8" s="749">
        <v>201.37872314453119</v>
      </c>
      <c r="AA8" s="54"/>
      <c r="AB8" s="54"/>
    </row>
    <row r="9" spans="1:28">
      <c r="A9" s="54" t="s">
        <v>712</v>
      </c>
      <c r="B9" s="749">
        <v>0</v>
      </c>
      <c r="C9" s="749">
        <v>0</v>
      </c>
      <c r="D9" s="749">
        <v>0</v>
      </c>
      <c r="E9" s="749">
        <v>0</v>
      </c>
      <c r="F9" s="749">
        <v>8.6705942153930664</v>
      </c>
      <c r="G9" s="749">
        <v>8.9154157638549805</v>
      </c>
      <c r="H9" s="749">
        <v>16.430070877075199</v>
      </c>
      <c r="I9" s="749">
        <v>17.17714691162109</v>
      </c>
      <c r="J9" s="749">
        <v>17.898519515991211</v>
      </c>
      <c r="K9" s="749">
        <v>18.586029052734379</v>
      </c>
      <c r="L9" s="749">
        <v>3.506020307540894</v>
      </c>
      <c r="M9" s="749">
        <v>3.596174001693726</v>
      </c>
      <c r="N9" s="749">
        <v>3.6725654602050781</v>
      </c>
      <c r="O9" s="749">
        <v>3.7609503269195561</v>
      </c>
      <c r="P9" s="749">
        <v>3.8591423034667969</v>
      </c>
      <c r="Q9" s="749">
        <v>3.942531824111938</v>
      </c>
      <c r="R9" s="749">
        <v>4.0262837409973136</v>
      </c>
      <c r="S9" s="749">
        <v>4.1043591499328613</v>
      </c>
      <c r="T9" s="749">
        <v>4.2100248336791992</v>
      </c>
      <c r="U9" s="749">
        <v>4.3029427528381348</v>
      </c>
      <c r="V9" s="749">
        <v>4.3987541198730469</v>
      </c>
      <c r="W9" s="749">
        <v>4.4833154678344727</v>
      </c>
      <c r="X9" s="749">
        <v>4.5676069259643546</v>
      </c>
      <c r="Y9" s="749">
        <v>4.6918702125549316</v>
      </c>
      <c r="Z9" s="749">
        <v>4.7670993804931641</v>
      </c>
      <c r="AA9" s="54"/>
      <c r="AB9" s="54"/>
    </row>
    <row r="10" spans="1:28">
      <c r="A10" s="54" t="s">
        <v>713</v>
      </c>
      <c r="B10" s="749">
        <v>0</v>
      </c>
      <c r="C10" s="749">
        <v>0</v>
      </c>
      <c r="D10" s="749">
        <v>878.34967041015625</v>
      </c>
      <c r="E10" s="749">
        <v>992.97076416015625</v>
      </c>
      <c r="F10" s="749">
        <v>2068.516845703125</v>
      </c>
      <c r="G10" s="749">
        <v>2338.292236328125</v>
      </c>
      <c r="H10" s="749">
        <v>2639.220947265625</v>
      </c>
      <c r="I10" s="749">
        <v>2978.723876953125</v>
      </c>
      <c r="J10" s="749">
        <v>1112.033813476562</v>
      </c>
      <c r="K10" s="749">
        <v>1186.964477539062</v>
      </c>
      <c r="L10" s="749">
        <v>1269.205200195312</v>
      </c>
      <c r="M10" s="749">
        <v>1355.217041015625</v>
      </c>
      <c r="N10" s="749">
        <v>1441.203979492188</v>
      </c>
      <c r="O10" s="749">
        <v>1528.11181640625</v>
      </c>
      <c r="P10" s="749">
        <v>1622.620971679688</v>
      </c>
      <c r="Q10" s="749">
        <v>1721.34326171875</v>
      </c>
      <c r="R10" s="749">
        <v>1814.19140625</v>
      </c>
      <c r="S10" s="749">
        <v>1917.022094726562</v>
      </c>
      <c r="T10" s="749">
        <v>2024.605102539062</v>
      </c>
      <c r="U10" s="749">
        <v>2142.966796875</v>
      </c>
      <c r="V10" s="749">
        <v>2249.20166015625</v>
      </c>
      <c r="W10" s="749">
        <v>2366.278076171875</v>
      </c>
      <c r="X10" s="749">
        <v>2488.4833984375</v>
      </c>
      <c r="Y10" s="749">
        <v>2617.0322265625</v>
      </c>
      <c r="Z10" s="749">
        <v>2742.91259765625</v>
      </c>
      <c r="AA10" s="54"/>
      <c r="AB10" s="54"/>
    </row>
    <row r="11" spans="1:28">
      <c r="A11" s="54" t="s">
        <v>714</v>
      </c>
      <c r="B11" s="749">
        <v>0</v>
      </c>
      <c r="C11" s="749">
        <v>0</v>
      </c>
      <c r="D11" s="749">
        <v>2.2857084274291992</v>
      </c>
      <c r="E11" s="749">
        <v>6.3213496208190918</v>
      </c>
      <c r="F11" s="749">
        <v>13.253487586975099</v>
      </c>
      <c r="G11" s="749">
        <v>23.995475769042969</v>
      </c>
      <c r="H11" s="749">
        <v>39.398555755615227</v>
      </c>
      <c r="I11" s="749">
        <v>45.144824981689453</v>
      </c>
      <c r="J11" s="749">
        <v>56.499305725097663</v>
      </c>
      <c r="K11" s="749">
        <v>67.426010131835938</v>
      </c>
      <c r="L11" s="749">
        <v>78.247634887695313</v>
      </c>
      <c r="M11" s="749">
        <v>87.588729858398438</v>
      </c>
      <c r="N11" s="749">
        <v>95.268356323242188</v>
      </c>
      <c r="O11" s="749">
        <v>102.1651229858398</v>
      </c>
      <c r="P11" s="749">
        <v>108.44618988037109</v>
      </c>
      <c r="Q11" s="749">
        <v>114.9431610107422</v>
      </c>
      <c r="R11" s="749">
        <v>121.1918869018555</v>
      </c>
      <c r="S11" s="749">
        <v>128.36720275878909</v>
      </c>
      <c r="T11" s="749">
        <v>135.5801086425781</v>
      </c>
      <c r="U11" s="749">
        <v>143.52323913574219</v>
      </c>
      <c r="V11" s="749">
        <v>151.1861267089844</v>
      </c>
      <c r="W11" s="749">
        <v>159.11192321777341</v>
      </c>
      <c r="X11" s="749">
        <v>167.39500427246091</v>
      </c>
      <c r="Y11" s="749">
        <v>176.15968322753909</v>
      </c>
      <c r="Z11" s="749">
        <v>184.6954650878906</v>
      </c>
      <c r="AA11" s="54"/>
      <c r="AB11" s="54"/>
    </row>
    <row r="12" spans="1:28">
      <c r="A12" s="54" t="s">
        <v>715</v>
      </c>
      <c r="B12" s="749">
        <v>0</v>
      </c>
      <c r="C12" s="749">
        <v>0</v>
      </c>
      <c r="D12" s="749">
        <v>0</v>
      </c>
      <c r="E12" s="749">
        <v>0</v>
      </c>
      <c r="F12" s="749">
        <v>0</v>
      </c>
      <c r="G12" s="749">
        <v>3473.7578125</v>
      </c>
      <c r="H12" s="749">
        <v>3450.822265625</v>
      </c>
      <c r="I12" s="749">
        <v>6639.41064453125</v>
      </c>
      <c r="J12" s="749">
        <v>6418.91650390625</v>
      </c>
      <c r="K12" s="749">
        <v>6093.38232421875</v>
      </c>
      <c r="L12" s="749">
        <v>5636.32177734375</v>
      </c>
      <c r="M12" s="749">
        <v>1059.837646484375</v>
      </c>
      <c r="N12" s="749">
        <v>998.98828125</v>
      </c>
      <c r="O12" s="749">
        <v>923.46221923828125</v>
      </c>
      <c r="P12" s="749">
        <v>836.87237548828125</v>
      </c>
      <c r="Q12" s="749">
        <v>735.89874267578125</v>
      </c>
      <c r="R12" s="749">
        <v>615.6944580078125</v>
      </c>
      <c r="S12" s="749">
        <v>481.14291381835938</v>
      </c>
      <c r="T12" s="749">
        <v>448.4970703125</v>
      </c>
      <c r="U12" s="749">
        <v>1007.076354980469</v>
      </c>
      <c r="V12" s="749">
        <v>1045.411987304688</v>
      </c>
      <c r="W12" s="749">
        <v>1089.373413085938</v>
      </c>
      <c r="X12" s="749">
        <v>1133.905395507812</v>
      </c>
      <c r="Y12" s="749">
        <v>1182.182006835938</v>
      </c>
      <c r="Z12" s="749">
        <v>1228.049560546875</v>
      </c>
      <c r="AA12" s="54"/>
      <c r="AB12" s="54"/>
    </row>
    <row r="13" spans="1:28">
      <c r="A13" s="54" t="s">
        <v>716</v>
      </c>
      <c r="B13" s="749">
        <v>0</v>
      </c>
      <c r="C13" s="749">
        <v>0</v>
      </c>
      <c r="D13" s="749">
        <v>82.868812561035156</v>
      </c>
      <c r="E13" s="749">
        <v>196.51683044433591</v>
      </c>
      <c r="F13" s="749">
        <v>527.7144775390625</v>
      </c>
      <c r="G13" s="749">
        <v>855.9449462890625</v>
      </c>
      <c r="H13" s="749">
        <v>1260.809814453125</v>
      </c>
      <c r="I13" s="749">
        <v>1756.141845703125</v>
      </c>
      <c r="J13" s="749">
        <v>1437.37841796875</v>
      </c>
      <c r="K13" s="749">
        <v>1645.129150390625</v>
      </c>
      <c r="L13" s="749">
        <v>1874.29833984375</v>
      </c>
      <c r="M13" s="749">
        <v>2127.24853515625</v>
      </c>
      <c r="N13" s="749">
        <v>2393.100830078125</v>
      </c>
      <c r="O13" s="749">
        <v>2679.718994140625</v>
      </c>
      <c r="P13" s="749">
        <v>2994.13916015625</v>
      </c>
      <c r="Q13" s="749">
        <v>2826.852294921875</v>
      </c>
      <c r="R13" s="749">
        <v>2763.762451171875</v>
      </c>
      <c r="S13" s="749">
        <v>2906.72900390625</v>
      </c>
      <c r="T13" s="749">
        <v>3056.307861328125</v>
      </c>
      <c r="U13" s="749">
        <v>3220.70849609375</v>
      </c>
      <c r="V13" s="749">
        <v>3368.326416015625</v>
      </c>
      <c r="W13" s="749">
        <v>3531.47705078125</v>
      </c>
      <c r="X13" s="749">
        <v>3700.907470703125</v>
      </c>
      <c r="Y13" s="749">
        <v>3881.521728515625</v>
      </c>
      <c r="Z13" s="749">
        <v>4054.69580078125</v>
      </c>
      <c r="AA13" s="54"/>
      <c r="AB13" s="54"/>
    </row>
    <row r="14" spans="1:28">
      <c r="A14" s="54" t="s">
        <v>717</v>
      </c>
      <c r="B14" s="749">
        <v>0</v>
      </c>
      <c r="C14" s="749">
        <v>0</v>
      </c>
      <c r="D14" s="749">
        <v>3.8778090476989751</v>
      </c>
      <c r="E14" s="749">
        <v>9.2635793685913086</v>
      </c>
      <c r="F14" s="749">
        <v>24.268533706665039</v>
      </c>
      <c r="G14" s="749">
        <v>39.763755798339837</v>
      </c>
      <c r="H14" s="749">
        <v>58.729274749755859</v>
      </c>
      <c r="I14" s="749">
        <v>83.99053955078125</v>
      </c>
      <c r="J14" s="749">
        <v>75.397613525390625</v>
      </c>
      <c r="K14" s="749">
        <v>86.453094482421875</v>
      </c>
      <c r="L14" s="749">
        <v>98.108551025390625</v>
      </c>
      <c r="M14" s="749">
        <v>110.6051025390625</v>
      </c>
      <c r="N14" s="749">
        <v>123.16944885253911</v>
      </c>
      <c r="O14" s="749">
        <v>138.47685241699219</v>
      </c>
      <c r="P14" s="749">
        <v>152.65492248535159</v>
      </c>
      <c r="Q14" s="749">
        <v>148.40716552734381</v>
      </c>
      <c r="R14" s="749">
        <v>146.6690979003906</v>
      </c>
      <c r="S14" s="749">
        <v>151.00691223144531</v>
      </c>
      <c r="T14" s="749">
        <v>157.35162353515619</v>
      </c>
      <c r="U14" s="749">
        <v>164.38641357421881</v>
      </c>
      <c r="V14" s="749">
        <v>170.67881774902341</v>
      </c>
      <c r="W14" s="749">
        <v>177.6708679199219</v>
      </c>
      <c r="X14" s="749">
        <v>182.82171630859381</v>
      </c>
      <c r="Y14" s="749">
        <v>190.70024108886719</v>
      </c>
      <c r="Z14" s="749">
        <v>197.91093444824219</v>
      </c>
      <c r="AA14" s="54"/>
      <c r="AB14" s="54"/>
    </row>
    <row r="15" spans="1:28">
      <c r="A15" s="54" t="s">
        <v>718</v>
      </c>
      <c r="B15" s="749">
        <v>0</v>
      </c>
      <c r="C15" s="749">
        <v>0</v>
      </c>
      <c r="D15" s="749">
        <v>0</v>
      </c>
      <c r="E15" s="749">
        <v>0</v>
      </c>
      <c r="F15" s="749">
        <v>0</v>
      </c>
      <c r="G15" s="749">
        <v>147.4216613769531</v>
      </c>
      <c r="H15" s="749">
        <v>161.4852294921875</v>
      </c>
      <c r="I15" s="749">
        <v>334.89291381835938</v>
      </c>
      <c r="J15" s="749">
        <v>364.50473022460938</v>
      </c>
      <c r="K15" s="749">
        <v>397.86395263671881</v>
      </c>
      <c r="L15" s="749">
        <v>436.061279296875</v>
      </c>
      <c r="M15" s="749">
        <v>106.8187713623047</v>
      </c>
      <c r="N15" s="749">
        <v>116.01817321777339</v>
      </c>
      <c r="O15" s="749">
        <v>124.61850738525391</v>
      </c>
      <c r="P15" s="749">
        <v>134.1784362792969</v>
      </c>
      <c r="Q15" s="749">
        <v>144.1766662597656</v>
      </c>
      <c r="R15" s="749">
        <v>153.6751403808594</v>
      </c>
      <c r="S15" s="749">
        <v>164.27391052246091</v>
      </c>
      <c r="T15" s="749">
        <v>175.05134582519531</v>
      </c>
      <c r="U15" s="749">
        <v>187.21746826171881</v>
      </c>
      <c r="V15" s="749">
        <v>197.91874694824219</v>
      </c>
      <c r="W15" s="749">
        <v>209.73332214355469</v>
      </c>
      <c r="X15" s="749">
        <v>222.4571533203125</v>
      </c>
      <c r="Y15" s="749">
        <v>235.32289123535159</v>
      </c>
      <c r="Z15" s="749">
        <v>248.5977783203125</v>
      </c>
      <c r="AA15" s="54"/>
      <c r="AB15" s="54"/>
    </row>
    <row r="16" spans="1:28">
      <c r="A16" s="54" t="s">
        <v>719</v>
      </c>
      <c r="B16" s="749">
        <v>0</v>
      </c>
      <c r="C16" s="749">
        <v>0</v>
      </c>
      <c r="D16" s="749">
        <v>50.598640441894531</v>
      </c>
      <c r="E16" s="749">
        <v>47.824016571044922</v>
      </c>
      <c r="F16" s="749">
        <v>100.8152542114258</v>
      </c>
      <c r="G16" s="749">
        <v>96.975845336914063</v>
      </c>
      <c r="H16" s="749">
        <v>94.888031005859375</v>
      </c>
      <c r="I16" s="749">
        <v>93.8309326171875</v>
      </c>
      <c r="J16" s="749">
        <v>-34.708942413330078</v>
      </c>
      <c r="K16" s="749">
        <v>-32.302055358886719</v>
      </c>
      <c r="L16" s="749">
        <v>-29.28326416015625</v>
      </c>
      <c r="M16" s="749">
        <v>-26.574298858642582</v>
      </c>
      <c r="N16" s="749">
        <v>-23.109819412231449</v>
      </c>
      <c r="O16" s="749">
        <v>-20.207281112670898</v>
      </c>
      <c r="P16" s="749">
        <v>-16.665903091430661</v>
      </c>
      <c r="Q16" s="749">
        <v>-13.374826431274411</v>
      </c>
      <c r="R16" s="749">
        <v>-9.7684202194213867</v>
      </c>
      <c r="S16" s="749">
        <v>-5.931765079498291</v>
      </c>
      <c r="T16" s="749">
        <v>-1.79176926612854</v>
      </c>
      <c r="U16" s="749">
        <v>2.639350414276123</v>
      </c>
      <c r="V16" s="749">
        <v>6.8262729644775391</v>
      </c>
      <c r="W16" s="749">
        <v>11.296628952026371</v>
      </c>
      <c r="X16" s="749">
        <v>16.09372520446777</v>
      </c>
      <c r="Y16" s="749">
        <v>20.639459609985352</v>
      </c>
      <c r="Z16" s="749">
        <v>25.952669143676761</v>
      </c>
      <c r="AA16" s="54"/>
      <c r="AB16" s="54"/>
    </row>
    <row r="17" spans="1:28">
      <c r="A17" s="54" t="s">
        <v>720</v>
      </c>
      <c r="B17" s="749">
        <v>0</v>
      </c>
      <c r="C17" s="749">
        <v>0</v>
      </c>
      <c r="D17" s="749">
        <v>0</v>
      </c>
      <c r="E17" s="749">
        <v>0</v>
      </c>
      <c r="F17" s="749">
        <v>0</v>
      </c>
      <c r="G17" s="749">
        <v>20.36589241027832</v>
      </c>
      <c r="H17" s="749">
        <v>42.657688140869141</v>
      </c>
      <c r="I17" s="749">
        <v>87.687843322753906</v>
      </c>
      <c r="J17" s="749">
        <v>135.40525817871091</v>
      </c>
      <c r="K17" s="749">
        <v>186.68284606933591</v>
      </c>
      <c r="L17" s="749">
        <v>241.4415283203125</v>
      </c>
      <c r="M17" s="749">
        <v>250.2149658203125</v>
      </c>
      <c r="N17" s="749">
        <v>258.92724609375</v>
      </c>
      <c r="O17" s="749">
        <v>268.63702392578119</v>
      </c>
      <c r="P17" s="749">
        <v>277.56460571289063</v>
      </c>
      <c r="Q17" s="749">
        <v>287.55636596679688</v>
      </c>
      <c r="R17" s="749">
        <v>297.4254150390625</v>
      </c>
      <c r="S17" s="749">
        <v>310.81536865234381</v>
      </c>
      <c r="T17" s="749">
        <v>322.24765014648438</v>
      </c>
      <c r="U17" s="749">
        <v>333.71795654296881</v>
      </c>
      <c r="V17" s="749">
        <v>346.25601196289063</v>
      </c>
      <c r="W17" s="749">
        <v>358.85589599609381</v>
      </c>
      <c r="X17" s="749">
        <v>371.86935424804688</v>
      </c>
      <c r="Y17" s="749">
        <v>387.74966430664063</v>
      </c>
      <c r="Z17" s="749">
        <v>402.01974487304688</v>
      </c>
      <c r="AA17" s="54"/>
      <c r="AB17" s="54"/>
    </row>
    <row r="18" spans="1:28">
      <c r="A18" s="54" t="s">
        <v>721</v>
      </c>
      <c r="B18" s="749">
        <v>0</v>
      </c>
      <c r="C18" s="749">
        <v>0</v>
      </c>
      <c r="D18" s="749">
        <v>0</v>
      </c>
      <c r="E18" s="749">
        <v>0</v>
      </c>
      <c r="F18" s="749">
        <v>0</v>
      </c>
      <c r="G18" s="749">
        <v>95.113227844238281</v>
      </c>
      <c r="H18" s="749">
        <v>111.877311706543</v>
      </c>
      <c r="I18" s="749">
        <v>230.2771301269531</v>
      </c>
      <c r="J18" s="749">
        <v>268.02197265625</v>
      </c>
      <c r="K18" s="749">
        <v>312.81365966796881</v>
      </c>
      <c r="L18" s="749">
        <v>359.45306396484381</v>
      </c>
      <c r="M18" s="749">
        <v>176.37159729003909</v>
      </c>
      <c r="N18" s="749">
        <v>188.72247314453119</v>
      </c>
      <c r="O18" s="749">
        <v>201.86317443847659</v>
      </c>
      <c r="P18" s="749">
        <v>202.8407287597656</v>
      </c>
      <c r="Q18" s="749">
        <v>208.28520202636719</v>
      </c>
      <c r="R18" s="749">
        <v>228.75164794921881</v>
      </c>
      <c r="S18" s="749">
        <v>245.7182312011719</v>
      </c>
      <c r="T18" s="749">
        <v>249.36567687988281</v>
      </c>
      <c r="U18" s="749">
        <v>259.48257446289063</v>
      </c>
      <c r="V18" s="749">
        <v>273.29983520507813</v>
      </c>
      <c r="W18" s="749">
        <v>288.29278564453119</v>
      </c>
      <c r="X18" s="749">
        <v>305.07040405273438</v>
      </c>
      <c r="Y18" s="749">
        <v>322.11419677734381</v>
      </c>
      <c r="Z18" s="749">
        <v>339.6533203125</v>
      </c>
      <c r="AA18" s="54"/>
      <c r="AB18" s="54"/>
    </row>
    <row r="19" spans="1:28">
      <c r="A19" s="54" t="s">
        <v>722</v>
      </c>
      <c r="B19" s="749">
        <v>0</v>
      </c>
      <c r="C19" s="749">
        <v>0</v>
      </c>
      <c r="D19" s="749">
        <v>0</v>
      </c>
      <c r="E19" s="749">
        <v>0</v>
      </c>
      <c r="F19" s="749">
        <v>0</v>
      </c>
      <c r="G19" s="749">
        <v>77.159919738769531</v>
      </c>
      <c r="H19" s="749">
        <v>82.939170837402344</v>
      </c>
      <c r="I19" s="749">
        <v>119.16770935058589</v>
      </c>
      <c r="J19" s="749">
        <v>124.27040863037109</v>
      </c>
      <c r="K19" s="749">
        <v>128.5845642089844</v>
      </c>
      <c r="L19" s="749">
        <v>132.51231384277341</v>
      </c>
      <c r="M19" s="749">
        <v>59.75653076171875</v>
      </c>
      <c r="N19" s="749">
        <v>61.494239807128913</v>
      </c>
      <c r="O19" s="749">
        <v>62.641304016113281</v>
      </c>
      <c r="P19" s="749">
        <v>64.22747802734375</v>
      </c>
      <c r="Q19" s="749">
        <v>66.239791870117188</v>
      </c>
      <c r="R19" s="749">
        <v>67.349273681640625</v>
      </c>
      <c r="S19" s="749">
        <v>68.982681274414063</v>
      </c>
      <c r="T19" s="749">
        <v>71.061431884765625</v>
      </c>
      <c r="U19" s="749">
        <v>72.857093811035156</v>
      </c>
      <c r="V19" s="749">
        <v>74.790138244628906</v>
      </c>
      <c r="W19" s="749">
        <v>76.213363647460938</v>
      </c>
      <c r="X19" s="749">
        <v>78.28466796875</v>
      </c>
      <c r="Y19" s="749">
        <v>79.977241516113281</v>
      </c>
      <c r="Z19" s="749">
        <v>81.894004821777344</v>
      </c>
      <c r="AA19" s="54"/>
      <c r="AB19" s="54"/>
    </row>
    <row r="20" spans="1:28">
      <c r="A20" s="54" t="s">
        <v>723</v>
      </c>
      <c r="B20" s="749">
        <v>0</v>
      </c>
      <c r="C20" s="749">
        <v>0</v>
      </c>
      <c r="D20" s="749">
        <v>0</v>
      </c>
      <c r="E20" s="749">
        <v>0</v>
      </c>
      <c r="F20" s="749">
        <v>0</v>
      </c>
      <c r="G20" s="749">
        <v>49.692554473876953</v>
      </c>
      <c r="H20" s="749">
        <v>54.437591552734382</v>
      </c>
      <c r="I20" s="749">
        <v>75.231361389160156</v>
      </c>
      <c r="J20" s="749">
        <v>78.858558654785156</v>
      </c>
      <c r="K20" s="749">
        <v>81.758018493652344</v>
      </c>
      <c r="L20" s="749">
        <v>84.319740295410156</v>
      </c>
      <c r="M20" s="749">
        <v>42.764244079589837</v>
      </c>
      <c r="N20" s="749">
        <v>43.754768371582031</v>
      </c>
      <c r="O20" s="749">
        <v>44.720664978027337</v>
      </c>
      <c r="P20" s="749">
        <v>45.451126098632813</v>
      </c>
      <c r="Q20" s="749">
        <v>47.039741516113281</v>
      </c>
      <c r="R20" s="749">
        <v>47.989986419677727</v>
      </c>
      <c r="S20" s="749">
        <v>49.479732513427727</v>
      </c>
      <c r="T20" s="749">
        <v>50.707218170166023</v>
      </c>
      <c r="U20" s="749">
        <v>51.558902740478523</v>
      </c>
      <c r="V20" s="749">
        <v>52.669261932373047</v>
      </c>
      <c r="W20" s="749">
        <v>54.460968017578118</v>
      </c>
      <c r="X20" s="749">
        <v>55.666751861572273</v>
      </c>
      <c r="Y20" s="749">
        <v>57.048328399658203</v>
      </c>
      <c r="Z20" s="749">
        <v>58.138553619384773</v>
      </c>
      <c r="AA20" s="54"/>
      <c r="AB20" s="54"/>
    </row>
    <row r="21" spans="1:28">
      <c r="A21" s="54" t="s">
        <v>724</v>
      </c>
      <c r="B21" s="749">
        <v>0</v>
      </c>
      <c r="C21" s="749">
        <v>0</v>
      </c>
      <c r="D21" s="749">
        <v>0</v>
      </c>
      <c r="E21" s="749">
        <v>0</v>
      </c>
      <c r="F21" s="749">
        <v>0</v>
      </c>
      <c r="G21" s="749">
        <v>94.569023132324219</v>
      </c>
      <c r="H21" s="749">
        <v>196.8956604003906</v>
      </c>
      <c r="I21" s="749">
        <v>309.00491333007813</v>
      </c>
      <c r="J21" s="749">
        <v>427.252685546875</v>
      </c>
      <c r="K21" s="749">
        <v>555.36883544921875</v>
      </c>
      <c r="L21" s="749">
        <v>576.7762451171875</v>
      </c>
      <c r="M21" s="749">
        <v>600.5477294921875</v>
      </c>
      <c r="N21" s="749">
        <v>622.66180419921875</v>
      </c>
      <c r="O21" s="749">
        <v>648.13037109375</v>
      </c>
      <c r="P21" s="749">
        <v>674.483154296875</v>
      </c>
      <c r="Q21" s="749">
        <v>701.7744140625</v>
      </c>
      <c r="R21" s="749">
        <v>727.04736328125</v>
      </c>
      <c r="S21" s="749">
        <v>757.14715576171875</v>
      </c>
      <c r="T21" s="749">
        <v>788.2974853515625</v>
      </c>
      <c r="U21" s="749">
        <v>822.7801513671875</v>
      </c>
      <c r="V21" s="749">
        <v>853.88580322265625</v>
      </c>
      <c r="W21" s="749">
        <v>887.297607421875</v>
      </c>
      <c r="X21" s="749">
        <v>922.970458984375</v>
      </c>
      <c r="Y21" s="749">
        <v>962.502197265625</v>
      </c>
      <c r="Z21" s="749">
        <v>996.86151123046875</v>
      </c>
      <c r="AA21" s="54"/>
      <c r="AB21" s="54"/>
    </row>
  </sheetData>
  <pageMargins left="0.7" right="0.7" top="0.75" bottom="0.75" header="0.3" footer="0.3"/>
  <pageSetup orientation="portrait" horizontalDpi="300" verticalDpi="300" r:id="rId1"/>
  <headerFooter>
    <oddHeader>&amp;LAppendix E-2: Incremental Cost Calculation&amp;RClean Energy Implementation Plan</oddHeader>
    <oddFooter>&amp;LDECEMBER 17, 2021&amp;C&amp;P of &amp;N&amp;RPuget Sound Energy</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tabSelected="1" workbookViewId="0">
      <selection activeCell="E17" sqref="E17"/>
    </sheetView>
  </sheetViews>
  <sheetFormatPr defaultRowHeight="15"/>
  <cols>
    <col min="1" max="1" width="25.42578125" style="54" customWidth="1"/>
    <col min="2" max="2" width="61" bestFit="1" customWidth="1"/>
    <col min="4" max="4" width="10.140625" bestFit="1" customWidth="1"/>
    <col min="5" max="9" width="11.140625" bestFit="1" customWidth="1"/>
    <col min="10" max="27" width="12.5703125" bestFit="1" customWidth="1"/>
  </cols>
  <sheetData>
    <row r="1" spans="1:29">
      <c r="B1" s="759" t="s">
        <v>772</v>
      </c>
      <c r="C1" s="759" t="s">
        <v>773</v>
      </c>
      <c r="D1" s="759" t="s">
        <v>774</v>
      </c>
      <c r="E1" s="759" t="s">
        <v>775</v>
      </c>
      <c r="F1" s="759" t="s">
        <v>776</v>
      </c>
      <c r="G1" s="759" t="s">
        <v>777</v>
      </c>
      <c r="H1" s="759" t="s">
        <v>778</v>
      </c>
      <c r="I1" s="759" t="s">
        <v>779</v>
      </c>
      <c r="J1" s="759" t="s">
        <v>780</v>
      </c>
      <c r="K1" s="759" t="s">
        <v>781</v>
      </c>
      <c r="L1" s="759" t="s">
        <v>782</v>
      </c>
      <c r="M1" s="759" t="s">
        <v>783</v>
      </c>
      <c r="N1" s="759" t="s">
        <v>784</v>
      </c>
      <c r="O1" s="759" t="s">
        <v>785</v>
      </c>
      <c r="P1" s="759" t="s">
        <v>786</v>
      </c>
      <c r="Q1" s="759" t="s">
        <v>787</v>
      </c>
      <c r="R1" s="759" t="s">
        <v>788</v>
      </c>
      <c r="S1" s="759" t="s">
        <v>789</v>
      </c>
      <c r="T1" s="759" t="s">
        <v>790</v>
      </c>
      <c r="U1" s="759" t="s">
        <v>791</v>
      </c>
      <c r="V1" s="759" t="s">
        <v>792</v>
      </c>
      <c r="W1" s="759" t="s">
        <v>793</v>
      </c>
      <c r="X1" s="759" t="s">
        <v>794</v>
      </c>
      <c r="Y1" s="759" t="s">
        <v>795</v>
      </c>
      <c r="Z1" s="759" t="s">
        <v>796</v>
      </c>
      <c r="AA1" s="759" t="s">
        <v>797</v>
      </c>
      <c r="AB1" s="759"/>
      <c r="AC1" s="759"/>
    </row>
    <row r="2" spans="1:29">
      <c r="A2" s="54" t="s">
        <v>695</v>
      </c>
      <c r="B2" s="759" t="s">
        <v>800</v>
      </c>
      <c r="C2" s="54">
        <v>0</v>
      </c>
      <c r="D2" s="54">
        <v>32506.177734375</v>
      </c>
      <c r="E2" s="54">
        <v>102649.53125</v>
      </c>
      <c r="F2" s="54">
        <v>176807.046875</v>
      </c>
      <c r="G2" s="54">
        <v>252927.46875</v>
      </c>
      <c r="H2" s="54">
        <v>331929.34375</v>
      </c>
      <c r="I2" s="54">
        <v>413811.5</v>
      </c>
      <c r="J2" s="54">
        <v>499690.53125</v>
      </c>
      <c r="K2" s="54">
        <v>583173.3125</v>
      </c>
      <c r="L2" s="54">
        <v>669408.8125</v>
      </c>
      <c r="M2" s="54">
        <v>758600.5</v>
      </c>
      <c r="N2" s="54">
        <v>823955.75</v>
      </c>
      <c r="O2" s="54">
        <v>854710.9375</v>
      </c>
      <c r="P2" s="54">
        <v>889438.125</v>
      </c>
      <c r="Q2" s="54">
        <v>924716.3125</v>
      </c>
      <c r="R2" s="54">
        <v>962141.375</v>
      </c>
      <c r="S2" s="54">
        <v>994158.0625</v>
      </c>
      <c r="T2" s="54">
        <v>1029066.125</v>
      </c>
      <c r="U2" s="54">
        <v>1064750.125</v>
      </c>
      <c r="V2" s="54">
        <v>1100008.75</v>
      </c>
      <c r="W2" s="54">
        <v>1123692.125</v>
      </c>
      <c r="X2" s="54">
        <v>1149370.75</v>
      </c>
      <c r="Y2" s="54">
        <v>1175485.625</v>
      </c>
      <c r="Z2" s="54">
        <v>1205637.375</v>
      </c>
      <c r="AA2" s="54">
        <v>1228215.125</v>
      </c>
      <c r="AB2" s="54"/>
      <c r="AC2" s="54"/>
    </row>
    <row r="3" spans="1:29">
      <c r="A3" s="54" t="s">
        <v>695</v>
      </c>
      <c r="B3" s="759" t="s">
        <v>801</v>
      </c>
      <c r="C3" s="54">
        <v>0</v>
      </c>
      <c r="D3" s="54">
        <v>15755.0146484375</v>
      </c>
      <c r="E3" s="54">
        <v>50121.83984375</v>
      </c>
      <c r="F3" s="54">
        <v>87015.7109375</v>
      </c>
      <c r="G3" s="54">
        <v>124532.984375</v>
      </c>
      <c r="H3" s="54">
        <v>163362.3125</v>
      </c>
      <c r="I3" s="54">
        <v>204092.453125</v>
      </c>
      <c r="J3" s="54">
        <v>247741.1875</v>
      </c>
      <c r="K3" s="54">
        <v>290223.46875</v>
      </c>
      <c r="L3" s="54">
        <v>334242.46875</v>
      </c>
      <c r="M3" s="54">
        <v>379450.5625</v>
      </c>
      <c r="N3" s="54">
        <v>411655.34375</v>
      </c>
      <c r="O3" s="54">
        <v>425284.1875</v>
      </c>
      <c r="P3" s="54">
        <v>440458.25</v>
      </c>
      <c r="Q3" s="54">
        <v>456738.125</v>
      </c>
      <c r="R3" s="54">
        <v>473898.25</v>
      </c>
      <c r="S3" s="54">
        <v>486978.78125</v>
      </c>
      <c r="T3" s="54">
        <v>499703.28125</v>
      </c>
      <c r="U3" s="54">
        <v>511545.59375</v>
      </c>
      <c r="V3" s="54">
        <v>524541.75</v>
      </c>
      <c r="W3" s="54">
        <v>533742.625</v>
      </c>
      <c r="X3" s="54">
        <v>544393.875</v>
      </c>
      <c r="Y3" s="54">
        <v>555353.1875</v>
      </c>
      <c r="Z3" s="54">
        <v>568440.75</v>
      </c>
      <c r="AA3" s="54">
        <v>577541.375</v>
      </c>
      <c r="AB3" s="54"/>
      <c r="AC3" s="54"/>
    </row>
    <row r="4" spans="1:29">
      <c r="A4" s="54" t="s">
        <v>695</v>
      </c>
      <c r="B4" s="759" t="s">
        <v>802</v>
      </c>
      <c r="C4" s="54">
        <v>0</v>
      </c>
      <c r="D4" s="54">
        <v>10010.9462890625</v>
      </c>
      <c r="E4" s="54">
        <v>31631.96875</v>
      </c>
      <c r="F4" s="54">
        <v>53506.61328125</v>
      </c>
      <c r="G4" s="54">
        <v>75045.4765625</v>
      </c>
      <c r="H4" s="54">
        <v>96737.0078125</v>
      </c>
      <c r="I4" s="54">
        <v>118426.4765625</v>
      </c>
      <c r="J4" s="54">
        <v>140439.25</v>
      </c>
      <c r="K4" s="54">
        <v>161965.8125</v>
      </c>
      <c r="L4" s="54">
        <v>183719.46875</v>
      </c>
      <c r="M4" s="54">
        <v>205395.421875</v>
      </c>
      <c r="N4" s="54">
        <v>218063.40625</v>
      </c>
      <c r="O4" s="54">
        <v>218244.015625</v>
      </c>
      <c r="P4" s="54">
        <v>219304.875</v>
      </c>
      <c r="Q4" s="54">
        <v>220581.390625</v>
      </c>
      <c r="R4" s="54">
        <v>222338.140625</v>
      </c>
      <c r="S4" s="54">
        <v>222363.875</v>
      </c>
      <c r="T4" s="54">
        <v>222709.3125</v>
      </c>
      <c r="U4" s="54">
        <v>222913.765625</v>
      </c>
      <c r="V4" s="54">
        <v>224117.234375</v>
      </c>
      <c r="W4" s="54">
        <v>223864.9375</v>
      </c>
      <c r="X4" s="54">
        <v>224134.640625</v>
      </c>
      <c r="Y4" s="54">
        <v>224427.609375</v>
      </c>
      <c r="Z4" s="54">
        <v>225276.25</v>
      </c>
      <c r="AA4" s="54">
        <v>224953.453125</v>
      </c>
      <c r="AB4" s="54"/>
      <c r="AC4" s="54"/>
    </row>
    <row r="5" spans="1:29">
      <c r="A5" s="54" t="s">
        <v>695</v>
      </c>
      <c r="B5" s="759" t="s">
        <v>803</v>
      </c>
      <c r="C5" s="54">
        <v>0</v>
      </c>
      <c r="D5" s="54">
        <v>1878.33203125</v>
      </c>
      <c r="E5" s="54">
        <v>6502.76806640625</v>
      </c>
      <c r="F5" s="54">
        <v>12395.5830078125</v>
      </c>
      <c r="G5" s="54">
        <v>19618.06640625</v>
      </c>
      <c r="H5" s="54">
        <v>28426.232421875</v>
      </c>
      <c r="I5" s="54">
        <v>39012.1171875</v>
      </c>
      <c r="J5" s="54">
        <v>51867.0234375</v>
      </c>
      <c r="K5" s="54">
        <v>66416.5078125</v>
      </c>
      <c r="L5" s="54">
        <v>83214.375</v>
      </c>
      <c r="M5" s="54">
        <v>102006.3125</v>
      </c>
      <c r="N5" s="54">
        <v>121635.296875</v>
      </c>
      <c r="O5" s="54">
        <v>140503.125</v>
      </c>
      <c r="P5" s="54">
        <v>160216.171875</v>
      </c>
      <c r="Q5" s="54">
        <v>179773.875</v>
      </c>
      <c r="R5" s="54">
        <v>199595.609375</v>
      </c>
      <c r="S5" s="54">
        <v>218175.140625</v>
      </c>
      <c r="T5" s="54">
        <v>237235.25</v>
      </c>
      <c r="U5" s="54">
        <v>256523.96875</v>
      </c>
      <c r="V5" s="54">
        <v>273915.125</v>
      </c>
      <c r="W5" s="54">
        <v>280999</v>
      </c>
      <c r="X5" s="54">
        <v>282625.1875</v>
      </c>
      <c r="Y5" s="54">
        <v>283656.09375</v>
      </c>
      <c r="Z5" s="54">
        <v>285369.84375</v>
      </c>
      <c r="AA5" s="54">
        <v>285218.78125</v>
      </c>
      <c r="AB5" s="54"/>
      <c r="AC5" s="54"/>
    </row>
    <row r="6" spans="1:29">
      <c r="A6" s="54" t="s">
        <v>695</v>
      </c>
      <c r="B6" s="759" t="s">
        <v>804</v>
      </c>
      <c r="C6" s="54">
        <v>0</v>
      </c>
      <c r="D6" s="54">
        <v>4409.71728515625</v>
      </c>
      <c r="E6" s="54">
        <v>13573.06640625</v>
      </c>
      <c r="F6" s="54">
        <v>23033.984375</v>
      </c>
      <c r="G6" s="54">
        <v>32611.32421875</v>
      </c>
      <c r="H6" s="54">
        <v>42564.5625</v>
      </c>
      <c r="I6" s="54">
        <v>52925.44921875</v>
      </c>
      <c r="J6" s="54">
        <v>64173.26171875</v>
      </c>
      <c r="K6" s="54">
        <v>75004.265625</v>
      </c>
      <c r="L6" s="54">
        <v>86534.6171875</v>
      </c>
      <c r="M6" s="54">
        <v>98615.65625</v>
      </c>
      <c r="N6" s="54">
        <v>107352.1796875</v>
      </c>
      <c r="O6" s="54">
        <v>111242.203125</v>
      </c>
      <c r="P6" s="54">
        <v>115632.5078125</v>
      </c>
      <c r="Q6" s="54">
        <v>120341.3671875</v>
      </c>
      <c r="R6" s="54">
        <v>125671.046875</v>
      </c>
      <c r="S6" s="54">
        <v>130137.0390625</v>
      </c>
      <c r="T6" s="54">
        <v>135022.34375</v>
      </c>
      <c r="U6" s="54">
        <v>140279.234375</v>
      </c>
      <c r="V6" s="54">
        <v>145920.296875</v>
      </c>
      <c r="W6" s="54">
        <v>150335.796875</v>
      </c>
      <c r="X6" s="54">
        <v>155321.109375</v>
      </c>
      <c r="Y6" s="54">
        <v>160155.5625</v>
      </c>
      <c r="Z6" s="54">
        <v>165554.265625</v>
      </c>
      <c r="AA6" s="54">
        <v>169617.3125</v>
      </c>
      <c r="AB6" s="54"/>
      <c r="AC6" s="54"/>
    </row>
    <row r="7" spans="1:29">
      <c r="A7" s="54" t="s">
        <v>695</v>
      </c>
      <c r="B7" s="759" t="s">
        <v>805</v>
      </c>
      <c r="C7" s="54">
        <v>0</v>
      </c>
      <c r="D7" s="54">
        <v>1577.590942382812</v>
      </c>
      <c r="E7" s="54">
        <v>4952.431640625</v>
      </c>
      <c r="F7" s="54">
        <v>8395.2373046875</v>
      </c>
      <c r="G7" s="54">
        <v>11729.8896484375</v>
      </c>
      <c r="H7" s="54">
        <v>15045.7939453125</v>
      </c>
      <c r="I7" s="54">
        <v>18417.287109375</v>
      </c>
      <c r="J7" s="54">
        <v>21980.3203125</v>
      </c>
      <c r="K7" s="54">
        <v>25307.8359375</v>
      </c>
      <c r="L7" s="54">
        <v>28712.11328125</v>
      </c>
      <c r="M7" s="54">
        <v>32235.78125</v>
      </c>
      <c r="N7" s="54">
        <v>34462.6796875</v>
      </c>
      <c r="O7" s="54">
        <v>34776.546875</v>
      </c>
      <c r="P7" s="54">
        <v>35204.765625</v>
      </c>
      <c r="Q7" s="54">
        <v>35799.34765625</v>
      </c>
      <c r="R7" s="54">
        <v>36537.3671875</v>
      </c>
      <c r="S7" s="54">
        <v>36934.640625</v>
      </c>
      <c r="T7" s="54">
        <v>37411.01171875</v>
      </c>
      <c r="U7" s="54">
        <v>38007.796875</v>
      </c>
      <c r="V7" s="54">
        <v>38741.8125</v>
      </c>
      <c r="W7" s="54">
        <v>39152.28125</v>
      </c>
      <c r="X7" s="54">
        <v>39681.40234375</v>
      </c>
      <c r="Y7" s="54">
        <v>40263.74609375</v>
      </c>
      <c r="Z7" s="54">
        <v>41050.98046875</v>
      </c>
      <c r="AA7" s="54">
        <v>41541.05078125</v>
      </c>
      <c r="AB7" s="54"/>
      <c r="AC7" s="54"/>
    </row>
    <row r="8" spans="1:29">
      <c r="A8" s="54" t="s">
        <v>808</v>
      </c>
      <c r="B8" s="759" t="s">
        <v>806</v>
      </c>
      <c r="C8" s="54">
        <v>0</v>
      </c>
      <c r="D8" s="54">
        <v>191303.953125</v>
      </c>
      <c r="E8" s="54">
        <v>289839.09375</v>
      </c>
      <c r="F8" s="54">
        <v>392916.75</v>
      </c>
      <c r="G8" s="54">
        <v>466770.6875</v>
      </c>
      <c r="H8" s="54">
        <v>529974.3125</v>
      </c>
      <c r="I8" s="54">
        <v>590389.875</v>
      </c>
      <c r="J8" s="54">
        <v>648425.0625</v>
      </c>
      <c r="K8" s="54">
        <v>701824.8125</v>
      </c>
      <c r="L8" s="54">
        <v>758038.9375</v>
      </c>
      <c r="M8" s="54">
        <v>818230.9375</v>
      </c>
      <c r="N8" s="54">
        <v>868726.5</v>
      </c>
      <c r="O8" s="54">
        <v>912955.5625</v>
      </c>
      <c r="P8" s="54">
        <v>966767.6875</v>
      </c>
      <c r="Q8" s="54">
        <v>1026477.5625</v>
      </c>
      <c r="R8" s="54">
        <v>1078626.375</v>
      </c>
      <c r="S8" s="54">
        <v>1127889.5</v>
      </c>
      <c r="T8" s="54">
        <v>1177829.875</v>
      </c>
      <c r="U8" s="54">
        <v>1229709.375</v>
      </c>
      <c r="V8" s="54">
        <v>1279616</v>
      </c>
      <c r="W8" s="54">
        <v>1329608.125</v>
      </c>
      <c r="X8" s="54">
        <v>1378971.375</v>
      </c>
      <c r="Y8" s="54">
        <v>1428075.75</v>
      </c>
      <c r="Z8" s="54">
        <v>1476690.5</v>
      </c>
      <c r="AA8" s="54">
        <v>1525608.5</v>
      </c>
      <c r="AB8" s="54"/>
      <c r="AC8" s="54"/>
    </row>
    <row r="9" spans="1:29">
      <c r="A9" s="54" t="s">
        <v>808</v>
      </c>
      <c r="B9" s="759" t="s">
        <v>807</v>
      </c>
      <c r="C9" s="54">
        <v>0</v>
      </c>
      <c r="D9" s="54">
        <v>157.69984436035159</v>
      </c>
      <c r="E9" s="54">
        <v>430.46957397460938</v>
      </c>
      <c r="F9" s="54">
        <v>884.72943115234375</v>
      </c>
      <c r="G9" s="54">
        <v>1624.099731445312</v>
      </c>
      <c r="H9" s="54">
        <v>2806.81982421875</v>
      </c>
      <c r="I9" s="54">
        <v>4669.82958984375</v>
      </c>
      <c r="J9" s="54">
        <v>7564.91015625</v>
      </c>
      <c r="K9" s="54">
        <v>11987.4599609375</v>
      </c>
      <c r="L9" s="54">
        <v>18704.5</v>
      </c>
      <c r="M9" s="54">
        <v>26491.30078125</v>
      </c>
      <c r="N9" s="54">
        <v>35458.3203125</v>
      </c>
      <c r="O9" s="54">
        <v>45637.05859375</v>
      </c>
      <c r="P9" s="54">
        <v>57240.3984375</v>
      </c>
      <c r="Q9" s="54">
        <v>70369.1796875</v>
      </c>
      <c r="R9" s="54">
        <v>85229.3515625</v>
      </c>
      <c r="S9" s="54">
        <v>101747.15625</v>
      </c>
      <c r="T9" s="54">
        <v>120276.484375</v>
      </c>
      <c r="U9" s="54">
        <v>140893.9375</v>
      </c>
      <c r="V9" s="54">
        <v>163882.984375</v>
      </c>
      <c r="W9" s="54">
        <v>188990.78125</v>
      </c>
      <c r="X9" s="54">
        <v>216775.171875</v>
      </c>
      <c r="Y9" s="54">
        <v>247253.921875</v>
      </c>
      <c r="Z9" s="54">
        <v>280813.34375</v>
      </c>
      <c r="AA9" s="54">
        <v>316912.21875</v>
      </c>
      <c r="AB9" s="54"/>
      <c r="AC9" s="54"/>
    </row>
    <row r="10" spans="1:29">
      <c r="A10" s="54" t="s">
        <v>809</v>
      </c>
      <c r="B10" s="759" t="s">
        <v>759</v>
      </c>
      <c r="C10" s="54">
        <v>0</v>
      </c>
      <c r="D10" s="54">
        <v>0</v>
      </c>
      <c r="E10" s="54">
        <v>0</v>
      </c>
      <c r="F10" s="54">
        <v>0</v>
      </c>
      <c r="G10" s="54">
        <v>0</v>
      </c>
      <c r="H10" s="54">
        <v>389.60000610351563</v>
      </c>
      <c r="I10" s="54">
        <v>789.60003662109375</v>
      </c>
      <c r="J10" s="54">
        <v>1600.800048828125</v>
      </c>
      <c r="K10" s="54">
        <v>2433.599853515625</v>
      </c>
      <c r="L10" s="54">
        <v>3288.800048828125</v>
      </c>
      <c r="M10" s="54">
        <v>4168</v>
      </c>
      <c r="N10" s="54">
        <v>4236.7998046875</v>
      </c>
      <c r="O10" s="54">
        <v>4298.39990234375</v>
      </c>
      <c r="P10" s="54">
        <v>4352.7998046875</v>
      </c>
      <c r="Q10" s="54">
        <v>4410.39990234375</v>
      </c>
      <c r="R10" s="54">
        <v>4484</v>
      </c>
      <c r="S10" s="54">
        <v>4552.7998046875</v>
      </c>
      <c r="T10" s="54">
        <v>4625.60009765625</v>
      </c>
      <c r="U10" s="54">
        <v>4693.60009765625</v>
      </c>
      <c r="V10" s="54">
        <v>4763.2001953125</v>
      </c>
      <c r="W10" s="54">
        <v>4829.60009765625</v>
      </c>
      <c r="X10" s="54">
        <v>4902.39990234375</v>
      </c>
      <c r="Y10" s="54">
        <v>4969.60009765625</v>
      </c>
      <c r="Z10" s="54">
        <v>5036</v>
      </c>
      <c r="AA10" s="54">
        <v>5093.60009765625</v>
      </c>
      <c r="AB10" s="54"/>
      <c r="AC10" s="54"/>
    </row>
    <row r="11" spans="1:29" s="761" customFormat="1">
      <c r="A11" s="54" t="s">
        <v>809</v>
      </c>
      <c r="B11" s="760" t="s">
        <v>760</v>
      </c>
      <c r="C11" s="761">
        <v>0</v>
      </c>
      <c r="D11" s="761">
        <v>0</v>
      </c>
      <c r="E11" s="761">
        <v>0</v>
      </c>
      <c r="F11" s="761">
        <v>0</v>
      </c>
      <c r="G11" s="761">
        <v>11.19998836517334</v>
      </c>
      <c r="H11" s="761">
        <v>22.39997673034668</v>
      </c>
      <c r="I11" s="761">
        <v>46.400032043457031</v>
      </c>
      <c r="J11" s="761">
        <v>70.400009155273438</v>
      </c>
      <c r="K11" s="761">
        <v>95.199981689453125</v>
      </c>
      <c r="L11" s="761">
        <v>120.0000381469727</v>
      </c>
      <c r="M11" s="761">
        <v>122.40003967285161</v>
      </c>
      <c r="N11" s="761">
        <v>124.0000381469727</v>
      </c>
      <c r="O11" s="761">
        <v>125.60003662109381</v>
      </c>
      <c r="P11" s="761">
        <v>127.2000350952148</v>
      </c>
      <c r="Q11" s="761">
        <v>129.60003662109381</v>
      </c>
      <c r="R11" s="761">
        <v>131.20002746582031</v>
      </c>
      <c r="S11" s="761">
        <v>133.60002136230469</v>
      </c>
      <c r="T11" s="761">
        <v>135.20002746582031</v>
      </c>
      <c r="U11" s="761">
        <v>137.60002136230469</v>
      </c>
      <c r="V11" s="761">
        <v>139.20002746582031</v>
      </c>
      <c r="W11" s="761">
        <v>141.60002136230469</v>
      </c>
      <c r="X11" s="761">
        <v>143.20001220703119</v>
      </c>
      <c r="Y11" s="761">
        <v>144.8000183105469</v>
      </c>
      <c r="Z11" s="761">
        <v>147.20001220703119</v>
      </c>
      <c r="AA11" s="761">
        <v>148.8000183105469</v>
      </c>
    </row>
    <row r="12" spans="1:29" s="761" customFormat="1">
      <c r="A12" s="761" t="s">
        <v>809</v>
      </c>
      <c r="B12" s="760" t="s">
        <v>761</v>
      </c>
      <c r="C12" s="761">
        <v>0</v>
      </c>
      <c r="D12" s="761">
        <v>0</v>
      </c>
      <c r="E12" s="761">
        <v>0</v>
      </c>
      <c r="F12" s="761">
        <v>0</v>
      </c>
      <c r="G12" s="761">
        <v>0</v>
      </c>
      <c r="H12" s="761">
        <v>0</v>
      </c>
      <c r="I12" s="761">
        <v>0</v>
      </c>
      <c r="J12" s="761">
        <v>0</v>
      </c>
      <c r="K12" s="761">
        <v>320.79998779296881</v>
      </c>
      <c r="L12" s="761">
        <v>648.79998779296875</v>
      </c>
      <c r="M12" s="761">
        <v>1312.799926757812</v>
      </c>
      <c r="N12" s="761">
        <v>1992</v>
      </c>
      <c r="O12" s="761">
        <v>2686.400146484375</v>
      </c>
      <c r="P12" s="761">
        <v>3396</v>
      </c>
      <c r="Q12" s="761">
        <v>3434.39990234375</v>
      </c>
      <c r="R12" s="761">
        <v>3472.800048828125</v>
      </c>
      <c r="S12" s="761">
        <v>3510.39990234375</v>
      </c>
      <c r="T12" s="761">
        <v>3548.800048828125</v>
      </c>
      <c r="U12" s="761">
        <v>3586.39990234375</v>
      </c>
      <c r="V12" s="761">
        <v>3624.800048828125</v>
      </c>
      <c r="W12" s="761">
        <v>3662.39990234375</v>
      </c>
      <c r="X12" s="761">
        <v>3700</v>
      </c>
      <c r="Y12" s="761">
        <v>3736</v>
      </c>
      <c r="Z12" s="761">
        <v>3772.800048828125</v>
      </c>
      <c r="AA12" s="761">
        <v>3808.800048828125</v>
      </c>
    </row>
    <row r="13" spans="1:29" s="761" customFormat="1">
      <c r="A13" s="761" t="s">
        <v>809</v>
      </c>
      <c r="B13" s="760" t="s">
        <v>762</v>
      </c>
      <c r="C13" s="761">
        <v>0</v>
      </c>
      <c r="D13" s="761">
        <v>0</v>
      </c>
      <c r="E13" s="761">
        <v>0</v>
      </c>
      <c r="F13" s="761">
        <v>0</v>
      </c>
      <c r="G13" s="761">
        <v>0</v>
      </c>
      <c r="H13" s="761">
        <v>0</v>
      </c>
      <c r="I13" s="761">
        <v>0</v>
      </c>
      <c r="J13" s="761">
        <v>3.9999959468841548</v>
      </c>
      <c r="K13" s="761">
        <v>12.79998683929443</v>
      </c>
      <c r="L13" s="761">
        <v>28.799970626831051</v>
      </c>
      <c r="M13" s="761">
        <v>53.600025177001953</v>
      </c>
      <c r="N13" s="761">
        <v>87.999992370605469</v>
      </c>
      <c r="O13" s="761">
        <v>112.7999649047852</v>
      </c>
      <c r="P13" s="761">
        <v>138.4000244140625</v>
      </c>
      <c r="Q13" s="761">
        <v>162.3999938964844</v>
      </c>
      <c r="R13" s="761">
        <v>184.79997253417969</v>
      </c>
      <c r="S13" s="761">
        <v>202.40003967285159</v>
      </c>
      <c r="T13" s="761">
        <v>215.20002746582031</v>
      </c>
      <c r="U13" s="761">
        <v>224.8000183105469</v>
      </c>
      <c r="V13" s="761">
        <v>230.40000915527341</v>
      </c>
      <c r="W13" s="761">
        <v>234.40000915527341</v>
      </c>
      <c r="X13" s="761">
        <v>237.6000061035156</v>
      </c>
      <c r="Y13" s="761">
        <v>240.79998779296881</v>
      </c>
      <c r="Z13" s="761">
        <v>243.19999694824219</v>
      </c>
      <c r="AA13" s="761">
        <v>245.59999084472659</v>
      </c>
    </row>
    <row r="14" spans="1:29" s="761" customFormat="1">
      <c r="A14" s="761" t="s">
        <v>809</v>
      </c>
      <c r="B14" s="760" t="s">
        <v>763</v>
      </c>
      <c r="C14" s="761">
        <v>0</v>
      </c>
      <c r="D14" s="761">
        <v>0</v>
      </c>
      <c r="E14" s="761">
        <v>0</v>
      </c>
      <c r="F14" s="761">
        <v>0</v>
      </c>
      <c r="G14" s="761">
        <v>0</v>
      </c>
      <c r="H14" s="761">
        <v>0</v>
      </c>
      <c r="I14" s="761">
        <v>0</v>
      </c>
      <c r="J14" s="761">
        <v>0</v>
      </c>
      <c r="K14" s="761">
        <v>0</v>
      </c>
      <c r="L14" s="761">
        <v>401.60000610351563</v>
      </c>
      <c r="M14" s="761">
        <v>757.5999755859375</v>
      </c>
      <c r="N14" s="761">
        <v>1421.599975585938</v>
      </c>
      <c r="O14" s="761">
        <v>1989.599975585938</v>
      </c>
      <c r="P14" s="761">
        <v>2456.800048828125</v>
      </c>
      <c r="Q14" s="761">
        <v>2819.199951171875</v>
      </c>
      <c r="R14" s="761">
        <v>2560.800048828125</v>
      </c>
      <c r="S14" s="761">
        <v>2296</v>
      </c>
      <c r="T14" s="761">
        <v>2024.799926757812</v>
      </c>
      <c r="U14" s="761">
        <v>1747.200073242188</v>
      </c>
      <c r="V14" s="761">
        <v>1463.199951171875</v>
      </c>
      <c r="W14" s="761">
        <v>1172.800048828125</v>
      </c>
      <c r="X14" s="761">
        <v>876</v>
      </c>
      <c r="Y14" s="761">
        <v>780.79998779296875</v>
      </c>
      <c r="Z14" s="761">
        <v>788.79998779296875</v>
      </c>
      <c r="AA14" s="761">
        <v>796</v>
      </c>
    </row>
    <row r="15" spans="1:29" s="761" customFormat="1">
      <c r="A15" s="761" t="s">
        <v>809</v>
      </c>
      <c r="B15" s="760" t="s">
        <v>764</v>
      </c>
      <c r="C15" s="761">
        <v>0</v>
      </c>
      <c r="D15" s="761">
        <v>0</v>
      </c>
      <c r="E15" s="761">
        <v>5256.00341796875</v>
      </c>
      <c r="F15" s="761">
        <v>16338.2412109375</v>
      </c>
      <c r="G15" s="761">
        <v>44676</v>
      </c>
      <c r="H15" s="761">
        <v>85410</v>
      </c>
      <c r="I15" s="761">
        <v>139021.203125</v>
      </c>
      <c r="J15" s="761">
        <v>206511.84375</v>
      </c>
      <c r="K15" s="761">
        <v>238710</v>
      </c>
      <c r="L15" s="761">
        <v>272173.1875</v>
      </c>
      <c r="M15" s="761">
        <v>306249.59375</v>
      </c>
      <c r="N15" s="761">
        <v>342048.96875</v>
      </c>
      <c r="O15" s="761">
        <v>376592.40625</v>
      </c>
      <c r="P15" s="761">
        <v>412683.59375</v>
      </c>
      <c r="Q15" s="761">
        <v>449475.59375</v>
      </c>
      <c r="R15" s="761">
        <v>466254.71875</v>
      </c>
      <c r="S15" s="761">
        <v>469623.59375</v>
      </c>
      <c r="T15" s="761">
        <v>474178.78125</v>
      </c>
      <c r="U15" s="761">
        <v>478734</v>
      </c>
      <c r="V15" s="761">
        <v>484525.4375</v>
      </c>
      <c r="W15" s="761">
        <v>487669.1875</v>
      </c>
      <c r="X15" s="761">
        <v>492136.78125</v>
      </c>
      <c r="Y15" s="761">
        <v>496516.78125</v>
      </c>
      <c r="Z15" s="761">
        <v>502269.125</v>
      </c>
      <c r="AA15" s="761">
        <v>505276.78125</v>
      </c>
    </row>
    <row r="16" spans="1:29">
      <c r="A16" s="761" t="s">
        <v>809</v>
      </c>
      <c r="B16" s="759" t="s">
        <v>765</v>
      </c>
      <c r="C16" s="54">
        <v>0</v>
      </c>
      <c r="D16" s="54">
        <v>0</v>
      </c>
      <c r="E16" s="54">
        <v>87.59991455078125</v>
      </c>
      <c r="F16" s="54">
        <v>263.51974487304688</v>
      </c>
      <c r="G16" s="54">
        <v>700.79931640625</v>
      </c>
      <c r="H16" s="54">
        <v>1313.998657226562</v>
      </c>
      <c r="I16" s="54">
        <v>2102.39794921875</v>
      </c>
      <c r="J16" s="54">
        <v>3162.23681640625</v>
      </c>
      <c r="K16" s="54">
        <v>3679.1962890625</v>
      </c>
      <c r="L16" s="54">
        <v>4204.7958984375</v>
      </c>
      <c r="M16" s="54">
        <v>4730.40380859375</v>
      </c>
      <c r="N16" s="54">
        <v>5270.4033203125</v>
      </c>
      <c r="O16" s="54">
        <v>5781.60302734375</v>
      </c>
      <c r="P16" s="54">
        <v>6394.80224609375</v>
      </c>
      <c r="Q16" s="54">
        <v>6920.40185546875</v>
      </c>
      <c r="R16" s="54">
        <v>7202.88134765625</v>
      </c>
      <c r="S16" s="54">
        <v>7270.80126953125</v>
      </c>
      <c r="T16" s="54">
        <v>7270.80126953125</v>
      </c>
      <c r="U16" s="54">
        <v>7358.4013671875</v>
      </c>
      <c r="V16" s="54">
        <v>7466.4013671875</v>
      </c>
      <c r="W16" s="54">
        <v>7533.60107421875</v>
      </c>
      <c r="X16" s="54">
        <v>7621.201171875</v>
      </c>
      <c r="Y16" s="54">
        <v>7621.201171875</v>
      </c>
      <c r="Z16" s="54">
        <v>7729.9208984375</v>
      </c>
      <c r="AA16" s="54">
        <v>7796.40087890625</v>
      </c>
      <c r="AB16" s="54"/>
      <c r="AC16" s="54"/>
    </row>
    <row r="17" spans="1:29">
      <c r="A17" s="54" t="s">
        <v>809</v>
      </c>
      <c r="B17" s="759" t="s">
        <v>766</v>
      </c>
      <c r="C17" s="54">
        <v>0</v>
      </c>
      <c r="D17" s="54">
        <v>0</v>
      </c>
      <c r="E17" s="54">
        <v>0</v>
      </c>
      <c r="F17" s="54">
        <v>0</v>
      </c>
      <c r="G17" s="54">
        <v>0</v>
      </c>
      <c r="H17" s="54">
        <v>0</v>
      </c>
      <c r="I17" s="54">
        <v>0</v>
      </c>
      <c r="J17" s="54">
        <v>0</v>
      </c>
      <c r="K17" s="54">
        <v>43.200035095214837</v>
      </c>
      <c r="L17" s="54">
        <v>87.999992370605469</v>
      </c>
      <c r="M17" s="54">
        <v>176.79998779296881</v>
      </c>
      <c r="N17" s="54">
        <v>267.99996948242188</v>
      </c>
      <c r="O17" s="54">
        <v>360.800048828125</v>
      </c>
      <c r="P17" s="54">
        <v>456.00003051757813</v>
      </c>
      <c r="Q17" s="54">
        <v>460.00003051757813</v>
      </c>
      <c r="R17" s="54">
        <v>464.80001831054688</v>
      </c>
      <c r="S17" s="54">
        <v>468.80001831054688</v>
      </c>
      <c r="T17" s="54">
        <v>473.60000610351563</v>
      </c>
      <c r="U17" s="54">
        <v>478.39999389648438</v>
      </c>
      <c r="V17" s="54">
        <v>482.39999389648438</v>
      </c>
      <c r="W17" s="54">
        <v>487.19998168945313</v>
      </c>
      <c r="X17" s="54">
        <v>491.19998168945313</v>
      </c>
      <c r="Y17" s="54">
        <v>495.99996948242188</v>
      </c>
      <c r="Z17" s="54">
        <v>499.99996948242188</v>
      </c>
      <c r="AA17" s="54">
        <v>503.99996948242188</v>
      </c>
      <c r="AB17" s="54"/>
      <c r="AC17" s="54"/>
    </row>
    <row r="18" spans="1:29">
      <c r="A18" s="54" t="s">
        <v>809</v>
      </c>
      <c r="B18" s="759" t="s">
        <v>767</v>
      </c>
      <c r="C18" s="54">
        <v>0</v>
      </c>
      <c r="D18" s="54">
        <v>0</v>
      </c>
      <c r="E18" s="54">
        <v>33.599967956542969</v>
      </c>
      <c r="F18" s="54">
        <v>67.20001220703125</v>
      </c>
      <c r="G18" s="54">
        <v>136.8000183105469</v>
      </c>
      <c r="H18" s="54">
        <v>206.40003967285159</v>
      </c>
      <c r="I18" s="54">
        <v>278.39996337890619</v>
      </c>
      <c r="J18" s="54">
        <v>351.19998168945313</v>
      </c>
      <c r="K18" s="54">
        <v>354.39996337890619</v>
      </c>
      <c r="L18" s="54">
        <v>358.39996337890619</v>
      </c>
      <c r="M18" s="54">
        <v>361.60003662109381</v>
      </c>
      <c r="N18" s="54">
        <v>364.800048828125</v>
      </c>
      <c r="O18" s="54">
        <v>368.80001831054688</v>
      </c>
      <c r="P18" s="54">
        <v>372.00003051757813</v>
      </c>
      <c r="Q18" s="54">
        <v>375.20001220703119</v>
      </c>
      <c r="R18" s="54">
        <v>378.4000244140625</v>
      </c>
      <c r="S18" s="54">
        <v>382.4000244140625</v>
      </c>
      <c r="T18" s="54">
        <v>385.60000610351563</v>
      </c>
      <c r="U18" s="54">
        <v>388.80001831054688</v>
      </c>
      <c r="V18" s="54">
        <v>392</v>
      </c>
      <c r="W18" s="54">
        <v>395.20001220703119</v>
      </c>
      <c r="X18" s="54">
        <v>398.39999389648438</v>
      </c>
      <c r="Y18" s="54">
        <v>402.39999389648438</v>
      </c>
      <c r="Z18" s="54">
        <v>405.60000610351563</v>
      </c>
      <c r="AA18" s="54">
        <v>408.79998779296881</v>
      </c>
      <c r="AB18" s="54"/>
      <c r="AC18" s="54"/>
    </row>
    <row r="19" spans="1:29">
      <c r="A19" s="54" t="s">
        <v>809</v>
      </c>
      <c r="B19" s="759" t="s">
        <v>768</v>
      </c>
      <c r="C19" s="54">
        <v>0</v>
      </c>
      <c r="D19" s="54">
        <v>0</v>
      </c>
      <c r="E19" s="54">
        <v>0</v>
      </c>
      <c r="F19" s="54">
        <v>0</v>
      </c>
      <c r="G19" s="54">
        <v>0</v>
      </c>
      <c r="H19" s="54">
        <v>0</v>
      </c>
      <c r="I19" s="54">
        <v>0</v>
      </c>
      <c r="J19" s="54">
        <v>0</v>
      </c>
      <c r="K19" s="54">
        <v>0</v>
      </c>
      <c r="L19" s="54">
        <v>0</v>
      </c>
      <c r="M19" s="54">
        <v>0</v>
      </c>
      <c r="N19" s="54">
        <v>0</v>
      </c>
      <c r="O19" s="54">
        <v>0</v>
      </c>
      <c r="P19" s="54">
        <v>18.399982452392582</v>
      </c>
      <c r="Q19" s="54">
        <v>37.599964141845703</v>
      </c>
      <c r="R19" s="54">
        <v>75.200004577636719</v>
      </c>
      <c r="S19" s="54">
        <v>113.599967956543</v>
      </c>
      <c r="T19" s="54">
        <v>152.80000305175781</v>
      </c>
      <c r="U19" s="54">
        <v>192.79997253417969</v>
      </c>
      <c r="V19" s="54">
        <v>194.39996337890619</v>
      </c>
      <c r="W19" s="54">
        <v>196.7999572753906</v>
      </c>
      <c r="X19" s="54">
        <v>199.19996643066409</v>
      </c>
      <c r="Y19" s="54">
        <v>200.80003356933591</v>
      </c>
      <c r="Z19" s="54">
        <v>202.40003967285159</v>
      </c>
      <c r="AA19" s="54">
        <v>204.80003356933591</v>
      </c>
      <c r="AB19" s="54"/>
      <c r="AC19" s="54"/>
    </row>
    <row r="20" spans="1:29">
      <c r="A20" s="54" t="s">
        <v>809</v>
      </c>
      <c r="B20" s="759" t="s">
        <v>769</v>
      </c>
      <c r="C20" s="54">
        <v>0</v>
      </c>
      <c r="D20" s="54">
        <v>0</v>
      </c>
      <c r="E20" s="54">
        <v>0</v>
      </c>
      <c r="F20" s="54">
        <v>0</v>
      </c>
      <c r="G20" s="54">
        <v>0</v>
      </c>
      <c r="H20" s="54">
        <v>0</v>
      </c>
      <c r="I20" s="54">
        <v>0</v>
      </c>
      <c r="J20" s="54">
        <v>0</v>
      </c>
      <c r="K20" s="54">
        <v>0</v>
      </c>
      <c r="L20" s="54">
        <v>0</v>
      </c>
      <c r="M20" s="54">
        <v>0</v>
      </c>
      <c r="N20" s="54">
        <v>0</v>
      </c>
      <c r="O20" s="54">
        <v>0</v>
      </c>
      <c r="P20" s="54">
        <v>19.199981689453121</v>
      </c>
      <c r="Q20" s="54">
        <v>38.39996337890625</v>
      </c>
      <c r="R20" s="54">
        <v>76.800003051757813</v>
      </c>
      <c r="S20" s="54">
        <v>115.9999618530273</v>
      </c>
      <c r="T20" s="54">
        <v>156.80000305175781</v>
      </c>
      <c r="U20" s="54">
        <v>197.59996032714841</v>
      </c>
      <c r="V20" s="54">
        <v>199.19996643066409</v>
      </c>
      <c r="W20" s="54">
        <v>201.60003662109381</v>
      </c>
      <c r="X20" s="54">
        <v>204.80003356933591</v>
      </c>
      <c r="Y20" s="54">
        <v>206.4000244140625</v>
      </c>
      <c r="Z20" s="54">
        <v>207.20002746582031</v>
      </c>
      <c r="AA20" s="54">
        <v>210.4000244140625</v>
      </c>
      <c r="AB20" s="54"/>
      <c r="AC20" s="54"/>
    </row>
    <row r="21" spans="1:29">
      <c r="A21" s="54" t="s">
        <v>809</v>
      </c>
      <c r="B21" s="759" t="s">
        <v>770</v>
      </c>
      <c r="C21" s="54">
        <v>0</v>
      </c>
      <c r="D21" s="54">
        <v>0</v>
      </c>
      <c r="E21" s="54">
        <v>0</v>
      </c>
      <c r="F21" s="54">
        <v>0</v>
      </c>
      <c r="G21" s="54">
        <v>7.9999918937683114</v>
      </c>
      <c r="H21" s="54">
        <v>16.799983978271481</v>
      </c>
      <c r="I21" s="54">
        <v>33.599967956542969</v>
      </c>
      <c r="J21" s="54">
        <v>51.200027465820313</v>
      </c>
      <c r="K21" s="54">
        <v>68.800010681152344</v>
      </c>
      <c r="L21" s="54">
        <v>86.399993896484375</v>
      </c>
      <c r="M21" s="54">
        <v>87.199989318847656</v>
      </c>
      <c r="N21" s="54">
        <v>88.79998779296875</v>
      </c>
      <c r="O21" s="54">
        <v>89.599990844726563</v>
      </c>
      <c r="P21" s="54">
        <v>90.399986267089844</v>
      </c>
      <c r="Q21" s="54">
        <v>91.199989318847656</v>
      </c>
      <c r="R21" s="54">
        <v>91.999984741210938</v>
      </c>
      <c r="S21" s="54">
        <v>93.599983215332031</v>
      </c>
      <c r="T21" s="54">
        <v>95.199981689453125</v>
      </c>
      <c r="U21" s="54">
        <v>95.999984741210938</v>
      </c>
      <c r="V21" s="54">
        <v>97.599983215332031</v>
      </c>
      <c r="W21" s="54">
        <v>98.399978637695313</v>
      </c>
      <c r="X21" s="54">
        <v>99.999977111816406</v>
      </c>
      <c r="Y21" s="54">
        <v>100.7999801635742</v>
      </c>
      <c r="Z21" s="54">
        <v>102.3999786376953</v>
      </c>
      <c r="AA21" s="54">
        <v>103.99997711181641</v>
      </c>
      <c r="AB21" s="54"/>
      <c r="AC21" s="54"/>
    </row>
    <row r="22" spans="1:29">
      <c r="A22" s="54" t="s">
        <v>809</v>
      </c>
      <c r="B22" s="759" t="s">
        <v>771</v>
      </c>
      <c r="C22" s="54">
        <v>0</v>
      </c>
      <c r="D22" s="54">
        <v>0</v>
      </c>
      <c r="E22" s="54">
        <v>0</v>
      </c>
      <c r="F22" s="54">
        <v>0</v>
      </c>
      <c r="G22" s="54">
        <v>0</v>
      </c>
      <c r="H22" s="54">
        <v>0</v>
      </c>
      <c r="I22" s="54">
        <v>0</v>
      </c>
      <c r="J22" s="54">
        <v>0</v>
      </c>
      <c r="K22" s="54">
        <v>0</v>
      </c>
      <c r="L22" s="54">
        <v>0</v>
      </c>
      <c r="M22" s="54">
        <v>102.3999786376953</v>
      </c>
      <c r="N22" s="54">
        <v>208.0000305175781</v>
      </c>
      <c r="O22" s="54">
        <v>317.60000610351563</v>
      </c>
      <c r="P22" s="54">
        <v>429.5999755859375</v>
      </c>
      <c r="Q22" s="54">
        <v>544.79998779296875</v>
      </c>
      <c r="R22" s="54">
        <v>552</v>
      </c>
      <c r="S22" s="54">
        <v>559.20001220703125</v>
      </c>
      <c r="T22" s="54">
        <v>567.20001220703125</v>
      </c>
      <c r="U22" s="54">
        <v>576</v>
      </c>
      <c r="V22" s="54">
        <v>584.79998779296875</v>
      </c>
      <c r="W22" s="54">
        <v>591.99993896484375</v>
      </c>
      <c r="X22" s="54">
        <v>600.00006103515625</v>
      </c>
      <c r="Y22" s="54">
        <v>609.60003662109375</v>
      </c>
      <c r="Z22" s="54">
        <v>619.20001220703125</v>
      </c>
      <c r="AA22" s="54">
        <v>628.79998779296875</v>
      </c>
      <c r="AB22" s="54"/>
      <c r="AC22" s="54"/>
    </row>
    <row r="24" spans="1:29" s="4" customFormat="1"/>
    <row r="25" spans="1:29">
      <c r="A25" s="7" t="s">
        <v>823</v>
      </c>
      <c r="B25" s="4"/>
      <c r="C25" s="4"/>
      <c r="D25" s="765">
        <f>SUM(D2:D7)</f>
        <v>66137.778930664063</v>
      </c>
      <c r="E25" s="765">
        <f t="shared" ref="E25:AA25" si="0">SUM(E2:E7)</f>
        <v>209431.60595703125</v>
      </c>
      <c r="F25" s="765">
        <f t="shared" si="0"/>
        <v>361154.17578125</v>
      </c>
      <c r="G25" s="765">
        <f t="shared" si="0"/>
        <v>516465.2099609375</v>
      </c>
      <c r="H25" s="765">
        <f t="shared" si="0"/>
        <v>678065.2529296875</v>
      </c>
      <c r="I25" s="765">
        <f t="shared" si="0"/>
        <v>846685.283203125</v>
      </c>
      <c r="J25" s="765">
        <f t="shared" si="0"/>
        <v>1025891.57421875</v>
      </c>
      <c r="K25" s="765">
        <f t="shared" si="0"/>
        <v>1202091.203125</v>
      </c>
      <c r="L25" s="765">
        <f t="shared" si="0"/>
        <v>1385831.85546875</v>
      </c>
      <c r="M25" s="765">
        <f t="shared" si="0"/>
        <v>1576304.234375</v>
      </c>
      <c r="N25" s="765">
        <f t="shared" si="0"/>
        <v>1717124.65625</v>
      </c>
      <c r="O25" s="765">
        <f t="shared" si="0"/>
        <v>1784761.015625</v>
      </c>
      <c r="P25" s="765">
        <f t="shared" si="0"/>
        <v>1860254.6953125</v>
      </c>
      <c r="Q25" s="765">
        <f t="shared" si="0"/>
        <v>1937950.41796875</v>
      </c>
      <c r="R25" s="765">
        <f t="shared" si="0"/>
        <v>2020181.7890625</v>
      </c>
      <c r="S25" s="765">
        <f t="shared" si="0"/>
        <v>2088747.5390625</v>
      </c>
      <c r="T25" s="765">
        <f t="shared" si="0"/>
        <v>2161147.32421875</v>
      </c>
      <c r="U25" s="765">
        <f t="shared" si="0"/>
        <v>2234020.484375</v>
      </c>
      <c r="V25" s="765">
        <f t="shared" si="0"/>
        <v>2307244.96875</v>
      </c>
      <c r="W25" s="765">
        <f t="shared" si="0"/>
        <v>2351786.765625</v>
      </c>
      <c r="X25" s="765">
        <f t="shared" si="0"/>
        <v>2395526.96484375</v>
      </c>
      <c r="Y25" s="765">
        <f t="shared" si="0"/>
        <v>2439341.82421875</v>
      </c>
      <c r="Z25" s="765">
        <f t="shared" si="0"/>
        <v>2491329.46484375</v>
      </c>
      <c r="AA25" s="765">
        <f t="shared" si="0"/>
        <v>2527087.09765625</v>
      </c>
    </row>
    <row r="26" spans="1:29" s="4" customFormat="1">
      <c r="A26" s="7"/>
    </row>
    <row r="27" spans="1:29" s="4" customFormat="1">
      <c r="B27" s="762"/>
      <c r="D27" s="764"/>
      <c r="E27" s="764"/>
      <c r="F27" s="764"/>
      <c r="G27" s="764"/>
      <c r="H27" s="764"/>
      <c r="I27" s="764"/>
      <c r="J27" s="764"/>
      <c r="K27" s="764"/>
      <c r="L27" s="764"/>
      <c r="M27" s="764"/>
      <c r="N27" s="764"/>
      <c r="O27" s="764"/>
      <c r="P27" s="764"/>
      <c r="Q27" s="764"/>
      <c r="R27" s="764"/>
      <c r="S27" s="764"/>
      <c r="T27" s="764"/>
      <c r="U27" s="764"/>
      <c r="V27" s="764"/>
      <c r="W27" s="764"/>
      <c r="X27" s="764"/>
      <c r="Y27" s="764"/>
      <c r="Z27" s="764"/>
      <c r="AA27" s="764"/>
    </row>
    <row r="28" spans="1:29" s="4" customFormat="1">
      <c r="B28" s="763"/>
      <c r="D28" s="764"/>
      <c r="E28" s="764"/>
      <c r="F28" s="764"/>
      <c r="G28" s="764"/>
      <c r="H28" s="764"/>
      <c r="I28" s="764"/>
      <c r="J28" s="764"/>
      <c r="K28" s="764"/>
      <c r="L28" s="764"/>
      <c r="M28" s="764"/>
      <c r="N28" s="764"/>
      <c r="O28" s="764"/>
      <c r="P28" s="764"/>
      <c r="Q28" s="764"/>
      <c r="R28" s="764"/>
      <c r="S28" s="764"/>
      <c r="T28" s="764"/>
      <c r="U28" s="764"/>
      <c r="V28" s="764"/>
      <c r="W28" s="764"/>
      <c r="X28" s="764"/>
      <c r="Y28" s="764"/>
      <c r="Z28" s="764"/>
      <c r="AA28" s="764"/>
    </row>
    <row r="29" spans="1:29" s="4" customFormat="1">
      <c r="B29" s="763"/>
      <c r="D29" s="764"/>
      <c r="E29" s="764"/>
      <c r="F29" s="764"/>
      <c r="G29" s="764"/>
      <c r="H29" s="764"/>
      <c r="I29" s="764"/>
      <c r="J29" s="764"/>
      <c r="K29" s="764"/>
      <c r="L29" s="764"/>
      <c r="M29" s="764"/>
      <c r="N29" s="764"/>
      <c r="O29" s="764"/>
      <c r="P29" s="764"/>
      <c r="Q29" s="764"/>
      <c r="R29" s="764"/>
      <c r="S29" s="764"/>
      <c r="T29" s="764"/>
      <c r="U29" s="764"/>
      <c r="V29" s="764"/>
      <c r="W29" s="764"/>
      <c r="X29" s="764"/>
      <c r="Y29" s="764"/>
      <c r="Z29" s="764"/>
      <c r="AA29" s="764"/>
    </row>
    <row r="30" spans="1:29" s="4" customFormat="1">
      <c r="B30" s="763"/>
      <c r="D30" s="764"/>
      <c r="E30" s="764"/>
      <c r="F30" s="764"/>
      <c r="G30" s="764"/>
      <c r="H30" s="764"/>
      <c r="I30" s="764"/>
      <c r="J30" s="764"/>
      <c r="K30" s="764"/>
      <c r="L30" s="764"/>
      <c r="M30" s="764"/>
      <c r="N30" s="764"/>
      <c r="O30" s="764"/>
      <c r="P30" s="764"/>
      <c r="Q30" s="764"/>
      <c r="R30" s="764"/>
      <c r="S30" s="764"/>
      <c r="T30" s="764"/>
      <c r="U30" s="764"/>
      <c r="V30" s="764"/>
      <c r="W30" s="764"/>
      <c r="X30" s="764"/>
      <c r="Y30" s="764"/>
      <c r="Z30" s="764"/>
      <c r="AA30" s="764"/>
    </row>
    <row r="31" spans="1:29" s="4" customFormat="1">
      <c r="B31" s="763"/>
      <c r="D31" s="764"/>
      <c r="E31" s="764"/>
      <c r="F31" s="764"/>
      <c r="G31" s="764"/>
      <c r="H31" s="764"/>
      <c r="I31" s="764"/>
      <c r="J31" s="764"/>
      <c r="K31" s="764"/>
      <c r="L31" s="764"/>
      <c r="M31" s="764"/>
      <c r="N31" s="764"/>
      <c r="O31" s="764"/>
      <c r="P31" s="764"/>
      <c r="Q31" s="764"/>
      <c r="R31" s="764"/>
      <c r="S31" s="764"/>
      <c r="T31" s="764"/>
      <c r="U31" s="764"/>
      <c r="V31" s="764"/>
      <c r="W31" s="764"/>
      <c r="X31" s="764"/>
      <c r="Y31" s="764"/>
      <c r="Z31" s="764"/>
      <c r="AA31" s="764"/>
    </row>
    <row r="32" spans="1:29" s="4" customFormat="1">
      <c r="B32" s="763"/>
      <c r="D32" s="764"/>
      <c r="E32" s="764"/>
      <c r="F32" s="764"/>
      <c r="G32" s="764"/>
      <c r="H32" s="764"/>
      <c r="I32" s="764"/>
      <c r="J32" s="764"/>
      <c r="K32" s="764"/>
      <c r="L32" s="764"/>
      <c r="M32" s="764"/>
      <c r="N32" s="764"/>
      <c r="O32" s="764"/>
      <c r="P32" s="764"/>
      <c r="Q32" s="764"/>
      <c r="R32" s="764"/>
      <c r="S32" s="764"/>
      <c r="T32" s="764"/>
      <c r="U32" s="764"/>
      <c r="V32" s="764"/>
      <c r="W32" s="764"/>
      <c r="X32" s="764"/>
      <c r="Y32" s="764"/>
      <c r="Z32" s="764"/>
      <c r="AA32" s="764"/>
    </row>
    <row r="33" spans="2:27" s="4" customFormat="1">
      <c r="B33" s="762"/>
      <c r="D33" s="764"/>
      <c r="E33" s="764"/>
      <c r="F33" s="764"/>
      <c r="G33" s="764"/>
      <c r="H33" s="764"/>
      <c r="I33" s="764"/>
      <c r="J33" s="764"/>
      <c r="K33" s="764"/>
      <c r="L33" s="764"/>
      <c r="M33" s="764"/>
      <c r="N33" s="764"/>
      <c r="O33" s="764"/>
      <c r="P33" s="764"/>
      <c r="Q33" s="764"/>
      <c r="R33" s="764"/>
      <c r="S33" s="764"/>
      <c r="T33" s="764"/>
      <c r="U33" s="764"/>
      <c r="V33" s="764"/>
      <c r="W33" s="764"/>
      <c r="X33" s="764"/>
      <c r="Y33" s="764"/>
      <c r="Z33" s="764"/>
      <c r="AA33" s="764"/>
    </row>
    <row r="34" spans="2:27" s="4" customFormat="1">
      <c r="B34" s="762"/>
      <c r="D34" s="764"/>
      <c r="E34" s="764"/>
      <c r="F34" s="764"/>
      <c r="G34" s="764"/>
      <c r="H34" s="764"/>
      <c r="I34" s="764"/>
      <c r="J34" s="764"/>
      <c r="K34" s="764"/>
      <c r="L34" s="764"/>
      <c r="M34" s="764"/>
      <c r="N34" s="764"/>
      <c r="O34" s="764"/>
      <c r="P34" s="764"/>
      <c r="Q34" s="764"/>
      <c r="R34" s="764"/>
      <c r="S34" s="764"/>
      <c r="T34" s="764"/>
      <c r="U34" s="764"/>
      <c r="V34" s="764"/>
      <c r="W34" s="764"/>
      <c r="X34" s="764"/>
      <c r="Y34" s="764"/>
      <c r="Z34" s="764"/>
      <c r="AA34" s="764"/>
    </row>
    <row r="35" spans="2:27" s="4" customFormat="1">
      <c r="B35" s="762"/>
      <c r="D35" s="764"/>
      <c r="E35" s="764"/>
      <c r="F35" s="764"/>
      <c r="G35" s="764"/>
      <c r="H35" s="764"/>
      <c r="I35" s="764"/>
      <c r="J35" s="764"/>
      <c r="K35" s="764"/>
      <c r="L35" s="764"/>
      <c r="M35" s="764"/>
      <c r="N35" s="764"/>
      <c r="O35" s="764"/>
      <c r="P35" s="764"/>
      <c r="Q35" s="764"/>
      <c r="R35" s="764"/>
      <c r="S35" s="764"/>
      <c r="T35" s="764"/>
      <c r="U35" s="764"/>
      <c r="V35" s="764"/>
      <c r="W35" s="764"/>
      <c r="X35" s="764"/>
      <c r="Y35" s="764"/>
      <c r="Z35" s="764"/>
      <c r="AA35" s="764"/>
    </row>
    <row r="36" spans="2:27" s="4" customFormat="1">
      <c r="B36" s="762"/>
      <c r="D36" s="764"/>
      <c r="E36" s="764"/>
      <c r="F36" s="764"/>
      <c r="G36" s="764"/>
      <c r="H36" s="764"/>
      <c r="I36" s="764"/>
      <c r="J36" s="764"/>
      <c r="K36" s="764"/>
      <c r="L36" s="764"/>
      <c r="M36" s="764"/>
      <c r="N36" s="764"/>
      <c r="O36" s="764"/>
      <c r="P36" s="764"/>
      <c r="Q36" s="764"/>
      <c r="R36" s="764"/>
      <c r="S36" s="764"/>
      <c r="T36" s="764"/>
      <c r="U36" s="764"/>
      <c r="V36" s="764"/>
      <c r="W36" s="764"/>
      <c r="X36" s="764"/>
      <c r="Y36" s="764"/>
      <c r="Z36" s="764"/>
      <c r="AA36" s="764"/>
    </row>
    <row r="37" spans="2:27" s="4" customFormat="1">
      <c r="B37" s="762"/>
      <c r="D37" s="764"/>
      <c r="E37" s="764"/>
      <c r="F37" s="764"/>
      <c r="G37" s="764"/>
      <c r="H37" s="764"/>
      <c r="I37" s="764"/>
      <c r="J37" s="764"/>
      <c r="K37" s="764"/>
      <c r="L37" s="764"/>
      <c r="M37" s="764"/>
      <c r="N37" s="764"/>
      <c r="O37" s="764"/>
      <c r="P37" s="764"/>
      <c r="Q37" s="764"/>
      <c r="R37" s="764"/>
      <c r="S37" s="764"/>
      <c r="T37" s="764"/>
      <c r="U37" s="764"/>
      <c r="V37" s="764"/>
      <c r="W37" s="764"/>
      <c r="X37" s="764"/>
      <c r="Y37" s="764"/>
      <c r="Z37" s="764"/>
      <c r="AA37" s="764"/>
    </row>
    <row r="38" spans="2:27" s="4" customFormat="1">
      <c r="B38" s="762"/>
      <c r="D38" s="764"/>
      <c r="E38" s="764"/>
      <c r="F38" s="764"/>
      <c r="G38" s="764"/>
      <c r="H38" s="764"/>
      <c r="I38" s="764"/>
      <c r="J38" s="764"/>
      <c r="K38" s="764"/>
      <c r="L38" s="764"/>
      <c r="M38" s="764"/>
      <c r="N38" s="764"/>
      <c r="O38" s="764"/>
      <c r="P38" s="764"/>
      <c r="Q38" s="764"/>
      <c r="R38" s="764"/>
      <c r="S38" s="764"/>
      <c r="T38" s="764"/>
      <c r="U38" s="764"/>
      <c r="V38" s="764"/>
      <c r="W38" s="764"/>
      <c r="X38" s="764"/>
      <c r="Y38" s="764"/>
      <c r="Z38" s="764"/>
      <c r="AA38" s="764"/>
    </row>
    <row r="39" spans="2:27" s="4" customFormat="1">
      <c r="B39" s="762"/>
      <c r="D39" s="764"/>
      <c r="E39" s="764"/>
      <c r="F39" s="764"/>
      <c r="G39" s="764"/>
      <c r="H39" s="764"/>
      <c r="I39" s="764"/>
      <c r="J39" s="764"/>
      <c r="K39" s="764"/>
      <c r="L39" s="764"/>
      <c r="M39" s="764"/>
      <c r="N39" s="764"/>
      <c r="O39" s="764"/>
      <c r="P39" s="764"/>
      <c r="Q39" s="764"/>
      <c r="R39" s="764"/>
      <c r="S39" s="764"/>
      <c r="T39" s="764"/>
      <c r="U39" s="764"/>
      <c r="V39" s="764"/>
      <c r="W39" s="764"/>
      <c r="X39" s="764"/>
      <c r="Y39" s="764"/>
      <c r="Z39" s="764"/>
      <c r="AA39" s="764"/>
    </row>
  </sheetData>
  <pageMargins left="0.7" right="0.7" top="0.75" bottom="0.75" header="0.3" footer="0.3"/>
  <pageSetup orientation="portrait" horizontalDpi="1200" verticalDpi="1200" r:id="rId1"/>
  <headerFooter>
    <oddHeader>&amp;LAppendix E-2: Incremental Cost Calculation&amp;RClean Energy Implementation Plan</oddHeader>
    <oddFooter>&amp;LDECEMBER 17, 2021&amp;C&amp;P of &amp;N&amp;RPuget Sound Energy</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47"/>
  <sheetViews>
    <sheetView tabSelected="1" workbookViewId="0">
      <selection activeCell="E17" sqref="E17"/>
    </sheetView>
  </sheetViews>
  <sheetFormatPr defaultRowHeight="15"/>
  <cols>
    <col min="1" max="1" width="29.5703125" bestFit="1" customWidth="1"/>
    <col min="2" max="2" width="63.5703125" bestFit="1" customWidth="1"/>
    <col min="4" max="4" width="10.140625" bestFit="1" customWidth="1"/>
    <col min="5" max="7" width="11.140625" bestFit="1" customWidth="1"/>
    <col min="8" max="29" width="12.5703125" bestFit="1" customWidth="1"/>
  </cols>
  <sheetData>
    <row r="2" spans="1:29">
      <c r="B2" s="759"/>
      <c r="C2" s="759" t="s">
        <v>773</v>
      </c>
      <c r="D2" s="759" t="s">
        <v>774</v>
      </c>
      <c r="E2" s="759" t="s">
        <v>775</v>
      </c>
      <c r="F2" s="759" t="s">
        <v>776</v>
      </c>
      <c r="G2" s="759" t="s">
        <v>777</v>
      </c>
      <c r="H2" s="759" t="s">
        <v>778</v>
      </c>
      <c r="I2" s="759" t="s">
        <v>779</v>
      </c>
      <c r="J2" s="759" t="s">
        <v>780</v>
      </c>
      <c r="K2" s="759" t="s">
        <v>781</v>
      </c>
      <c r="L2" s="759" t="s">
        <v>782</v>
      </c>
      <c r="M2" s="759" t="s">
        <v>783</v>
      </c>
      <c r="N2" s="759" t="s">
        <v>784</v>
      </c>
      <c r="O2" s="759" t="s">
        <v>785</v>
      </c>
      <c r="P2" s="759" t="s">
        <v>786</v>
      </c>
      <c r="Q2" s="759" t="s">
        <v>787</v>
      </c>
      <c r="R2" s="759" t="s">
        <v>788</v>
      </c>
      <c r="S2" s="759" t="s">
        <v>789</v>
      </c>
      <c r="T2" s="759" t="s">
        <v>790</v>
      </c>
      <c r="U2" s="759" t="s">
        <v>791</v>
      </c>
      <c r="V2" s="759" t="s">
        <v>792</v>
      </c>
      <c r="W2" s="759" t="s">
        <v>793</v>
      </c>
      <c r="X2" s="759" t="s">
        <v>794</v>
      </c>
      <c r="Y2" s="759" t="s">
        <v>795</v>
      </c>
      <c r="Z2" s="759" t="s">
        <v>796</v>
      </c>
      <c r="AA2" s="759" t="s">
        <v>797</v>
      </c>
      <c r="AB2" s="759" t="s">
        <v>798</v>
      </c>
      <c r="AC2" s="759" t="s">
        <v>799</v>
      </c>
    </row>
    <row r="3" spans="1:29">
      <c r="B3" s="759" t="s">
        <v>810</v>
      </c>
      <c r="C3" s="54"/>
      <c r="D3" s="54"/>
      <c r="E3" s="54"/>
      <c r="F3" s="54"/>
      <c r="G3" s="54"/>
      <c r="H3" s="54"/>
      <c r="I3" s="54"/>
      <c r="J3" s="54"/>
      <c r="K3" s="54"/>
      <c r="L3" s="54"/>
      <c r="M3" s="54"/>
      <c r="N3" s="54"/>
      <c r="O3" s="54"/>
      <c r="P3" s="54"/>
      <c r="Q3" s="54"/>
      <c r="R3" s="54"/>
      <c r="S3" s="54"/>
      <c r="T3" s="54"/>
      <c r="U3" s="54"/>
      <c r="V3" s="54"/>
      <c r="W3" s="54"/>
      <c r="X3" s="54"/>
      <c r="Y3" s="54"/>
      <c r="Z3" s="54"/>
      <c r="AA3" s="54"/>
      <c r="AB3" s="54"/>
      <c r="AC3" s="54"/>
    </row>
    <row r="4" spans="1:29">
      <c r="A4" t="s">
        <v>695</v>
      </c>
      <c r="B4" s="759" t="s">
        <v>811</v>
      </c>
      <c r="C4" s="54">
        <v>0</v>
      </c>
      <c r="D4" s="54">
        <v>32506.177734375</v>
      </c>
      <c r="E4" s="54">
        <v>102649.53125</v>
      </c>
      <c r="F4" s="54">
        <v>176807.046875</v>
      </c>
      <c r="G4" s="54">
        <v>252927.46875</v>
      </c>
      <c r="H4" s="54">
        <v>331929.34375</v>
      </c>
      <c r="I4" s="54">
        <v>413811.46875</v>
      </c>
      <c r="J4" s="54">
        <v>499690.5</v>
      </c>
      <c r="K4" s="54">
        <v>583173.3125</v>
      </c>
      <c r="L4" s="54">
        <v>669408.75</v>
      </c>
      <c r="M4" s="54">
        <v>758600.4375</v>
      </c>
      <c r="N4" s="54">
        <v>823955.6875</v>
      </c>
      <c r="O4" s="54">
        <v>854710.8125</v>
      </c>
      <c r="P4" s="54">
        <v>889438.0625</v>
      </c>
      <c r="Q4" s="54">
        <v>924625.3125</v>
      </c>
      <c r="R4" s="54">
        <v>961771.625</v>
      </c>
      <c r="S4" s="54">
        <v>994153.5</v>
      </c>
      <c r="T4" s="54">
        <v>1028737.375</v>
      </c>
      <c r="U4" s="54">
        <v>1064535.75</v>
      </c>
      <c r="V4" s="54">
        <v>1099885.5</v>
      </c>
      <c r="W4" s="54">
        <v>1123330.75</v>
      </c>
      <c r="X4" s="54">
        <v>1148018.75</v>
      </c>
      <c r="Y4" s="54">
        <v>1171784.125</v>
      </c>
      <c r="Z4" s="54">
        <v>1198071.125</v>
      </c>
      <c r="AA4" s="54">
        <v>1216759</v>
      </c>
      <c r="AB4" s="54">
        <v>1215610</v>
      </c>
      <c r="AC4" s="54">
        <v>1215472.875</v>
      </c>
    </row>
    <row r="5" spans="1:29">
      <c r="A5" t="s">
        <v>695</v>
      </c>
      <c r="B5" s="759" t="s">
        <v>812</v>
      </c>
      <c r="C5" s="54">
        <v>0</v>
      </c>
      <c r="D5" s="54">
        <v>15755.0146484375</v>
      </c>
      <c r="E5" s="54">
        <v>50121.83984375</v>
      </c>
      <c r="F5" s="54">
        <v>87015.7109375</v>
      </c>
      <c r="G5" s="54">
        <v>124532.984375</v>
      </c>
      <c r="H5" s="54">
        <v>163362.3125</v>
      </c>
      <c r="I5" s="54">
        <v>204092.453125</v>
      </c>
      <c r="J5" s="54">
        <v>247741.1875</v>
      </c>
      <c r="K5" s="54">
        <v>290223.46875</v>
      </c>
      <c r="L5" s="54">
        <v>334242.46875</v>
      </c>
      <c r="M5" s="54">
        <v>379450.5625</v>
      </c>
      <c r="N5" s="54">
        <v>411655.28125</v>
      </c>
      <c r="O5" s="54">
        <v>425284.15625</v>
      </c>
      <c r="P5" s="54">
        <v>440458.1875</v>
      </c>
      <c r="Q5" s="54">
        <v>456551.5625</v>
      </c>
      <c r="R5" s="54">
        <v>473584.5625</v>
      </c>
      <c r="S5" s="54">
        <v>485385.71875</v>
      </c>
      <c r="T5" s="54">
        <v>498574.1875</v>
      </c>
      <c r="U5" s="54">
        <v>511232.78125</v>
      </c>
      <c r="V5" s="54">
        <v>523985.25</v>
      </c>
      <c r="W5" s="54">
        <v>531422.8125</v>
      </c>
      <c r="X5" s="54">
        <v>539374.75</v>
      </c>
      <c r="Y5" s="54">
        <v>548068.6875</v>
      </c>
      <c r="Z5" s="54">
        <v>561944.1875</v>
      </c>
      <c r="AA5" s="54">
        <v>568995.3125</v>
      </c>
      <c r="AB5" s="54">
        <v>567614.0625</v>
      </c>
      <c r="AC5" s="54">
        <v>567483.75</v>
      </c>
    </row>
    <row r="6" spans="1:29">
      <c r="A6" t="s">
        <v>695</v>
      </c>
      <c r="B6" s="759" t="s">
        <v>813</v>
      </c>
      <c r="C6" s="54">
        <v>0</v>
      </c>
      <c r="D6" s="54">
        <v>10010.9462890625</v>
      </c>
      <c r="E6" s="54">
        <v>31631.96875</v>
      </c>
      <c r="F6" s="54">
        <v>53506.61328125</v>
      </c>
      <c r="G6" s="54">
        <v>75045.4765625</v>
      </c>
      <c r="H6" s="54">
        <v>96737.0078125</v>
      </c>
      <c r="I6" s="54">
        <v>118426.4765625</v>
      </c>
      <c r="J6" s="54">
        <v>140439.25</v>
      </c>
      <c r="K6" s="54">
        <v>161965.8125</v>
      </c>
      <c r="L6" s="54">
        <v>183719.46875</v>
      </c>
      <c r="M6" s="54">
        <v>205395.421875</v>
      </c>
      <c r="N6" s="54">
        <v>218063.390625</v>
      </c>
      <c r="O6" s="54">
        <v>218244.015625</v>
      </c>
      <c r="P6" s="54">
        <v>219304.84375</v>
      </c>
      <c r="Q6" s="54">
        <v>220581.359375</v>
      </c>
      <c r="R6" s="54">
        <v>222338.140625</v>
      </c>
      <c r="S6" s="54">
        <v>222363.859375</v>
      </c>
      <c r="T6" s="54">
        <v>222680.40625</v>
      </c>
      <c r="U6" s="54">
        <v>222897.421875</v>
      </c>
      <c r="V6" s="54">
        <v>224117.21875</v>
      </c>
      <c r="W6" s="54">
        <v>223864.921875</v>
      </c>
      <c r="X6" s="54">
        <v>224006.578125</v>
      </c>
      <c r="Y6" s="54">
        <v>224127.125</v>
      </c>
      <c r="Z6" s="54">
        <v>224284.40625</v>
      </c>
      <c r="AA6" s="54">
        <v>223585.1875</v>
      </c>
      <c r="AB6" s="54">
        <v>223373.859375</v>
      </c>
      <c r="AC6" s="54">
        <v>223182.828125</v>
      </c>
    </row>
    <row r="7" spans="1:29">
      <c r="A7" t="s">
        <v>695</v>
      </c>
      <c r="B7" s="759" t="s">
        <v>814</v>
      </c>
      <c r="C7" s="54">
        <v>0</v>
      </c>
      <c r="D7" s="54">
        <v>1878.33203125</v>
      </c>
      <c r="E7" s="54">
        <v>6502.76806640625</v>
      </c>
      <c r="F7" s="54">
        <v>12395.5830078125</v>
      </c>
      <c r="G7" s="54">
        <v>19618.06640625</v>
      </c>
      <c r="H7" s="54">
        <v>28426.232421875</v>
      </c>
      <c r="I7" s="54">
        <v>39012.1171875</v>
      </c>
      <c r="J7" s="54">
        <v>51867.0234375</v>
      </c>
      <c r="K7" s="54">
        <v>66416.5078125</v>
      </c>
      <c r="L7" s="54">
        <v>83214.375</v>
      </c>
      <c r="M7" s="54">
        <v>102006.3125</v>
      </c>
      <c r="N7" s="54">
        <v>121565.2265625</v>
      </c>
      <c r="O7" s="54">
        <v>140503.125</v>
      </c>
      <c r="P7" s="54">
        <v>160187.296875</v>
      </c>
      <c r="Q7" s="54">
        <v>179692.53125</v>
      </c>
      <c r="R7" s="54">
        <v>199268.515625</v>
      </c>
      <c r="S7" s="54">
        <v>216863.296875</v>
      </c>
      <c r="T7" s="54">
        <v>235084.75</v>
      </c>
      <c r="U7" s="54">
        <v>255024.421875</v>
      </c>
      <c r="V7" s="54">
        <v>272286.46875</v>
      </c>
      <c r="W7" s="54">
        <v>280772.4375</v>
      </c>
      <c r="X7" s="54">
        <v>282394.40625</v>
      </c>
      <c r="Y7" s="54">
        <v>283160.4375</v>
      </c>
      <c r="Z7" s="54">
        <v>284099.4375</v>
      </c>
      <c r="AA7" s="54">
        <v>283289.59375</v>
      </c>
      <c r="AB7" s="54">
        <v>283243.3125</v>
      </c>
      <c r="AC7" s="54">
        <v>283105.34375</v>
      </c>
    </row>
    <row r="8" spans="1:29">
      <c r="A8" t="s">
        <v>695</v>
      </c>
      <c r="B8" s="759" t="s">
        <v>815</v>
      </c>
      <c r="C8" s="54">
        <v>0</v>
      </c>
      <c r="D8" s="54">
        <v>4409.71728515625</v>
      </c>
      <c r="E8" s="54">
        <v>13573.06640625</v>
      </c>
      <c r="F8" s="54">
        <v>23033.984375</v>
      </c>
      <c r="G8" s="54">
        <v>32611.32421875</v>
      </c>
      <c r="H8" s="54">
        <v>42564.5625</v>
      </c>
      <c r="I8" s="54">
        <v>52925.44921875</v>
      </c>
      <c r="J8" s="54">
        <v>64173.26171875</v>
      </c>
      <c r="K8" s="54">
        <v>75004.265625</v>
      </c>
      <c r="L8" s="54">
        <v>86534.6171875</v>
      </c>
      <c r="M8" s="54">
        <v>98615.65625</v>
      </c>
      <c r="N8" s="54">
        <v>107352.1640625</v>
      </c>
      <c r="O8" s="54">
        <v>111242.1875</v>
      </c>
      <c r="P8" s="54">
        <v>115632.4921875</v>
      </c>
      <c r="Q8" s="54">
        <v>120310.1171875</v>
      </c>
      <c r="R8" s="54">
        <v>125540.25</v>
      </c>
      <c r="S8" s="54">
        <v>129594.265625</v>
      </c>
      <c r="T8" s="54">
        <v>134331.109375</v>
      </c>
      <c r="U8" s="54">
        <v>139869.28125</v>
      </c>
      <c r="V8" s="54">
        <v>145274.890625</v>
      </c>
      <c r="W8" s="54">
        <v>148978.0625</v>
      </c>
      <c r="X8" s="54">
        <v>153410.65625</v>
      </c>
      <c r="Y8" s="54">
        <v>157339</v>
      </c>
      <c r="Z8" s="54">
        <v>161977.078125</v>
      </c>
      <c r="AA8" s="54">
        <v>165299.234375</v>
      </c>
      <c r="AB8" s="54">
        <v>165066.046875</v>
      </c>
      <c r="AC8" s="54">
        <v>165193.546875</v>
      </c>
    </row>
    <row r="9" spans="1:29">
      <c r="A9" t="s">
        <v>695</v>
      </c>
      <c r="B9" s="759" t="s">
        <v>816</v>
      </c>
      <c r="C9" s="54">
        <v>0</v>
      </c>
      <c r="D9" s="54">
        <v>1577.590942382812</v>
      </c>
      <c r="E9" s="54">
        <v>4952.431640625</v>
      </c>
      <c r="F9" s="54">
        <v>8395.2373046875</v>
      </c>
      <c r="G9" s="54">
        <v>11729.8896484375</v>
      </c>
      <c r="H9" s="54">
        <v>15045.7939453125</v>
      </c>
      <c r="I9" s="54">
        <v>18417.287109375</v>
      </c>
      <c r="J9" s="54">
        <v>21980.3203125</v>
      </c>
      <c r="K9" s="54">
        <v>25307.8359375</v>
      </c>
      <c r="L9" s="54">
        <v>28712.11328125</v>
      </c>
      <c r="M9" s="54">
        <v>32235.78125</v>
      </c>
      <c r="N9" s="54">
        <v>34462.67578125</v>
      </c>
      <c r="O9" s="54">
        <v>34776.54296875</v>
      </c>
      <c r="P9" s="54">
        <v>35204.76171875</v>
      </c>
      <c r="Q9" s="54">
        <v>35785.80078125</v>
      </c>
      <c r="R9" s="54">
        <v>36519.97265625</v>
      </c>
      <c r="S9" s="54">
        <v>36887.86328125</v>
      </c>
      <c r="T9" s="54">
        <v>37258.30078125</v>
      </c>
      <c r="U9" s="54">
        <v>37938.33984375</v>
      </c>
      <c r="V9" s="54">
        <v>38635.40234375</v>
      </c>
      <c r="W9" s="54">
        <v>38948.0546875</v>
      </c>
      <c r="X9" s="54">
        <v>39170.6875</v>
      </c>
      <c r="Y9" s="54">
        <v>39516.61328125</v>
      </c>
      <c r="Z9" s="54">
        <v>40071.55078125</v>
      </c>
      <c r="AA9" s="54">
        <v>40675.546875</v>
      </c>
      <c r="AB9" s="54">
        <v>40621.80078125</v>
      </c>
      <c r="AC9" s="54">
        <v>40587.5390625</v>
      </c>
    </row>
    <row r="10" spans="1:29">
      <c r="A10" t="s">
        <v>695</v>
      </c>
      <c r="B10" s="759" t="s">
        <v>817</v>
      </c>
      <c r="C10" s="54">
        <v>0</v>
      </c>
      <c r="D10" s="54">
        <v>5376.98291015625</v>
      </c>
      <c r="E10" s="54">
        <v>17901.78125</v>
      </c>
      <c r="F10" s="54">
        <v>32892.89453125</v>
      </c>
      <c r="G10" s="54">
        <v>49712.75390625</v>
      </c>
      <c r="H10" s="54">
        <v>68717.8359375</v>
      </c>
      <c r="I10" s="54">
        <v>90276.875</v>
      </c>
      <c r="J10" s="54">
        <v>114838.5859375</v>
      </c>
      <c r="K10" s="54">
        <v>140196.8125</v>
      </c>
      <c r="L10" s="54">
        <v>167556.21875</v>
      </c>
      <c r="M10" s="54">
        <v>197076.671875</v>
      </c>
      <c r="N10" s="54">
        <v>224180.28125</v>
      </c>
      <c r="O10" s="54">
        <v>245731.921875</v>
      </c>
      <c r="P10" s="54">
        <v>268175.9375</v>
      </c>
      <c r="Q10" s="54">
        <v>292155.75</v>
      </c>
      <c r="R10" s="54">
        <v>316594.25</v>
      </c>
      <c r="S10" s="54">
        <v>337137.5625</v>
      </c>
      <c r="T10" s="54">
        <v>359925.1875</v>
      </c>
      <c r="U10" s="54">
        <v>384785.96875</v>
      </c>
      <c r="V10" s="54">
        <v>406400.21875</v>
      </c>
      <c r="W10" s="54">
        <v>419902</v>
      </c>
      <c r="X10" s="54">
        <v>430680.1875</v>
      </c>
      <c r="Y10" s="54">
        <v>438112.6875</v>
      </c>
      <c r="Z10" s="54">
        <v>447371.40625</v>
      </c>
      <c r="AA10" s="54">
        <v>454337.8125</v>
      </c>
      <c r="AB10" s="54">
        <v>453655.78125</v>
      </c>
      <c r="AC10" s="54">
        <v>453776.1875</v>
      </c>
    </row>
    <row r="11" spans="1:29">
      <c r="A11" t="s">
        <v>695</v>
      </c>
      <c r="B11" s="759" t="s">
        <v>818</v>
      </c>
      <c r="C11" s="54">
        <v>0</v>
      </c>
      <c r="D11" s="54">
        <v>4061.790771484375</v>
      </c>
      <c r="E11" s="54">
        <v>14154.84765625</v>
      </c>
      <c r="F11" s="54">
        <v>26649.287109375</v>
      </c>
      <c r="G11" s="54">
        <v>39977.51171875</v>
      </c>
      <c r="H11" s="54">
        <v>54045.07421875</v>
      </c>
      <c r="I11" s="54">
        <v>69481.2578125</v>
      </c>
      <c r="J11" s="54">
        <v>86607.7734375</v>
      </c>
      <c r="K11" s="54">
        <v>103533.234375</v>
      </c>
      <c r="L11" s="54">
        <v>120857.3125</v>
      </c>
      <c r="M11" s="54">
        <v>140250.375</v>
      </c>
      <c r="N11" s="54">
        <v>158410.515625</v>
      </c>
      <c r="O11" s="54">
        <v>171748.4375</v>
      </c>
      <c r="P11" s="54">
        <v>185698.5625</v>
      </c>
      <c r="Q11" s="54">
        <v>203140.234375</v>
      </c>
      <c r="R11" s="54">
        <v>221120.90625</v>
      </c>
      <c r="S11" s="54">
        <v>234641.5625</v>
      </c>
      <c r="T11" s="54">
        <v>245679.5625</v>
      </c>
      <c r="U11" s="54">
        <v>255005.21875</v>
      </c>
      <c r="V11" s="54">
        <v>264787.3125</v>
      </c>
      <c r="W11" s="54">
        <v>270512.5625</v>
      </c>
      <c r="X11" s="54">
        <v>277719.1875</v>
      </c>
      <c r="Y11" s="54">
        <v>284123.03125</v>
      </c>
      <c r="Z11" s="54">
        <v>291565.3125</v>
      </c>
      <c r="AA11" s="54">
        <v>298779.53125</v>
      </c>
      <c r="AB11" s="54">
        <v>298082.3125</v>
      </c>
      <c r="AC11" s="54">
        <v>298015.3125</v>
      </c>
    </row>
    <row r="12" spans="1:29">
      <c r="A12" t="s">
        <v>695</v>
      </c>
      <c r="B12" s="759" t="s">
        <v>819</v>
      </c>
      <c r="C12" s="54">
        <v>0</v>
      </c>
      <c r="D12" s="54">
        <v>10001.8876953125</v>
      </c>
      <c r="E12" s="54">
        <v>33314.76953125</v>
      </c>
      <c r="F12" s="54">
        <v>60070.88671875</v>
      </c>
      <c r="G12" s="54">
        <v>88600.5625</v>
      </c>
      <c r="H12" s="54">
        <v>118714.7265625</v>
      </c>
      <c r="I12" s="54">
        <v>149840.125</v>
      </c>
      <c r="J12" s="54">
        <v>182212.578125</v>
      </c>
      <c r="K12" s="54">
        <v>213922.9375</v>
      </c>
      <c r="L12" s="54">
        <v>246399.890625</v>
      </c>
      <c r="M12" s="54">
        <v>279244.71875</v>
      </c>
      <c r="N12" s="54">
        <v>306993.65625</v>
      </c>
      <c r="O12" s="54">
        <v>326087.84375</v>
      </c>
      <c r="P12" s="54">
        <v>346027.34375</v>
      </c>
      <c r="Q12" s="54">
        <v>366501.125</v>
      </c>
      <c r="R12" s="54">
        <v>387391.78125</v>
      </c>
      <c r="S12" s="54">
        <v>403461.84375</v>
      </c>
      <c r="T12" s="54">
        <v>415108.5</v>
      </c>
      <c r="U12" s="54">
        <v>419922.21875</v>
      </c>
      <c r="V12" s="54">
        <v>424842.28125</v>
      </c>
      <c r="W12" s="54">
        <v>427371.03125</v>
      </c>
      <c r="X12" s="54">
        <v>427799.34375</v>
      </c>
      <c r="Y12" s="54">
        <v>428201.1875</v>
      </c>
      <c r="Z12" s="54">
        <v>431626.4375</v>
      </c>
      <c r="AA12" s="54">
        <v>431282.78125</v>
      </c>
      <c r="AB12" s="54">
        <v>430077.125</v>
      </c>
      <c r="AC12" s="54">
        <v>430044.25</v>
      </c>
    </row>
    <row r="13" spans="1:29">
      <c r="A13" t="s">
        <v>695</v>
      </c>
      <c r="B13" s="759" t="s">
        <v>820</v>
      </c>
      <c r="C13" s="54">
        <v>0</v>
      </c>
      <c r="D13" s="54">
        <v>1662.364013671875</v>
      </c>
      <c r="E13" s="54">
        <v>6006.85009765625</v>
      </c>
      <c r="F13" s="54">
        <v>12057.10546875</v>
      </c>
      <c r="G13" s="54">
        <v>19693.619140625</v>
      </c>
      <c r="H13" s="54">
        <v>29047.310546875</v>
      </c>
      <c r="I13" s="54">
        <v>40444.16015625</v>
      </c>
      <c r="J13" s="54">
        <v>54403.6640625</v>
      </c>
      <c r="K13" s="54">
        <v>70550.796875</v>
      </c>
      <c r="L13" s="54">
        <v>89711.3359375</v>
      </c>
      <c r="M13" s="54">
        <v>111872.4296875</v>
      </c>
      <c r="N13" s="54">
        <v>136887.203125</v>
      </c>
      <c r="O13" s="54">
        <v>163610.53125</v>
      </c>
      <c r="P13" s="54">
        <v>193174.796875</v>
      </c>
      <c r="Q13" s="54">
        <v>224827.15625</v>
      </c>
      <c r="R13" s="54">
        <v>258849.421875</v>
      </c>
      <c r="S13" s="54">
        <v>291407.1875</v>
      </c>
      <c r="T13" s="54">
        <v>324997.5625</v>
      </c>
      <c r="U13" s="54">
        <v>359509.375</v>
      </c>
      <c r="V13" s="54">
        <v>392684.25</v>
      </c>
      <c r="W13" s="54">
        <v>422322.375</v>
      </c>
      <c r="X13" s="54">
        <v>453416.78125</v>
      </c>
      <c r="Y13" s="54">
        <v>476379.78125</v>
      </c>
      <c r="Z13" s="54">
        <v>496025.625</v>
      </c>
      <c r="AA13" s="54">
        <v>514495.84375</v>
      </c>
      <c r="AB13" s="54">
        <v>514496.59375</v>
      </c>
      <c r="AC13" s="54">
        <v>514866.6875</v>
      </c>
    </row>
    <row r="14" spans="1:29">
      <c r="A14" t="s">
        <v>695</v>
      </c>
      <c r="B14" s="759" t="s">
        <v>821</v>
      </c>
      <c r="C14" s="54">
        <v>0</v>
      </c>
      <c r="D14" s="54">
        <v>905.94677734375</v>
      </c>
      <c r="E14" s="54">
        <v>3057.029296875</v>
      </c>
      <c r="F14" s="54">
        <v>5742.29345703125</v>
      </c>
      <c r="G14" s="54">
        <v>8993.6728515625</v>
      </c>
      <c r="H14" s="54">
        <v>12930.5849609375</v>
      </c>
      <c r="I14" s="54">
        <v>17611.486328125</v>
      </c>
      <c r="J14" s="54">
        <v>23259.294921875</v>
      </c>
      <c r="K14" s="54">
        <v>29518.009765625</v>
      </c>
      <c r="L14" s="54">
        <v>36719.2421875</v>
      </c>
      <c r="M14" s="54">
        <v>44675.97265625</v>
      </c>
      <c r="N14" s="54">
        <v>52709.109375</v>
      </c>
      <c r="O14" s="54">
        <v>60150.1796875</v>
      </c>
      <c r="P14" s="54">
        <v>67917.953125</v>
      </c>
      <c r="Q14" s="54">
        <v>75652.625</v>
      </c>
      <c r="R14" s="54">
        <v>83683.96875</v>
      </c>
      <c r="S14" s="54">
        <v>90883.3125</v>
      </c>
      <c r="T14" s="54">
        <v>98534.671875</v>
      </c>
      <c r="U14" s="54">
        <v>106419.3984375</v>
      </c>
      <c r="V14" s="54">
        <v>113622.5234375</v>
      </c>
      <c r="W14" s="54">
        <v>119830.3515625</v>
      </c>
      <c r="X14" s="54">
        <v>126012.59375</v>
      </c>
      <c r="Y14" s="54">
        <v>130300.6640625</v>
      </c>
      <c r="Z14" s="54">
        <v>131195.21875</v>
      </c>
      <c r="AA14" s="54">
        <v>130784.0234375</v>
      </c>
      <c r="AB14" s="54">
        <v>130784.0234375</v>
      </c>
      <c r="AC14" s="54">
        <v>130784.0234375</v>
      </c>
    </row>
    <row r="15" spans="1:29">
      <c r="A15" t="s">
        <v>695</v>
      </c>
      <c r="B15" s="759" t="s">
        <v>822</v>
      </c>
      <c r="C15" s="54">
        <v>0</v>
      </c>
      <c r="D15" s="54">
        <v>3596.6064453125</v>
      </c>
      <c r="E15" s="54">
        <v>11467.80859375</v>
      </c>
      <c r="F15" s="54">
        <v>20101.439453125</v>
      </c>
      <c r="G15" s="54">
        <v>33815.296875</v>
      </c>
      <c r="H15" s="54">
        <v>52702.74609375</v>
      </c>
      <c r="I15" s="54">
        <v>71591.7421875</v>
      </c>
      <c r="J15" s="54">
        <v>90708.3125</v>
      </c>
      <c r="K15" s="54">
        <v>109365.4140625</v>
      </c>
      <c r="L15" s="54">
        <v>128253.34375</v>
      </c>
      <c r="M15" s="54">
        <v>147147.578125</v>
      </c>
      <c r="N15" s="54">
        <v>166472.53125</v>
      </c>
      <c r="O15" s="54">
        <v>184922.25</v>
      </c>
      <c r="P15" s="54">
        <v>203787.140625</v>
      </c>
      <c r="Q15" s="54">
        <v>213944.5625</v>
      </c>
      <c r="R15" s="54">
        <v>214375.921875</v>
      </c>
      <c r="S15" s="54">
        <v>213226.828125</v>
      </c>
      <c r="T15" s="54">
        <v>212114.125</v>
      </c>
      <c r="U15" s="54">
        <v>212877.734375</v>
      </c>
      <c r="V15" s="54">
        <v>212608.765625</v>
      </c>
      <c r="W15" s="54">
        <v>210784.390625</v>
      </c>
      <c r="X15" s="54">
        <v>210277.03125</v>
      </c>
      <c r="Y15" s="54">
        <v>208676.734375</v>
      </c>
      <c r="Z15" s="54">
        <v>207361.046875</v>
      </c>
      <c r="AA15" s="54">
        <v>205986.78125</v>
      </c>
      <c r="AB15" s="54">
        <v>214068.625</v>
      </c>
      <c r="AC15" s="54">
        <v>214068.625</v>
      </c>
    </row>
    <row r="16" spans="1:29">
      <c r="A16" t="s">
        <v>809</v>
      </c>
      <c r="B16" s="759" t="s">
        <v>711</v>
      </c>
      <c r="C16" s="54">
        <v>0</v>
      </c>
      <c r="D16" s="54">
        <v>0</v>
      </c>
      <c r="E16" s="54">
        <v>0</v>
      </c>
      <c r="F16" s="54">
        <v>0</v>
      </c>
      <c r="G16" s="54">
        <v>389.60000610351563</v>
      </c>
      <c r="H16" s="54">
        <v>789.60003662109375</v>
      </c>
      <c r="I16" s="54">
        <v>1600.800048828125</v>
      </c>
      <c r="J16" s="54">
        <v>2433.599853515625</v>
      </c>
      <c r="K16" s="54">
        <v>3288.800048828125</v>
      </c>
      <c r="L16" s="54">
        <v>4168</v>
      </c>
      <c r="M16" s="54">
        <v>4236.7998046875</v>
      </c>
      <c r="N16" s="54">
        <v>4298.39990234375</v>
      </c>
      <c r="O16" s="54">
        <v>4352.7998046875</v>
      </c>
      <c r="P16" s="54">
        <v>4410.39990234375</v>
      </c>
      <c r="Q16" s="54">
        <v>4484</v>
      </c>
      <c r="R16" s="54">
        <v>4552.7998046875</v>
      </c>
      <c r="S16" s="54">
        <v>4625.60009765625</v>
      </c>
      <c r="T16" s="54">
        <v>4693.60009765625</v>
      </c>
      <c r="U16" s="54">
        <v>4763.2001953125</v>
      </c>
      <c r="V16" s="54">
        <v>4829.60009765625</v>
      </c>
      <c r="W16" s="54">
        <v>4902.39990234375</v>
      </c>
      <c r="X16" s="54">
        <v>4969.599609375</v>
      </c>
      <c r="Y16" s="54">
        <v>5035.99951171875</v>
      </c>
      <c r="Z16" s="54">
        <v>5088.0302734375</v>
      </c>
      <c r="AA16" s="54">
        <v>5140.01025390625</v>
      </c>
      <c r="AB16" s="54">
        <v>5121.9033203125</v>
      </c>
      <c r="AC16" s="54">
        <v>5132.99267578125</v>
      </c>
    </row>
    <row r="17" spans="1:29">
      <c r="A17" t="s">
        <v>809</v>
      </c>
      <c r="B17" s="759" t="s">
        <v>712</v>
      </c>
      <c r="C17" s="54">
        <v>0</v>
      </c>
      <c r="D17" s="54">
        <v>0</v>
      </c>
      <c r="E17" s="54">
        <v>0</v>
      </c>
      <c r="F17" s="54">
        <v>0</v>
      </c>
      <c r="G17" s="54">
        <v>11.19998836517334</v>
      </c>
      <c r="H17" s="54">
        <v>22.39997673034668</v>
      </c>
      <c r="I17" s="54">
        <v>46.400032043457031</v>
      </c>
      <c r="J17" s="54">
        <v>70.400009155273438</v>
      </c>
      <c r="K17" s="54">
        <v>95.199981689453125</v>
      </c>
      <c r="L17" s="54">
        <v>120.0000381469727</v>
      </c>
      <c r="M17" s="54">
        <v>122.400032043457</v>
      </c>
      <c r="N17" s="54">
        <v>124.0000381469727</v>
      </c>
      <c r="O17" s="54">
        <v>125.6000289916992</v>
      </c>
      <c r="P17" s="54">
        <v>127.2000350952148</v>
      </c>
      <c r="Q17" s="54">
        <v>129.60003662109381</v>
      </c>
      <c r="R17" s="54">
        <v>131.20002746582031</v>
      </c>
      <c r="S17" s="54">
        <v>133.60002136230469</v>
      </c>
      <c r="T17" s="54">
        <v>135.20002746582031</v>
      </c>
      <c r="U17" s="54">
        <v>137.60002136230469</v>
      </c>
      <c r="V17" s="54">
        <v>139.20002746582031</v>
      </c>
      <c r="W17" s="54">
        <v>141.6000061035156</v>
      </c>
      <c r="X17" s="54">
        <v>143.20001220703119</v>
      </c>
      <c r="Y17" s="54">
        <v>144.80000305175781</v>
      </c>
      <c r="Z17" s="54">
        <v>145.36000061035159</v>
      </c>
      <c r="AA17" s="54">
        <v>145.08000183105469</v>
      </c>
      <c r="AB17" s="54">
        <v>146.94000244140619</v>
      </c>
      <c r="AC17" s="54">
        <v>146.94000244140619</v>
      </c>
    </row>
    <row r="18" spans="1:29">
      <c r="A18" t="s">
        <v>809</v>
      </c>
      <c r="B18" s="759" t="s">
        <v>713</v>
      </c>
      <c r="C18" s="54">
        <v>0</v>
      </c>
      <c r="D18" s="54">
        <v>0</v>
      </c>
      <c r="E18" s="54">
        <v>320.79998779296881</v>
      </c>
      <c r="F18" s="54">
        <v>648.79998779296875</v>
      </c>
      <c r="G18" s="54">
        <v>1312.799926757812</v>
      </c>
      <c r="H18" s="54">
        <v>1992</v>
      </c>
      <c r="I18" s="54">
        <v>2686.400146484375</v>
      </c>
      <c r="J18" s="54">
        <v>3396</v>
      </c>
      <c r="K18" s="54">
        <v>3434.39990234375</v>
      </c>
      <c r="L18" s="54">
        <v>3472.800048828125</v>
      </c>
      <c r="M18" s="54">
        <v>3510.39990234375</v>
      </c>
      <c r="N18" s="54">
        <v>3548.800048828125</v>
      </c>
      <c r="O18" s="54">
        <v>3586.39990234375</v>
      </c>
      <c r="P18" s="54">
        <v>3624.800048828125</v>
      </c>
      <c r="Q18" s="54">
        <v>3662.39990234375</v>
      </c>
      <c r="R18" s="54">
        <v>3700</v>
      </c>
      <c r="S18" s="54">
        <v>3736</v>
      </c>
      <c r="T18" s="54">
        <v>3772.800048828125</v>
      </c>
      <c r="U18" s="54">
        <v>3808.800048828125</v>
      </c>
      <c r="V18" s="54">
        <v>3844.800048828125</v>
      </c>
      <c r="W18" s="54">
        <v>3879.999755859375</v>
      </c>
      <c r="X18" s="54">
        <v>3915.199951171875</v>
      </c>
      <c r="Y18" s="54">
        <v>3950.399658203125</v>
      </c>
      <c r="Z18" s="54">
        <v>3984.799560546875</v>
      </c>
      <c r="AA18" s="54">
        <v>3969.75</v>
      </c>
      <c r="AB18" s="54">
        <v>3969.749755859375</v>
      </c>
      <c r="AC18" s="54">
        <v>4019.999755859375</v>
      </c>
    </row>
    <row r="19" spans="1:29">
      <c r="A19" t="s">
        <v>809</v>
      </c>
      <c r="B19" s="759" t="s">
        <v>714</v>
      </c>
      <c r="C19" s="54">
        <v>0</v>
      </c>
      <c r="D19" s="54">
        <v>0</v>
      </c>
      <c r="E19" s="54">
        <v>3.9999959468841548</v>
      </c>
      <c r="F19" s="54">
        <v>12.79998683929443</v>
      </c>
      <c r="G19" s="54">
        <v>28.799970626831051</v>
      </c>
      <c r="H19" s="54">
        <v>53.600025177001953</v>
      </c>
      <c r="I19" s="54">
        <v>87.999992370605469</v>
      </c>
      <c r="J19" s="54">
        <v>112.7999649047852</v>
      </c>
      <c r="K19" s="54">
        <v>138.4000244140625</v>
      </c>
      <c r="L19" s="54">
        <v>162.3999938964844</v>
      </c>
      <c r="M19" s="54">
        <v>184.79997253417969</v>
      </c>
      <c r="N19" s="54">
        <v>202.40003967285159</v>
      </c>
      <c r="O19" s="54">
        <v>215.20002746582031</v>
      </c>
      <c r="P19" s="54">
        <v>224.8000183105469</v>
      </c>
      <c r="Q19" s="54">
        <v>230.40000915527341</v>
      </c>
      <c r="R19" s="54">
        <v>234.40000915527341</v>
      </c>
      <c r="S19" s="54">
        <v>237.6000061035156</v>
      </c>
      <c r="T19" s="54">
        <v>240.80000305175781</v>
      </c>
      <c r="U19" s="54">
        <v>243.19999694824219</v>
      </c>
      <c r="V19" s="54">
        <v>245.59999084472659</v>
      </c>
      <c r="W19" s="54">
        <v>248.79998779296881</v>
      </c>
      <c r="X19" s="54">
        <v>251.1999816894531</v>
      </c>
      <c r="Y19" s="54">
        <v>253.5999755859375</v>
      </c>
      <c r="Z19" s="54">
        <v>252.79997253417969</v>
      </c>
      <c r="AA19" s="54">
        <v>251.9399719238281</v>
      </c>
      <c r="AB19" s="54">
        <v>255.16996765136719</v>
      </c>
      <c r="AC19" s="54">
        <v>255.16996765136719</v>
      </c>
    </row>
    <row r="20" spans="1:29">
      <c r="A20" t="s">
        <v>809</v>
      </c>
      <c r="B20" s="759" t="s">
        <v>715</v>
      </c>
      <c r="C20" s="54">
        <v>0</v>
      </c>
      <c r="D20" s="54">
        <v>0</v>
      </c>
      <c r="E20" s="54">
        <v>0</v>
      </c>
      <c r="F20" s="54">
        <v>0</v>
      </c>
      <c r="G20" s="54">
        <v>0</v>
      </c>
      <c r="H20" s="54">
        <v>401.60000610351563</v>
      </c>
      <c r="I20" s="54">
        <v>757.5999755859375</v>
      </c>
      <c r="J20" s="54">
        <v>1421.599975585938</v>
      </c>
      <c r="K20" s="54">
        <v>1989.599975585938</v>
      </c>
      <c r="L20" s="54">
        <v>2456.800048828125</v>
      </c>
      <c r="M20" s="54">
        <v>2819.199951171875</v>
      </c>
      <c r="N20" s="54">
        <v>2560.800048828125</v>
      </c>
      <c r="O20" s="54">
        <v>2296</v>
      </c>
      <c r="P20" s="54">
        <v>2024.799926757812</v>
      </c>
      <c r="Q20" s="54">
        <v>1747.200073242188</v>
      </c>
      <c r="R20" s="54">
        <v>1463.199951171875</v>
      </c>
      <c r="S20" s="54">
        <v>1172.800048828125</v>
      </c>
      <c r="T20" s="54">
        <v>876</v>
      </c>
      <c r="U20" s="54">
        <v>780.800048828125</v>
      </c>
      <c r="V20" s="54">
        <v>788.79998779296875</v>
      </c>
      <c r="W20" s="54">
        <v>796</v>
      </c>
      <c r="X20" s="54">
        <v>803.99993896484375</v>
      </c>
      <c r="Y20" s="54">
        <v>811.199951171875</v>
      </c>
      <c r="Z20" s="54">
        <v>818.39990234375</v>
      </c>
      <c r="AA20" s="54">
        <v>816.0699462890625</v>
      </c>
      <c r="AB20" s="54">
        <v>823.179931640625</v>
      </c>
      <c r="AC20" s="54">
        <v>830.28997802734375</v>
      </c>
    </row>
    <row r="21" spans="1:29">
      <c r="A21" t="s">
        <v>809</v>
      </c>
      <c r="B21" s="759" t="s">
        <v>716</v>
      </c>
      <c r="C21" s="54">
        <v>0</v>
      </c>
      <c r="D21" s="54">
        <v>0</v>
      </c>
      <c r="E21" s="54">
        <v>5256.00341796875</v>
      </c>
      <c r="F21" s="54">
        <v>16338.2412109375</v>
      </c>
      <c r="G21" s="54">
        <v>44676</v>
      </c>
      <c r="H21" s="54">
        <v>85410</v>
      </c>
      <c r="I21" s="54">
        <v>139021.203125</v>
      </c>
      <c r="J21" s="54">
        <v>206511.84375</v>
      </c>
      <c r="K21" s="54">
        <v>238710</v>
      </c>
      <c r="L21" s="54">
        <v>272173.1875</v>
      </c>
      <c r="M21" s="54">
        <v>306249.59375</v>
      </c>
      <c r="N21" s="54">
        <v>341809</v>
      </c>
      <c r="O21" s="54">
        <v>376398.875</v>
      </c>
      <c r="P21" s="54">
        <v>412061.09375</v>
      </c>
      <c r="Q21" s="54">
        <v>447757.125</v>
      </c>
      <c r="R21" s="54">
        <v>463170.46875</v>
      </c>
      <c r="S21" s="54">
        <v>464000.03125</v>
      </c>
      <c r="T21" s="54">
        <v>466977.625</v>
      </c>
      <c r="U21" s="54">
        <v>473645.59375</v>
      </c>
      <c r="V21" s="54">
        <v>476958.75</v>
      </c>
      <c r="W21" s="54">
        <v>476500.0625</v>
      </c>
      <c r="X21" s="54">
        <v>478111.59375</v>
      </c>
      <c r="Y21" s="54">
        <v>474718.8125</v>
      </c>
      <c r="Z21" s="54">
        <v>471305.53125</v>
      </c>
      <c r="AA21" s="54">
        <v>469854.3125</v>
      </c>
      <c r="AB21" s="54">
        <v>465899.5</v>
      </c>
      <c r="AC21" s="54">
        <v>466248</v>
      </c>
    </row>
    <row r="22" spans="1:29">
      <c r="A22" t="s">
        <v>809</v>
      </c>
      <c r="B22" s="759" t="s">
        <v>717</v>
      </c>
      <c r="C22" s="54">
        <v>0</v>
      </c>
      <c r="D22" s="54">
        <v>0</v>
      </c>
      <c r="E22" s="54">
        <v>87.59991455078125</v>
      </c>
      <c r="F22" s="54">
        <v>263.51974487304688</v>
      </c>
      <c r="G22" s="54">
        <v>700.79931640625</v>
      </c>
      <c r="H22" s="54">
        <v>1313.998657226562</v>
      </c>
      <c r="I22" s="54">
        <v>2102.39794921875</v>
      </c>
      <c r="J22" s="54">
        <v>3162.23681640625</v>
      </c>
      <c r="K22" s="54">
        <v>3679.1962890625</v>
      </c>
      <c r="L22" s="54">
        <v>4204.7958984375</v>
      </c>
      <c r="M22" s="54">
        <v>4730.40380859375</v>
      </c>
      <c r="N22" s="54">
        <v>5265.603515625</v>
      </c>
      <c r="O22" s="54">
        <v>5778.5458984375</v>
      </c>
      <c r="P22" s="54">
        <v>6384.58203125</v>
      </c>
      <c r="Q22" s="54">
        <v>6896.16552734375</v>
      </c>
      <c r="R22" s="54">
        <v>7159.806640625</v>
      </c>
      <c r="S22" s="54">
        <v>7181.552734375</v>
      </c>
      <c r="T22" s="54">
        <v>7148.70458984375</v>
      </c>
      <c r="U22" s="54">
        <v>7270.123046875</v>
      </c>
      <c r="V22" s="54">
        <v>7345.14111328125</v>
      </c>
      <c r="W22" s="54">
        <v>7350.302734375</v>
      </c>
      <c r="X22" s="54">
        <v>7399.80078125</v>
      </c>
      <c r="Y22" s="54">
        <v>7289.10302734375</v>
      </c>
      <c r="Z22" s="54">
        <v>7255.27880859375</v>
      </c>
      <c r="AA22" s="54">
        <v>7267.86767578125</v>
      </c>
      <c r="AB22" s="54">
        <v>7212.17822265625</v>
      </c>
      <c r="AC22" s="54">
        <v>7226.70654296875</v>
      </c>
    </row>
    <row r="23" spans="1:29">
      <c r="A23" t="s">
        <v>809</v>
      </c>
      <c r="B23" s="759" t="s">
        <v>718</v>
      </c>
      <c r="C23" s="54">
        <v>0</v>
      </c>
      <c r="D23" s="54">
        <v>0</v>
      </c>
      <c r="E23" s="54">
        <v>0</v>
      </c>
      <c r="F23" s="54">
        <v>0</v>
      </c>
      <c r="G23" s="54">
        <v>0</v>
      </c>
      <c r="H23" s="54">
        <v>43.200035095214837</v>
      </c>
      <c r="I23" s="54">
        <v>87.999992370605469</v>
      </c>
      <c r="J23" s="54">
        <v>176.79998779296881</v>
      </c>
      <c r="K23" s="54">
        <v>267.99996948242188</v>
      </c>
      <c r="L23" s="54">
        <v>360.800048828125</v>
      </c>
      <c r="M23" s="54">
        <v>456.00003051757813</v>
      </c>
      <c r="N23" s="54">
        <v>460.00003051757813</v>
      </c>
      <c r="O23" s="54">
        <v>464.80001831054688</v>
      </c>
      <c r="P23" s="54">
        <v>468.80001831054688</v>
      </c>
      <c r="Q23" s="54">
        <v>473.60000610351563</v>
      </c>
      <c r="R23" s="54">
        <v>478.39999389648438</v>
      </c>
      <c r="S23" s="54">
        <v>482.39999389648438</v>
      </c>
      <c r="T23" s="54">
        <v>487.19998168945313</v>
      </c>
      <c r="U23" s="54">
        <v>491.19998168945313</v>
      </c>
      <c r="V23" s="54">
        <v>495.99996948242188</v>
      </c>
      <c r="W23" s="54">
        <v>499.99996948242188</v>
      </c>
      <c r="X23" s="54">
        <v>503.99996948242188</v>
      </c>
      <c r="Y23" s="54">
        <v>508.7999267578125</v>
      </c>
      <c r="Z23" s="54">
        <v>506.38992309570313</v>
      </c>
      <c r="AA23" s="54">
        <v>511.12994384765619</v>
      </c>
      <c r="AB23" s="54">
        <v>515.08001708984375</v>
      </c>
      <c r="AC23" s="54">
        <v>519.030029296875</v>
      </c>
    </row>
    <row r="24" spans="1:29">
      <c r="A24" t="s">
        <v>809</v>
      </c>
      <c r="B24" s="759" t="s">
        <v>719</v>
      </c>
      <c r="C24" s="54">
        <v>0</v>
      </c>
      <c r="D24" s="54">
        <v>0</v>
      </c>
      <c r="E24" s="54">
        <v>33.599967956542969</v>
      </c>
      <c r="F24" s="54">
        <v>67.20001220703125</v>
      </c>
      <c r="G24" s="54">
        <v>136.8000183105469</v>
      </c>
      <c r="H24" s="54">
        <v>206.40003967285159</v>
      </c>
      <c r="I24" s="54">
        <v>278.39996337890619</v>
      </c>
      <c r="J24" s="54">
        <v>351.19998168945313</v>
      </c>
      <c r="K24" s="54">
        <v>354.39996337890619</v>
      </c>
      <c r="L24" s="54">
        <v>358.39996337890619</v>
      </c>
      <c r="M24" s="54">
        <v>361.60003662109381</v>
      </c>
      <c r="N24" s="54">
        <v>364.800048828125</v>
      </c>
      <c r="O24" s="54">
        <v>368.80001831054688</v>
      </c>
      <c r="P24" s="54">
        <v>372.00003051757813</v>
      </c>
      <c r="Q24" s="54">
        <v>375.20001220703119</v>
      </c>
      <c r="R24" s="54">
        <v>378.4000244140625</v>
      </c>
      <c r="S24" s="54">
        <v>382.4000244140625</v>
      </c>
      <c r="T24" s="54">
        <v>385.60000610351563</v>
      </c>
      <c r="U24" s="54">
        <v>388.80001831054688</v>
      </c>
      <c r="V24" s="54">
        <v>392</v>
      </c>
      <c r="W24" s="54">
        <v>395.19998168945313</v>
      </c>
      <c r="X24" s="54">
        <v>398.39999389648438</v>
      </c>
      <c r="Y24" s="54">
        <v>402.39996337890619</v>
      </c>
      <c r="Z24" s="54">
        <v>400.52996826171881</v>
      </c>
      <c r="AA24" s="54">
        <v>403.68997192382813</v>
      </c>
      <c r="AB24" s="54">
        <v>403.68997192382813</v>
      </c>
      <c r="AC24" s="54">
        <v>403.68997192382813</v>
      </c>
    </row>
    <row r="25" spans="1:29">
      <c r="A25" t="s">
        <v>809</v>
      </c>
      <c r="B25" s="759" t="s">
        <v>720</v>
      </c>
      <c r="C25" s="54">
        <v>0</v>
      </c>
      <c r="D25" s="54">
        <v>0</v>
      </c>
      <c r="E25" s="54">
        <v>0</v>
      </c>
      <c r="F25" s="54">
        <v>0</v>
      </c>
      <c r="G25" s="54">
        <v>0</v>
      </c>
      <c r="H25" s="54">
        <v>18.399982452392582</v>
      </c>
      <c r="I25" s="54">
        <v>37.599964141845703</v>
      </c>
      <c r="J25" s="54">
        <v>75.200004577636719</v>
      </c>
      <c r="K25" s="54">
        <v>113.599967956543</v>
      </c>
      <c r="L25" s="54">
        <v>152.80000305175781</v>
      </c>
      <c r="M25" s="54">
        <v>192.79997253417969</v>
      </c>
      <c r="N25" s="54">
        <v>194.39996337890619</v>
      </c>
      <c r="O25" s="54">
        <v>196.7999572753906</v>
      </c>
      <c r="P25" s="54">
        <v>199.19996643066409</v>
      </c>
      <c r="Q25" s="54">
        <v>200.80003356933591</v>
      </c>
      <c r="R25" s="54">
        <v>202.40003967285159</v>
      </c>
      <c r="S25" s="54">
        <v>204.80003356933591</v>
      </c>
      <c r="T25" s="54">
        <v>208.80003356933591</v>
      </c>
      <c r="U25" s="54">
        <v>211.20002746582031</v>
      </c>
      <c r="V25" s="54">
        <v>212.80003356933591</v>
      </c>
      <c r="W25" s="54">
        <v>216.00001525878909</v>
      </c>
      <c r="X25" s="54">
        <v>218.40000915527341</v>
      </c>
      <c r="Y25" s="54">
        <v>220.80000305175781</v>
      </c>
      <c r="Z25" s="54">
        <v>221.19999694824219</v>
      </c>
      <c r="AA25" s="54">
        <v>221.52000427246091</v>
      </c>
      <c r="AB25" s="54">
        <v>226.72999572753909</v>
      </c>
      <c r="AC25" s="54">
        <v>229.88999938964841</v>
      </c>
    </row>
    <row r="26" spans="1:29">
      <c r="A26" t="s">
        <v>809</v>
      </c>
      <c r="B26" s="759" t="s">
        <v>721</v>
      </c>
      <c r="C26" s="54">
        <v>0</v>
      </c>
      <c r="D26" s="54">
        <v>0</v>
      </c>
      <c r="E26" s="54">
        <v>0</v>
      </c>
      <c r="F26" s="54">
        <v>0</v>
      </c>
      <c r="G26" s="54">
        <v>0</v>
      </c>
      <c r="H26" s="54">
        <v>19.199981689453121</v>
      </c>
      <c r="I26" s="54">
        <v>38.39996337890625</v>
      </c>
      <c r="J26" s="54">
        <v>76.800003051757813</v>
      </c>
      <c r="K26" s="54">
        <v>115.9999618530273</v>
      </c>
      <c r="L26" s="54">
        <v>156.80000305175781</v>
      </c>
      <c r="M26" s="54">
        <v>197.59996032714841</v>
      </c>
      <c r="N26" s="54">
        <v>199.19996643066409</v>
      </c>
      <c r="O26" s="54">
        <v>201.60003662109381</v>
      </c>
      <c r="P26" s="54">
        <v>204.80003356933591</v>
      </c>
      <c r="Q26" s="54">
        <v>206.40003967285159</v>
      </c>
      <c r="R26" s="54">
        <v>207.20002746582031</v>
      </c>
      <c r="S26" s="54">
        <v>210.4000244140625</v>
      </c>
      <c r="T26" s="54">
        <v>214.4000244140625</v>
      </c>
      <c r="U26" s="54">
        <v>216.8000183105469</v>
      </c>
      <c r="V26" s="54">
        <v>218.4000244140625</v>
      </c>
      <c r="W26" s="54">
        <v>221.6000061035156</v>
      </c>
      <c r="X26" s="54">
        <v>224</v>
      </c>
      <c r="Y26" s="54">
        <v>227.19999694824219</v>
      </c>
      <c r="Z26" s="54">
        <v>226.72999572753909</v>
      </c>
      <c r="AA26" s="54">
        <v>226.9800109863281</v>
      </c>
      <c r="AB26" s="54">
        <v>233.04998779296881</v>
      </c>
      <c r="AC26" s="54">
        <v>236.2099914550781</v>
      </c>
    </row>
    <row r="27" spans="1:29">
      <c r="A27" t="s">
        <v>809</v>
      </c>
      <c r="B27" s="759" t="s">
        <v>722</v>
      </c>
      <c r="C27" s="54">
        <v>0</v>
      </c>
      <c r="D27" s="54">
        <v>0</v>
      </c>
      <c r="E27" s="54">
        <v>0</v>
      </c>
      <c r="F27" s="54">
        <v>0</v>
      </c>
      <c r="G27" s="54">
        <v>0</v>
      </c>
      <c r="H27" s="54">
        <v>7.9999918937683114</v>
      </c>
      <c r="I27" s="54">
        <v>16.799983978271481</v>
      </c>
      <c r="J27" s="54">
        <v>33.599967956542969</v>
      </c>
      <c r="K27" s="54">
        <v>51.200027465820313</v>
      </c>
      <c r="L27" s="54">
        <v>68.800010681152344</v>
      </c>
      <c r="M27" s="54">
        <v>86.399993896484375</v>
      </c>
      <c r="N27" s="54">
        <v>87.199989318847656</v>
      </c>
      <c r="O27" s="54">
        <v>88.79998779296875</v>
      </c>
      <c r="P27" s="54">
        <v>89.599990844726563</v>
      </c>
      <c r="Q27" s="54">
        <v>90.399986267089844</v>
      </c>
      <c r="R27" s="54">
        <v>91.199989318847656</v>
      </c>
      <c r="S27" s="54">
        <v>91.999984741210938</v>
      </c>
      <c r="T27" s="54">
        <v>93.599983215332031</v>
      </c>
      <c r="U27" s="54">
        <v>95.199981689453125</v>
      </c>
      <c r="V27" s="54">
        <v>95.999984741210938</v>
      </c>
      <c r="W27" s="54">
        <v>97.5999755859375</v>
      </c>
      <c r="X27" s="54">
        <v>98.399978637695313</v>
      </c>
      <c r="Y27" s="54">
        <v>99.999977111816406</v>
      </c>
      <c r="Z27" s="54">
        <v>99.539970397949219</v>
      </c>
      <c r="AA27" s="54">
        <v>99.839973449707031</v>
      </c>
      <c r="AB27" s="54">
        <v>102.69997406005859</v>
      </c>
      <c r="AC27" s="54">
        <v>103.48996734619141</v>
      </c>
    </row>
    <row r="28" spans="1:29">
      <c r="A28" t="s">
        <v>809</v>
      </c>
      <c r="B28" s="759" t="s">
        <v>723</v>
      </c>
      <c r="C28" s="54">
        <v>0</v>
      </c>
      <c r="D28" s="54">
        <v>0</v>
      </c>
      <c r="E28" s="54">
        <v>0</v>
      </c>
      <c r="F28" s="54">
        <v>0</v>
      </c>
      <c r="G28" s="54">
        <v>0</v>
      </c>
      <c r="H28" s="54">
        <v>5.5999941825866699</v>
      </c>
      <c r="I28" s="54">
        <v>11.99998760223389</v>
      </c>
      <c r="J28" s="54">
        <v>23.99997520446777</v>
      </c>
      <c r="K28" s="54">
        <v>36.799964904785163</v>
      </c>
      <c r="L28" s="54">
        <v>49.600028991699219</v>
      </c>
      <c r="M28" s="54">
        <v>62.400016784667969</v>
      </c>
      <c r="N28" s="54">
        <v>63.200016021728523</v>
      </c>
      <c r="O28" s="54">
        <v>64.000015258789063</v>
      </c>
      <c r="P28" s="54">
        <v>64.800018310546875</v>
      </c>
      <c r="Q28" s="54">
        <v>64.800018310546875</v>
      </c>
      <c r="R28" s="54">
        <v>65.600013732910156</v>
      </c>
      <c r="S28" s="54">
        <v>66.400016784667969</v>
      </c>
      <c r="T28" s="54">
        <v>68.000015258789063</v>
      </c>
      <c r="U28" s="54">
        <v>68.800010681152344</v>
      </c>
      <c r="V28" s="54">
        <v>68.800010681152344</v>
      </c>
      <c r="W28" s="54">
        <v>69.600006103515625</v>
      </c>
      <c r="X28" s="54">
        <v>71.200004577636719</v>
      </c>
      <c r="Y28" s="54">
        <v>72</v>
      </c>
      <c r="Z28" s="54">
        <v>71.889999389648438</v>
      </c>
      <c r="AA28" s="54">
        <v>71.760002136230469</v>
      </c>
      <c r="AB28" s="54">
        <v>73.470001220703125</v>
      </c>
      <c r="AC28" s="54">
        <v>75.049995422363281</v>
      </c>
    </row>
    <row r="29" spans="1:29">
      <c r="A29" t="s">
        <v>809</v>
      </c>
      <c r="B29" s="759" t="s">
        <v>724</v>
      </c>
      <c r="C29" s="54">
        <v>0</v>
      </c>
      <c r="D29" s="54">
        <v>0</v>
      </c>
      <c r="E29" s="54">
        <v>0</v>
      </c>
      <c r="F29" s="54">
        <v>0</v>
      </c>
      <c r="G29" s="54">
        <v>0</v>
      </c>
      <c r="H29" s="54">
        <v>102.3999786376953</v>
      </c>
      <c r="I29" s="54">
        <v>208.0000305175781</v>
      </c>
      <c r="J29" s="54">
        <v>317.60000610351563</v>
      </c>
      <c r="K29" s="54">
        <v>429.5999755859375</v>
      </c>
      <c r="L29" s="54">
        <v>544.79998779296875</v>
      </c>
      <c r="M29" s="54">
        <v>552</v>
      </c>
      <c r="N29" s="54">
        <v>559.20001220703125</v>
      </c>
      <c r="O29" s="54">
        <v>567.20001220703125</v>
      </c>
      <c r="P29" s="54">
        <v>576</v>
      </c>
      <c r="Q29" s="54">
        <v>584.79998779296875</v>
      </c>
      <c r="R29" s="54">
        <v>591.99993896484375</v>
      </c>
      <c r="S29" s="54">
        <v>600.00006103515625</v>
      </c>
      <c r="T29" s="54">
        <v>609.60003662109375</v>
      </c>
      <c r="U29" s="54">
        <v>619.20001220703125</v>
      </c>
      <c r="V29" s="54">
        <v>628.79998779296875</v>
      </c>
      <c r="W29" s="54">
        <v>638.39996337890625</v>
      </c>
      <c r="X29" s="54">
        <v>647.199951171875</v>
      </c>
      <c r="Y29" s="54">
        <v>656.7999267578125</v>
      </c>
      <c r="Z29" s="54">
        <v>666.39990234375</v>
      </c>
      <c r="AA29" s="54">
        <v>666.75994873046875</v>
      </c>
      <c r="AB29" s="54">
        <v>676.239990234375</v>
      </c>
      <c r="AC29" s="54">
        <v>683.3499755859375</v>
      </c>
    </row>
    <row r="31" spans="1:29" s="4" customFormat="1"/>
    <row r="32" spans="1:29" s="4" customFormat="1">
      <c r="A32" s="7" t="s">
        <v>823</v>
      </c>
      <c r="D32" s="765">
        <f>SUM(D4:D15)</f>
        <v>91743.357543945313</v>
      </c>
      <c r="E32" s="765">
        <f t="shared" ref="E32:K32" si="0">SUM(E4:E15)</f>
        <v>295334.6923828125</v>
      </c>
      <c r="F32" s="765">
        <f t="shared" si="0"/>
        <v>518668.08251953125</v>
      </c>
      <c r="G32" s="765">
        <f t="shared" si="0"/>
        <v>757258.626953125</v>
      </c>
      <c r="H32" s="765">
        <f t="shared" si="0"/>
        <v>1014223.53125</v>
      </c>
      <c r="I32" s="765">
        <f t="shared" si="0"/>
        <v>1285930.8984375</v>
      </c>
      <c r="J32" s="765">
        <f t="shared" si="0"/>
        <v>1577921.751953125</v>
      </c>
      <c r="K32" s="765">
        <f t="shared" si="0"/>
        <v>1869178.408203125</v>
      </c>
      <c r="L32" s="765">
        <f>SUM(L4:L15)</f>
        <v>2175329.13671875</v>
      </c>
      <c r="M32" s="765">
        <f>SUM(M4:M15)</f>
        <v>2496571.91796875</v>
      </c>
      <c r="N32" s="765">
        <f t="shared" ref="N32:AC32" si="1">SUM(N4:N15)</f>
        <v>2762707.72265625</v>
      </c>
      <c r="O32" s="765">
        <f t="shared" si="1"/>
        <v>2937012.00390625</v>
      </c>
      <c r="P32" s="765">
        <f t="shared" si="1"/>
        <v>3125007.37890625</v>
      </c>
      <c r="Q32" s="765">
        <f t="shared" si="1"/>
        <v>3313768.13671875</v>
      </c>
      <c r="R32" s="765">
        <f t="shared" si="1"/>
        <v>3501039.31640625</v>
      </c>
      <c r="S32" s="765">
        <f t="shared" si="1"/>
        <v>3656006.80078125</v>
      </c>
      <c r="T32" s="765">
        <f t="shared" si="1"/>
        <v>3813025.73828125</v>
      </c>
      <c r="U32" s="765">
        <f t="shared" si="1"/>
        <v>3970017.91015625</v>
      </c>
      <c r="V32" s="765">
        <f t="shared" si="1"/>
        <v>4119130.08203125</v>
      </c>
      <c r="W32" s="765">
        <f t="shared" si="1"/>
        <v>4218039.75</v>
      </c>
      <c r="X32" s="765">
        <f t="shared" si="1"/>
        <v>4312280.953125</v>
      </c>
      <c r="Y32" s="765">
        <f t="shared" si="1"/>
        <v>4389790.07421875</v>
      </c>
      <c r="Z32" s="765">
        <f t="shared" si="1"/>
        <v>4475592.83203125</v>
      </c>
      <c r="AA32" s="765">
        <f t="shared" si="1"/>
        <v>4534270.6484375</v>
      </c>
      <c r="AB32" s="765">
        <f t="shared" si="1"/>
        <v>4536693.54296875</v>
      </c>
      <c r="AC32" s="765">
        <f t="shared" si="1"/>
        <v>4536580.96875</v>
      </c>
    </row>
    <row r="33" spans="1:29" s="4" customFormat="1">
      <c r="A33" s="7"/>
    </row>
    <row r="34" spans="1:29" s="4" customFormat="1">
      <c r="B34" s="762"/>
      <c r="D34" s="764"/>
      <c r="E34" s="764"/>
      <c r="F34" s="764"/>
      <c r="G34" s="764"/>
      <c r="H34" s="764"/>
      <c r="I34" s="764"/>
      <c r="J34" s="764"/>
      <c r="K34" s="764"/>
      <c r="L34" s="764"/>
      <c r="M34" s="764"/>
      <c r="N34" s="764"/>
      <c r="O34" s="764"/>
      <c r="P34" s="764"/>
      <c r="Q34" s="764"/>
      <c r="R34" s="764"/>
      <c r="S34" s="764"/>
      <c r="T34" s="764"/>
      <c r="U34" s="764"/>
      <c r="V34" s="764"/>
      <c r="W34" s="764"/>
      <c r="X34" s="764"/>
      <c r="Y34" s="764"/>
      <c r="Z34" s="764"/>
      <c r="AA34" s="764"/>
      <c r="AB34" s="764"/>
      <c r="AC34" s="764"/>
    </row>
    <row r="35" spans="1:29" s="4" customFormat="1">
      <c r="B35" s="762"/>
      <c r="D35" s="764"/>
      <c r="E35" s="764"/>
      <c r="F35" s="764"/>
      <c r="G35" s="764"/>
      <c r="H35" s="764"/>
      <c r="I35" s="764"/>
      <c r="J35" s="764"/>
      <c r="K35" s="764"/>
      <c r="L35" s="764"/>
      <c r="M35" s="764"/>
      <c r="N35" s="764"/>
      <c r="O35" s="764"/>
      <c r="P35" s="764"/>
      <c r="Q35" s="764"/>
      <c r="R35" s="764"/>
      <c r="S35" s="764"/>
      <c r="T35" s="764"/>
      <c r="U35" s="764"/>
      <c r="V35" s="764"/>
      <c r="W35" s="764"/>
      <c r="X35" s="764"/>
      <c r="Y35" s="764"/>
      <c r="Z35" s="764"/>
      <c r="AA35" s="764"/>
      <c r="AB35" s="764"/>
      <c r="AC35" s="764"/>
    </row>
    <row r="36" spans="1:29" s="4" customFormat="1">
      <c r="B36" s="762"/>
      <c r="D36" s="764"/>
      <c r="E36" s="764"/>
      <c r="F36" s="764"/>
      <c r="G36" s="764"/>
      <c r="H36" s="764"/>
      <c r="I36" s="764"/>
      <c r="J36" s="764"/>
      <c r="K36" s="764"/>
      <c r="L36" s="764"/>
      <c r="M36" s="764"/>
      <c r="N36" s="764"/>
      <c r="O36" s="764"/>
      <c r="P36" s="764"/>
      <c r="Q36" s="764"/>
      <c r="R36" s="764"/>
      <c r="S36" s="764"/>
      <c r="T36" s="764"/>
      <c r="U36" s="764"/>
      <c r="V36" s="764"/>
      <c r="W36" s="764"/>
      <c r="X36" s="764"/>
      <c r="Y36" s="764"/>
      <c r="Z36" s="764"/>
      <c r="AA36" s="764"/>
      <c r="AB36" s="764"/>
      <c r="AC36" s="764"/>
    </row>
    <row r="37" spans="1:29" s="4" customFormat="1">
      <c r="B37" s="762"/>
      <c r="D37" s="764"/>
      <c r="E37" s="764"/>
      <c r="F37" s="764"/>
      <c r="G37" s="764"/>
      <c r="H37" s="764"/>
      <c r="I37" s="764"/>
      <c r="J37" s="764"/>
      <c r="K37" s="764"/>
      <c r="L37" s="764"/>
      <c r="M37" s="764"/>
      <c r="N37" s="764"/>
      <c r="O37" s="764"/>
      <c r="P37" s="764"/>
      <c r="Q37" s="764"/>
      <c r="R37" s="764"/>
      <c r="S37" s="764"/>
      <c r="T37" s="764"/>
      <c r="U37" s="764"/>
      <c r="V37" s="764"/>
      <c r="W37" s="764"/>
      <c r="X37" s="764"/>
      <c r="Y37" s="764"/>
      <c r="Z37" s="764"/>
      <c r="AA37" s="764"/>
      <c r="AB37" s="764"/>
      <c r="AC37" s="764"/>
    </row>
    <row r="38" spans="1:29" s="4" customFormat="1">
      <c r="B38" s="762"/>
      <c r="D38" s="764"/>
      <c r="E38" s="764"/>
      <c r="F38" s="764"/>
      <c r="G38" s="764"/>
      <c r="H38" s="764"/>
      <c r="I38" s="764"/>
      <c r="J38" s="764"/>
      <c r="K38" s="764"/>
      <c r="L38" s="764"/>
      <c r="M38" s="764"/>
      <c r="N38" s="764"/>
      <c r="O38" s="764"/>
      <c r="P38" s="764"/>
      <c r="Q38" s="764"/>
      <c r="R38" s="764"/>
      <c r="S38" s="764"/>
      <c r="T38" s="764"/>
      <c r="U38" s="764"/>
      <c r="V38" s="764"/>
      <c r="W38" s="764"/>
      <c r="X38" s="764"/>
      <c r="Y38" s="764"/>
      <c r="Z38" s="764"/>
      <c r="AA38" s="764"/>
      <c r="AB38" s="764"/>
      <c r="AC38" s="764"/>
    </row>
    <row r="39" spans="1:29" s="4" customFormat="1">
      <c r="B39" s="762"/>
      <c r="D39" s="764"/>
      <c r="E39" s="764"/>
      <c r="F39" s="764"/>
      <c r="G39" s="764"/>
      <c r="H39" s="764"/>
      <c r="I39" s="764"/>
      <c r="J39" s="764"/>
      <c r="K39" s="764"/>
      <c r="L39" s="764"/>
      <c r="M39" s="764"/>
      <c r="N39" s="764"/>
      <c r="O39" s="764"/>
      <c r="P39" s="764"/>
      <c r="Q39" s="764"/>
      <c r="R39" s="764"/>
      <c r="S39" s="764"/>
      <c r="T39" s="764"/>
      <c r="U39" s="764"/>
      <c r="V39" s="764"/>
      <c r="W39" s="764"/>
      <c r="X39" s="764"/>
      <c r="Y39" s="764"/>
      <c r="Z39" s="764"/>
      <c r="AA39" s="764"/>
      <c r="AB39" s="764"/>
      <c r="AC39" s="764"/>
    </row>
    <row r="40" spans="1:29" s="4" customFormat="1">
      <c r="B40" s="762"/>
      <c r="D40" s="764"/>
      <c r="E40" s="764"/>
      <c r="F40" s="764"/>
      <c r="G40" s="764"/>
      <c r="H40" s="764"/>
      <c r="I40" s="764"/>
      <c r="J40" s="764"/>
      <c r="K40" s="764"/>
      <c r="L40" s="764"/>
      <c r="M40" s="764"/>
      <c r="N40" s="764"/>
      <c r="O40" s="764"/>
      <c r="P40" s="764"/>
      <c r="Q40" s="764"/>
      <c r="R40" s="764"/>
      <c r="S40" s="764"/>
      <c r="T40" s="764"/>
      <c r="U40" s="764"/>
      <c r="V40" s="764"/>
      <c r="W40" s="764"/>
      <c r="X40" s="764"/>
      <c r="Y40" s="764"/>
      <c r="Z40" s="764"/>
      <c r="AA40" s="764"/>
      <c r="AB40" s="764"/>
      <c r="AC40" s="764"/>
    </row>
    <row r="41" spans="1:29" s="4" customFormat="1">
      <c r="B41" s="762"/>
      <c r="D41" s="764"/>
      <c r="E41" s="764"/>
      <c r="F41" s="764"/>
      <c r="G41" s="764"/>
      <c r="H41" s="764"/>
      <c r="I41" s="764"/>
      <c r="J41" s="764"/>
      <c r="K41" s="764"/>
      <c r="L41" s="764"/>
      <c r="M41" s="764"/>
      <c r="N41" s="764"/>
      <c r="O41" s="764"/>
      <c r="P41" s="764"/>
      <c r="Q41" s="764"/>
      <c r="R41" s="764"/>
      <c r="S41" s="764"/>
      <c r="T41" s="764"/>
      <c r="U41" s="764"/>
      <c r="V41" s="764"/>
      <c r="W41" s="764"/>
      <c r="X41" s="764"/>
      <c r="Y41" s="764"/>
      <c r="Z41" s="764"/>
      <c r="AA41" s="764"/>
      <c r="AB41" s="764"/>
      <c r="AC41" s="764"/>
    </row>
    <row r="42" spans="1:29" s="4" customFormat="1">
      <c r="B42" s="762"/>
      <c r="D42" s="764"/>
      <c r="E42" s="764"/>
      <c r="F42" s="764"/>
      <c r="G42" s="764"/>
      <c r="H42" s="764"/>
      <c r="I42" s="764"/>
      <c r="J42" s="764"/>
      <c r="K42" s="764"/>
      <c r="L42" s="764"/>
      <c r="M42" s="764"/>
      <c r="N42" s="764"/>
      <c r="O42" s="764"/>
      <c r="P42" s="764"/>
      <c r="Q42" s="764"/>
      <c r="R42" s="764"/>
      <c r="S42" s="764"/>
      <c r="T42" s="764"/>
      <c r="U42" s="764"/>
      <c r="V42" s="764"/>
      <c r="W42" s="764"/>
      <c r="X42" s="764"/>
      <c r="Y42" s="764"/>
      <c r="Z42" s="764"/>
      <c r="AA42" s="764"/>
      <c r="AB42" s="764"/>
      <c r="AC42" s="764"/>
    </row>
    <row r="43" spans="1:29" s="4" customFormat="1">
      <c r="B43" s="762"/>
      <c r="D43" s="764"/>
      <c r="E43" s="764"/>
      <c r="F43" s="764"/>
      <c r="G43" s="764"/>
      <c r="H43" s="764"/>
      <c r="I43" s="764"/>
      <c r="J43" s="764"/>
      <c r="K43" s="764"/>
      <c r="L43" s="764"/>
      <c r="M43" s="764"/>
      <c r="N43" s="764"/>
      <c r="O43" s="764"/>
      <c r="P43" s="764"/>
      <c r="Q43" s="764"/>
      <c r="R43" s="764"/>
      <c r="S43" s="764"/>
      <c r="T43" s="764"/>
      <c r="U43" s="764"/>
      <c r="V43" s="764"/>
      <c r="W43" s="764"/>
      <c r="X43" s="764"/>
      <c r="Y43" s="764"/>
      <c r="Z43" s="764"/>
      <c r="AA43" s="764"/>
      <c r="AB43" s="764"/>
      <c r="AC43" s="764"/>
    </row>
    <row r="44" spans="1:29" s="4" customFormat="1">
      <c r="B44" s="762"/>
      <c r="D44" s="764"/>
      <c r="E44" s="764"/>
      <c r="F44" s="764"/>
      <c r="G44" s="764"/>
      <c r="H44" s="764"/>
      <c r="I44" s="764"/>
      <c r="J44" s="764"/>
      <c r="K44" s="764"/>
      <c r="L44" s="764"/>
      <c r="M44" s="764"/>
      <c r="N44" s="764"/>
      <c r="O44" s="764"/>
      <c r="P44" s="764"/>
      <c r="Q44" s="764"/>
      <c r="R44" s="764"/>
      <c r="S44" s="764"/>
      <c r="T44" s="764"/>
      <c r="U44" s="764"/>
      <c r="V44" s="764"/>
      <c r="W44" s="764"/>
      <c r="X44" s="764"/>
      <c r="Y44" s="764"/>
      <c r="Z44" s="764"/>
      <c r="AA44" s="764"/>
      <c r="AB44" s="764"/>
      <c r="AC44" s="764"/>
    </row>
    <row r="45" spans="1:29" s="4" customFormat="1">
      <c r="B45" s="762"/>
      <c r="D45" s="764"/>
      <c r="E45" s="764"/>
      <c r="F45" s="764"/>
      <c r="G45" s="764"/>
      <c r="H45" s="764"/>
      <c r="I45" s="764"/>
      <c r="J45" s="764"/>
      <c r="K45" s="764"/>
      <c r="L45" s="764"/>
      <c r="M45" s="764"/>
      <c r="N45" s="764"/>
      <c r="O45" s="764"/>
      <c r="P45" s="764"/>
      <c r="Q45" s="764"/>
      <c r="R45" s="764"/>
      <c r="S45" s="764"/>
      <c r="T45" s="764"/>
      <c r="U45" s="764"/>
      <c r="V45" s="764"/>
      <c r="W45" s="764"/>
      <c r="X45" s="764"/>
      <c r="Y45" s="764"/>
      <c r="Z45" s="764"/>
      <c r="AA45" s="764"/>
      <c r="AB45" s="764"/>
      <c r="AC45" s="764"/>
    </row>
    <row r="46" spans="1:29" s="4" customFormat="1">
      <c r="B46" s="762"/>
      <c r="D46" s="764"/>
      <c r="E46" s="764"/>
      <c r="F46" s="764"/>
      <c r="G46" s="764"/>
      <c r="H46" s="764"/>
      <c r="I46" s="764"/>
      <c r="J46" s="764"/>
      <c r="K46" s="764"/>
      <c r="L46" s="764"/>
      <c r="M46" s="764"/>
      <c r="N46" s="764"/>
      <c r="O46" s="764"/>
      <c r="P46" s="764"/>
      <c r="Q46" s="764"/>
      <c r="R46" s="764"/>
      <c r="S46" s="764"/>
      <c r="T46" s="764"/>
      <c r="U46" s="764"/>
      <c r="V46" s="764"/>
      <c r="W46" s="764"/>
      <c r="X46" s="764"/>
      <c r="Y46" s="764"/>
      <c r="Z46" s="764"/>
      <c r="AA46" s="764"/>
      <c r="AB46" s="764"/>
      <c r="AC46" s="764"/>
    </row>
    <row r="47" spans="1:29" s="4" customFormat="1">
      <c r="B47" s="762"/>
      <c r="D47" s="764"/>
      <c r="E47" s="764"/>
      <c r="F47" s="764"/>
      <c r="G47" s="764"/>
      <c r="H47" s="764"/>
      <c r="I47" s="764"/>
      <c r="J47" s="764"/>
      <c r="K47" s="764"/>
      <c r="L47" s="764"/>
      <c r="M47" s="764"/>
      <c r="N47" s="764"/>
      <c r="O47" s="764"/>
      <c r="P47" s="764"/>
      <c r="Q47" s="764"/>
      <c r="R47" s="764"/>
      <c r="S47" s="764"/>
      <c r="T47" s="764"/>
      <c r="U47" s="764"/>
      <c r="V47" s="764"/>
      <c r="W47" s="764"/>
      <c r="X47" s="764"/>
      <c r="Y47" s="764"/>
      <c r="Z47" s="764"/>
      <c r="AA47" s="764"/>
      <c r="AB47" s="764"/>
      <c r="AC47" s="764"/>
    </row>
  </sheetData>
  <pageMargins left="0.7" right="0.7" top="0.75" bottom="0.75" header="0.3" footer="0.3"/>
  <pageSetup orientation="portrait" horizontalDpi="300" verticalDpi="300" r:id="rId1"/>
  <headerFooter>
    <oddHeader>&amp;LAppendix E-2: Incremental Cost Calculation&amp;RClean Energy Implementation Plan</oddHeader>
    <oddFooter>&amp;LDECEMBER 17, 2021&amp;C&amp;P of &amp;N&amp;RPuget Sound Energy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7"/>
  <sheetViews>
    <sheetView tabSelected="1" view="pageLayout" zoomScale="80" zoomScaleNormal="100" zoomScalePageLayoutView="80" workbookViewId="0">
      <selection activeCell="E17" sqref="E17"/>
    </sheetView>
  </sheetViews>
  <sheetFormatPr defaultColWidth="8.85546875" defaultRowHeight="12.75"/>
  <cols>
    <col min="1" max="1" width="27.5703125" style="120" customWidth="1"/>
    <col min="2" max="2" width="4" style="120" customWidth="1"/>
    <col min="3" max="3" width="26.85546875" style="120" customWidth="1"/>
    <col min="4" max="4" width="14.28515625" style="156" customWidth="1"/>
    <col min="5" max="5" width="13.140625" style="120" customWidth="1"/>
    <col min="6" max="6" width="13.85546875" style="120" customWidth="1"/>
    <col min="7" max="7" width="15.85546875" style="120" customWidth="1"/>
    <col min="8" max="8" width="18.28515625" style="120" customWidth="1"/>
    <col min="9" max="9" width="15" style="120" bestFit="1" customWidth="1"/>
    <col min="10" max="10" width="26.85546875" style="120" customWidth="1"/>
    <col min="11" max="11" width="1.5703125" style="120" customWidth="1"/>
    <col min="12" max="12" width="11" style="120" customWidth="1"/>
    <col min="13" max="13" width="12.5703125" style="193" customWidth="1"/>
    <col min="14" max="14" width="18" style="120" customWidth="1"/>
    <col min="15" max="16" width="14.85546875" style="120" bestFit="1" customWidth="1"/>
    <col min="17" max="18" width="13.5703125" style="120" bestFit="1" customWidth="1"/>
    <col min="19" max="20" width="14.42578125" style="120" bestFit="1" customWidth="1"/>
    <col min="21" max="25" width="13.5703125" style="120" bestFit="1" customWidth="1"/>
    <col min="26" max="26" width="14.85546875" style="120" bestFit="1" customWidth="1"/>
    <col min="27" max="28" width="12.5703125" style="137" bestFit="1" customWidth="1"/>
    <col min="29" max="16384" width="8.85546875" style="137"/>
  </cols>
  <sheetData>
    <row r="1" spans="1:28" ht="33" customHeight="1">
      <c r="C1" s="794" t="s">
        <v>746</v>
      </c>
      <c r="D1" s="794"/>
      <c r="E1" s="794"/>
      <c r="F1" s="794"/>
      <c r="G1" s="794"/>
      <c r="H1" s="795" t="s">
        <v>699</v>
      </c>
      <c r="I1" s="795"/>
      <c r="J1" s="795"/>
      <c r="K1" s="795"/>
      <c r="L1" s="795"/>
      <c r="M1" s="795"/>
      <c r="N1" s="795"/>
      <c r="O1" s="180"/>
      <c r="P1" s="180"/>
      <c r="Q1" s="180"/>
      <c r="R1" s="180"/>
      <c r="S1" s="180"/>
      <c r="T1" s="180"/>
      <c r="U1" s="180"/>
      <c r="V1" s="180"/>
      <c r="W1" s="180"/>
      <c r="X1" s="180"/>
      <c r="Y1" s="180"/>
      <c r="Z1" s="180"/>
    </row>
    <row r="2" spans="1:28">
      <c r="A2" s="186" t="s">
        <v>696</v>
      </c>
      <c r="B2" s="161"/>
      <c r="C2" s="137"/>
      <c r="D2" s="186">
        <v>2022</v>
      </c>
      <c r="E2" s="186">
        <v>2023</v>
      </c>
      <c r="F2" s="186">
        <v>2024</v>
      </c>
      <c r="G2" s="186">
        <v>2025</v>
      </c>
      <c r="H2" s="795"/>
      <c r="I2" s="795"/>
      <c r="J2" s="795"/>
      <c r="K2" s="795"/>
      <c r="L2" s="795"/>
      <c r="M2" s="795"/>
      <c r="N2" s="795"/>
      <c r="O2" s="161"/>
      <c r="P2" s="161"/>
      <c r="Q2" s="161"/>
      <c r="R2" s="161"/>
      <c r="S2" s="161"/>
      <c r="T2" s="161"/>
      <c r="U2" s="161"/>
      <c r="V2" s="161"/>
      <c r="W2" s="161"/>
      <c r="X2" s="161"/>
      <c r="Y2" s="161"/>
      <c r="Z2" s="161"/>
    </row>
    <row r="3" spans="1:28" ht="12.95" customHeight="1" thickBot="1">
      <c r="A3" s="186"/>
      <c r="B3" s="163"/>
      <c r="C3" s="137"/>
      <c r="D3" s="161"/>
      <c r="E3" s="161"/>
      <c r="F3" s="161"/>
      <c r="G3" s="161"/>
      <c r="H3" s="713"/>
      <c r="I3" s="713"/>
      <c r="J3" s="713"/>
      <c r="K3" s="166"/>
      <c r="L3" s="137"/>
      <c r="M3" s="137"/>
      <c r="N3" s="137"/>
      <c r="O3" s="166"/>
      <c r="P3" s="166"/>
      <c r="Q3" s="166"/>
      <c r="R3" s="166"/>
      <c r="S3" s="166"/>
      <c r="T3" s="166"/>
      <c r="U3" s="166"/>
      <c r="V3" s="166"/>
      <c r="W3" s="166"/>
      <c r="X3" s="166"/>
      <c r="Y3" s="166"/>
      <c r="Z3" s="166"/>
    </row>
    <row r="4" spans="1:28" ht="15.6" customHeight="1">
      <c r="A4" s="186" t="s">
        <v>143</v>
      </c>
      <c r="B4" s="137"/>
      <c r="C4" s="690" t="s">
        <v>728</v>
      </c>
      <c r="D4" s="691">
        <v>0</v>
      </c>
      <c r="E4" s="691">
        <v>0</v>
      </c>
      <c r="F4" s="691">
        <v>0</v>
      </c>
      <c r="G4" s="692">
        <v>0</v>
      </c>
      <c r="H4" s="790" t="s">
        <v>588</v>
      </c>
      <c r="I4" s="790"/>
      <c r="J4" s="791"/>
      <c r="K4" s="167"/>
      <c r="L4" s="137"/>
      <c r="M4" s="137"/>
      <c r="N4" s="137"/>
      <c r="O4" s="167"/>
      <c r="P4" s="167"/>
      <c r="Q4" s="167"/>
      <c r="R4" s="167"/>
      <c r="S4" s="167"/>
      <c r="T4" s="167"/>
      <c r="U4" s="167"/>
      <c r="V4" s="167"/>
      <c r="W4" s="167"/>
      <c r="X4" s="167"/>
      <c r="Y4" s="167"/>
      <c r="Z4" s="167"/>
    </row>
    <row r="5" spans="1:28" ht="13.5" thickBot="1">
      <c r="B5" s="156"/>
      <c r="C5" s="693" t="s">
        <v>729</v>
      </c>
      <c r="D5" s="694">
        <v>0</v>
      </c>
      <c r="E5" s="695">
        <v>4.0070669942546715</v>
      </c>
      <c r="F5" s="695">
        <v>8.1072779917777869</v>
      </c>
      <c r="G5" s="696">
        <v>16.408309764101379</v>
      </c>
      <c r="H5" s="792" t="s">
        <v>143</v>
      </c>
      <c r="I5" s="792"/>
      <c r="J5" s="792"/>
      <c r="K5" s="172"/>
      <c r="L5" s="172"/>
      <c r="M5" s="172"/>
      <c r="N5" s="172"/>
      <c r="O5" s="172"/>
      <c r="P5" s="172"/>
      <c r="Q5" s="172"/>
      <c r="R5" s="172"/>
      <c r="S5" s="172"/>
      <c r="T5" s="172"/>
      <c r="U5" s="172"/>
      <c r="V5" s="172"/>
      <c r="W5" s="172"/>
      <c r="X5" s="172"/>
      <c r="Y5" s="172"/>
      <c r="Z5" s="172"/>
    </row>
    <row r="6" spans="1:28" ht="14.1" customHeight="1">
      <c r="B6" s="137"/>
      <c r="C6" s="697" t="s">
        <v>730</v>
      </c>
      <c r="D6" s="698">
        <f>'IRP No-CETA Costs'!C10*1000</f>
        <v>0</v>
      </c>
      <c r="E6" s="698">
        <f>'IRP No-CETA Costs'!D10*1000</f>
        <v>0</v>
      </c>
      <c r="F6" s="698">
        <f>'IRP No-CETA Costs'!E10*1000</f>
        <v>0</v>
      </c>
      <c r="G6" s="699">
        <f>'IRP No-CETA Costs'!F10*1000</f>
        <v>0</v>
      </c>
      <c r="K6" s="137"/>
      <c r="L6" s="137"/>
      <c r="M6" s="137"/>
      <c r="N6" s="137"/>
      <c r="O6" s="137"/>
      <c r="P6" s="137"/>
      <c r="Q6" s="137"/>
      <c r="R6" s="137"/>
      <c r="S6" s="137"/>
      <c r="T6" s="137"/>
      <c r="U6" s="137"/>
      <c r="V6" s="137"/>
      <c r="W6" s="137"/>
      <c r="X6" s="137"/>
      <c r="Y6" s="137"/>
      <c r="Z6" s="137"/>
    </row>
    <row r="7" spans="1:28" ht="14.1" customHeight="1" thickBot="1">
      <c r="B7" s="137"/>
      <c r="C7" s="700" t="s">
        <v>731</v>
      </c>
      <c r="D7" s="708">
        <f>'CEIP With-CETA Costs'!C10*1000+I8</f>
        <v>140929.70701735042</v>
      </c>
      <c r="E7" s="701">
        <f>'CEIP With-CETA Costs'!D10*1000</f>
        <v>878349.67041015625</v>
      </c>
      <c r="F7" s="701">
        <f>'CEIP With-CETA Costs'!E10*1000</f>
        <v>992970.76416015625</v>
      </c>
      <c r="G7" s="702">
        <f>'CEIP With-CETA Costs'!F10*1000</f>
        <v>2068516.845703125</v>
      </c>
      <c r="H7" s="644" t="s">
        <v>700</v>
      </c>
      <c r="I7" s="644" t="s">
        <v>701</v>
      </c>
      <c r="J7" s="644" t="s">
        <v>702</v>
      </c>
      <c r="K7" s="661"/>
      <c r="L7" s="661"/>
      <c r="M7" s="770" t="s">
        <v>829</v>
      </c>
      <c r="N7" s="770" t="s">
        <v>830</v>
      </c>
      <c r="O7" s="661"/>
      <c r="P7" s="661"/>
      <c r="Q7" s="661"/>
      <c r="R7" s="661"/>
      <c r="S7" s="661"/>
      <c r="T7" s="661"/>
      <c r="U7" s="661"/>
      <c r="V7" s="661"/>
      <c r="W7" s="661"/>
      <c r="X7" s="661"/>
      <c r="Y7" s="661"/>
      <c r="Z7" s="661"/>
      <c r="AA7" s="156"/>
      <c r="AB7" s="156"/>
    </row>
    <row r="8" spans="1:28">
      <c r="B8" s="137"/>
      <c r="C8" s="704" t="s">
        <v>593</v>
      </c>
      <c r="D8" s="703">
        <f>D7-D6</f>
        <v>140929.70701735042</v>
      </c>
      <c r="E8" s="703">
        <f t="shared" ref="E8:G8" si="0">E7-E6</f>
        <v>878349.67041015625</v>
      </c>
      <c r="F8" s="703">
        <f t="shared" si="0"/>
        <v>992970.76416015625</v>
      </c>
      <c r="G8" s="703">
        <f t="shared" si="0"/>
        <v>2068516.845703125</v>
      </c>
      <c r="H8" s="120" t="s">
        <v>589</v>
      </c>
      <c r="I8" s="171">
        <v>140929.70701735042</v>
      </c>
      <c r="J8" s="120" t="s">
        <v>559</v>
      </c>
      <c r="K8" s="137"/>
      <c r="L8" s="137">
        <v>2022</v>
      </c>
      <c r="M8" s="182">
        <v>0</v>
      </c>
      <c r="N8" s="162">
        <v>0</v>
      </c>
      <c r="O8" s="137"/>
      <c r="P8" s="137"/>
      <c r="Q8" s="137"/>
      <c r="R8" s="137"/>
      <c r="S8" s="137"/>
      <c r="T8" s="137"/>
      <c r="U8" s="137"/>
      <c r="V8" s="137"/>
      <c r="W8" s="137"/>
      <c r="X8" s="137"/>
      <c r="Y8" s="137"/>
      <c r="Z8" s="137"/>
      <c r="AA8" s="156"/>
      <c r="AB8" s="156"/>
    </row>
    <row r="9" spans="1:28">
      <c r="B9" s="156"/>
      <c r="C9" s="140"/>
      <c r="D9" s="175"/>
      <c r="E9" s="161"/>
      <c r="F9" s="161"/>
      <c r="G9" s="161"/>
      <c r="H9" s="120" t="s">
        <v>590</v>
      </c>
      <c r="I9" s="171">
        <v>7.5</v>
      </c>
      <c r="J9" s="140" t="s">
        <v>594</v>
      </c>
      <c r="K9" s="653"/>
      <c r="L9" s="137">
        <v>2023</v>
      </c>
      <c r="M9" s="190">
        <v>4.0070669942546715</v>
      </c>
      <c r="N9" s="162">
        <v>3310.8035803593566</v>
      </c>
      <c r="O9" s="653"/>
      <c r="P9" s="653"/>
      <c r="Q9" s="653"/>
      <c r="R9" s="653"/>
      <c r="S9" s="653"/>
      <c r="T9" s="653"/>
      <c r="U9" s="653"/>
      <c r="V9" s="653"/>
      <c r="W9" s="653"/>
      <c r="X9" s="653"/>
      <c r="Y9" s="653"/>
      <c r="Z9" s="653"/>
    </row>
    <row r="10" spans="1:28">
      <c r="B10" s="137"/>
      <c r="D10" s="175"/>
      <c r="E10" s="161"/>
      <c r="F10" s="161"/>
      <c r="G10" s="161"/>
      <c r="H10" s="120" t="s">
        <v>595</v>
      </c>
      <c r="I10" s="171">
        <v>215</v>
      </c>
      <c r="J10" s="120" t="s">
        <v>592</v>
      </c>
      <c r="K10" s="182"/>
      <c r="L10" s="137">
        <v>2024</v>
      </c>
      <c r="M10" s="182">
        <v>8.1072779917777869</v>
      </c>
      <c r="N10" s="162">
        <v>6698.5665676745548</v>
      </c>
      <c r="O10" s="182"/>
      <c r="P10" s="182"/>
      <c r="Q10" s="182"/>
      <c r="R10" s="182"/>
      <c r="S10" s="182"/>
      <c r="T10" s="182"/>
      <c r="U10" s="182"/>
      <c r="V10" s="182"/>
      <c r="W10" s="182"/>
      <c r="X10" s="182"/>
      <c r="Y10" s="182"/>
      <c r="Z10" s="182"/>
    </row>
    <row r="11" spans="1:28">
      <c r="B11" s="161"/>
      <c r="C11" s="140"/>
      <c r="D11" s="175"/>
      <c r="E11" s="175"/>
      <c r="F11" s="175"/>
      <c r="G11" s="175"/>
      <c r="H11" s="140" t="s">
        <v>591</v>
      </c>
      <c r="I11" s="158">
        <v>25</v>
      </c>
      <c r="J11" s="140" t="s">
        <v>592</v>
      </c>
      <c r="K11" s="161"/>
      <c r="L11" s="137">
        <v>2025</v>
      </c>
      <c r="M11" s="182">
        <v>16.408309764101379</v>
      </c>
      <c r="N11" s="162">
        <v>13557.220478849722</v>
      </c>
      <c r="O11" s="161"/>
      <c r="P11" s="161"/>
      <c r="Q11" s="161"/>
      <c r="R11" s="161"/>
      <c r="S11" s="161"/>
      <c r="T11" s="161"/>
      <c r="U11" s="161"/>
      <c r="V11" s="161"/>
      <c r="W11" s="161"/>
      <c r="X11" s="161"/>
      <c r="Y11" s="161"/>
      <c r="Z11" s="161"/>
    </row>
    <row r="12" spans="1:28">
      <c r="B12" s="155"/>
      <c r="C12" s="140"/>
      <c r="D12" s="140"/>
      <c r="E12" s="176"/>
      <c r="F12" s="176"/>
      <c r="G12" s="176"/>
      <c r="H12" s="140" t="s">
        <v>596</v>
      </c>
      <c r="I12" s="158">
        <v>40</v>
      </c>
      <c r="J12" s="140" t="s">
        <v>594</v>
      </c>
      <c r="K12" s="161"/>
      <c r="L12" s="161"/>
      <c r="M12" s="161"/>
      <c r="N12" s="161"/>
      <c r="O12" s="161"/>
      <c r="P12" s="161"/>
      <c r="Q12" s="161"/>
      <c r="R12" s="161"/>
      <c r="S12" s="161"/>
      <c r="T12" s="161"/>
      <c r="U12" s="161"/>
      <c r="V12" s="161"/>
      <c r="W12" s="161"/>
      <c r="X12" s="161"/>
      <c r="Y12" s="161"/>
      <c r="Z12" s="161"/>
    </row>
    <row r="13" spans="1:28">
      <c r="B13" s="156"/>
      <c r="D13" s="173"/>
      <c r="E13" s="173"/>
      <c r="F13" s="173"/>
      <c r="G13" s="173"/>
      <c r="K13" s="161"/>
      <c r="L13" s="161"/>
      <c r="M13" s="161"/>
      <c r="N13" s="161"/>
      <c r="O13" s="161"/>
      <c r="P13" s="161"/>
      <c r="Q13" s="161"/>
      <c r="R13" s="161"/>
      <c r="S13" s="161"/>
      <c r="T13" s="161"/>
      <c r="U13" s="161"/>
      <c r="V13" s="161"/>
      <c r="W13" s="161"/>
      <c r="X13" s="161"/>
      <c r="Y13" s="161"/>
      <c r="Z13" s="161"/>
    </row>
    <row r="14" spans="1:28" ht="13.5" thickBot="1">
      <c r="B14" s="137"/>
      <c r="C14" s="137"/>
      <c r="D14" s="187"/>
      <c r="E14" s="187"/>
      <c r="F14" s="187"/>
      <c r="G14" s="187"/>
      <c r="K14" s="161"/>
      <c r="L14" s="161"/>
      <c r="M14" s="161"/>
      <c r="N14" s="161"/>
      <c r="O14" s="161"/>
      <c r="P14" s="161"/>
      <c r="Q14" s="161"/>
      <c r="R14" s="161"/>
      <c r="S14" s="161"/>
      <c r="T14" s="161"/>
      <c r="U14" s="161"/>
      <c r="V14" s="161"/>
      <c r="W14" s="161"/>
      <c r="X14" s="161"/>
      <c r="Y14" s="161"/>
      <c r="Z14" s="161"/>
    </row>
    <row r="15" spans="1:28">
      <c r="A15" s="186" t="s">
        <v>144</v>
      </c>
      <c r="B15" s="156"/>
      <c r="C15" s="690" t="s">
        <v>728</v>
      </c>
      <c r="D15" s="691">
        <v>0</v>
      </c>
      <c r="E15" s="691">
        <v>0</v>
      </c>
      <c r="F15" s="691">
        <v>0</v>
      </c>
      <c r="G15" s="692">
        <v>0</v>
      </c>
      <c r="H15" s="790" t="s">
        <v>588</v>
      </c>
      <c r="I15" s="790"/>
      <c r="J15" s="791"/>
      <c r="K15" s="161"/>
      <c r="L15" s="161"/>
      <c r="M15" s="161"/>
      <c r="N15" s="161"/>
      <c r="O15" s="161"/>
      <c r="P15" s="161"/>
      <c r="Q15" s="161"/>
      <c r="R15" s="161"/>
      <c r="S15" s="161"/>
      <c r="T15" s="161"/>
      <c r="U15" s="161"/>
      <c r="V15" s="161"/>
      <c r="W15" s="161"/>
      <c r="X15" s="161"/>
      <c r="Y15" s="161"/>
      <c r="Z15" s="161"/>
    </row>
    <row r="16" spans="1:28" ht="13.5" thickBot="1">
      <c r="B16" s="156"/>
      <c r="C16" s="693" t="s">
        <v>729</v>
      </c>
      <c r="D16" s="694">
        <v>0</v>
      </c>
      <c r="E16" s="695">
        <v>4.7779350371536709E-2</v>
      </c>
      <c r="F16" s="695">
        <v>0.16208403645669267</v>
      </c>
      <c r="G16" s="696">
        <v>0.36145115047234849</v>
      </c>
      <c r="H16" s="792" t="s">
        <v>144</v>
      </c>
      <c r="I16" s="792"/>
      <c r="J16" s="792"/>
      <c r="K16" s="161"/>
      <c r="L16" s="161"/>
      <c r="M16" s="161"/>
      <c r="N16" s="161"/>
      <c r="O16" s="161"/>
      <c r="P16" s="161"/>
      <c r="Q16" s="161"/>
      <c r="R16" s="161"/>
      <c r="S16" s="161"/>
      <c r="T16" s="161"/>
      <c r="U16" s="161"/>
      <c r="V16" s="161"/>
      <c r="W16" s="161"/>
      <c r="X16" s="161"/>
      <c r="Y16" s="161"/>
      <c r="Z16" s="161"/>
    </row>
    <row r="17" spans="1:28" ht="14.45" customHeight="1">
      <c r="B17" s="137"/>
      <c r="C17" s="697" t="s">
        <v>730</v>
      </c>
      <c r="D17" s="698">
        <f>'IRP No-CETA Costs'!C11*1000</f>
        <v>0</v>
      </c>
      <c r="E17" s="698">
        <f>'IRP No-CETA Costs'!D11*1000</f>
        <v>0</v>
      </c>
      <c r="F17" s="698">
        <f>'IRP No-CETA Costs'!E11*1000</f>
        <v>0</v>
      </c>
      <c r="G17" s="699">
        <f>'IRP No-CETA Costs'!F11*1000</f>
        <v>0</v>
      </c>
      <c r="K17" s="648"/>
      <c r="L17" s="648"/>
      <c r="M17" s="648"/>
      <c r="N17" s="648"/>
      <c r="O17" s="648"/>
      <c r="P17" s="648"/>
      <c r="Q17" s="648"/>
      <c r="R17" s="648"/>
      <c r="S17" s="648"/>
      <c r="T17" s="648"/>
      <c r="U17" s="648"/>
      <c r="V17" s="648"/>
      <c r="W17" s="648"/>
      <c r="X17" s="648"/>
      <c r="Y17" s="648"/>
      <c r="Z17" s="648"/>
    </row>
    <row r="18" spans="1:28" ht="14.45" customHeight="1" thickBot="1">
      <c r="B18" s="137"/>
      <c r="C18" s="700" t="s">
        <v>731</v>
      </c>
      <c r="D18" s="708">
        <f>'CEIP With-CETA Costs'!C11*1000+I19</f>
        <v>9070.2929826495838</v>
      </c>
      <c r="E18" s="701">
        <f>'CEIP With-CETA Costs'!D11*1000</f>
        <v>2285.7084274291992</v>
      </c>
      <c r="F18" s="701">
        <f>'CEIP With-CETA Costs'!E11*1000</f>
        <v>6321.3496208190918</v>
      </c>
      <c r="G18" s="702">
        <f>'CEIP With-CETA Costs'!F11*1000</f>
        <v>13253.487586975099</v>
      </c>
      <c r="H18" s="644" t="s">
        <v>700</v>
      </c>
      <c r="I18" s="644" t="s">
        <v>701</v>
      </c>
      <c r="J18" s="644" t="s">
        <v>702</v>
      </c>
      <c r="K18" s="661"/>
      <c r="L18" s="661"/>
      <c r="M18" s="770" t="s">
        <v>829</v>
      </c>
      <c r="N18" s="770" t="s">
        <v>830</v>
      </c>
      <c r="O18" s="661"/>
      <c r="P18" s="661"/>
      <c r="Q18" s="661"/>
      <c r="R18" s="661"/>
      <c r="S18" s="661"/>
      <c r="T18" s="661"/>
      <c r="U18" s="661"/>
      <c r="V18" s="661"/>
      <c r="W18" s="661"/>
      <c r="X18" s="661"/>
      <c r="Y18" s="661"/>
      <c r="Z18" s="661"/>
    </row>
    <row r="19" spans="1:28">
      <c r="B19" s="156"/>
      <c r="C19" s="704" t="s">
        <v>593</v>
      </c>
      <c r="D19" s="703">
        <f>D18-D17</f>
        <v>9070.2929826495838</v>
      </c>
      <c r="E19" s="703">
        <f t="shared" ref="E19:G19" si="1">E18-E17</f>
        <v>2285.7084274291992</v>
      </c>
      <c r="F19" s="703">
        <f t="shared" si="1"/>
        <v>6321.3496208190918</v>
      </c>
      <c r="G19" s="703">
        <f t="shared" si="1"/>
        <v>13253.487586975099</v>
      </c>
      <c r="H19" s="120" t="s">
        <v>589</v>
      </c>
      <c r="I19" s="171">
        <v>9070.2929826495838</v>
      </c>
      <c r="J19" s="120" t="s">
        <v>559</v>
      </c>
      <c r="K19" s="653"/>
      <c r="L19" s="137">
        <v>2022</v>
      </c>
      <c r="M19" s="182">
        <v>0</v>
      </c>
      <c r="N19" s="162">
        <v>0</v>
      </c>
      <c r="O19" s="653"/>
      <c r="P19" s="653"/>
      <c r="Q19" s="653"/>
      <c r="R19" s="653"/>
      <c r="S19" s="653"/>
      <c r="T19" s="653"/>
      <c r="U19" s="653"/>
      <c r="V19" s="653"/>
      <c r="W19" s="653"/>
      <c r="X19" s="653"/>
      <c r="Y19" s="653"/>
      <c r="Z19" s="653"/>
      <c r="AA19" s="156"/>
      <c r="AB19" s="156"/>
    </row>
    <row r="20" spans="1:28">
      <c r="B20" s="161"/>
      <c r="D20" s="184"/>
      <c r="E20" s="159"/>
      <c r="F20" s="159"/>
      <c r="G20" s="159"/>
      <c r="H20" s="120" t="s">
        <v>590</v>
      </c>
      <c r="I20" s="171">
        <v>7.5</v>
      </c>
      <c r="J20" s="140" t="s">
        <v>594</v>
      </c>
      <c r="K20" s="653"/>
      <c r="L20" s="137">
        <v>2023</v>
      </c>
      <c r="M20" s="190">
        <v>4.7779350371536709E-2</v>
      </c>
      <c r="N20" s="162">
        <v>51.066920351229591</v>
      </c>
      <c r="O20" s="653"/>
      <c r="P20" s="653"/>
      <c r="Q20" s="653"/>
      <c r="R20" s="653"/>
      <c r="S20" s="653"/>
      <c r="T20" s="653"/>
      <c r="U20" s="653"/>
      <c r="V20" s="653"/>
      <c r="W20" s="653"/>
      <c r="X20" s="653"/>
      <c r="Y20" s="653"/>
      <c r="Z20" s="653"/>
    </row>
    <row r="21" spans="1:28">
      <c r="B21" s="161"/>
      <c r="C21" s="137"/>
      <c r="D21" s="180"/>
      <c r="E21" s="180"/>
      <c r="F21" s="180"/>
      <c r="G21" s="180"/>
      <c r="H21" s="140" t="s">
        <v>591</v>
      </c>
      <c r="I21" s="158">
        <v>25</v>
      </c>
      <c r="J21" s="120" t="s">
        <v>592</v>
      </c>
      <c r="K21" s="182"/>
      <c r="L21" s="137">
        <v>2024</v>
      </c>
      <c r="M21" s="182">
        <v>0.16208403645669267</v>
      </c>
      <c r="N21" s="162">
        <v>173.23660777252007</v>
      </c>
      <c r="O21" s="182"/>
      <c r="P21" s="182"/>
      <c r="Q21" s="182"/>
      <c r="R21" s="182"/>
      <c r="S21" s="182"/>
      <c r="T21" s="182"/>
      <c r="U21" s="182"/>
      <c r="V21" s="182"/>
      <c r="W21" s="182"/>
      <c r="X21" s="182"/>
      <c r="Y21" s="182"/>
      <c r="Z21" s="182"/>
    </row>
    <row r="22" spans="1:28">
      <c r="B22" s="163"/>
      <c r="C22" s="137"/>
      <c r="D22" s="180"/>
      <c r="E22" s="180"/>
      <c r="F22" s="180"/>
      <c r="G22" s="180"/>
      <c r="H22" s="140" t="s">
        <v>596</v>
      </c>
      <c r="I22" s="158">
        <v>40</v>
      </c>
      <c r="J22" s="140" t="s">
        <v>594</v>
      </c>
      <c r="K22" s="161"/>
      <c r="L22" s="137">
        <v>2025</v>
      </c>
      <c r="M22" s="182">
        <v>0.36145115047234849</v>
      </c>
      <c r="N22" s="162">
        <v>386.32164247732641</v>
      </c>
      <c r="O22" s="161"/>
      <c r="P22" s="161"/>
      <c r="Q22" s="161"/>
      <c r="R22" s="161"/>
      <c r="S22" s="161"/>
      <c r="T22" s="161"/>
      <c r="U22" s="161"/>
      <c r="V22" s="161"/>
      <c r="W22" s="161"/>
      <c r="X22" s="161"/>
      <c r="Y22" s="161"/>
      <c r="Z22" s="161"/>
    </row>
    <row r="23" spans="1:28">
      <c r="B23" s="163"/>
      <c r="C23" s="137"/>
      <c r="D23" s="181"/>
      <c r="E23" s="181"/>
      <c r="F23" s="181"/>
      <c r="G23" s="181"/>
      <c r="K23" s="161"/>
      <c r="L23" s="161"/>
      <c r="M23" s="161"/>
      <c r="N23" s="161"/>
      <c r="O23" s="161"/>
      <c r="P23" s="161"/>
      <c r="Q23" s="161"/>
      <c r="R23" s="161"/>
      <c r="S23" s="161"/>
      <c r="T23" s="161"/>
      <c r="U23" s="161"/>
      <c r="V23" s="161"/>
      <c r="W23" s="161"/>
      <c r="X23" s="161"/>
      <c r="Y23" s="161"/>
      <c r="Z23" s="161"/>
    </row>
    <row r="24" spans="1:28" ht="13.5" thickBot="1">
      <c r="B24" s="163"/>
      <c r="C24" s="137"/>
      <c r="D24" s="181"/>
      <c r="E24" s="181"/>
      <c r="F24" s="181"/>
      <c r="G24" s="181"/>
      <c r="K24" s="161"/>
      <c r="L24" s="161"/>
      <c r="M24" s="161"/>
      <c r="N24" s="161"/>
      <c r="O24" s="161"/>
      <c r="P24" s="161"/>
      <c r="Q24" s="161"/>
      <c r="R24" s="161"/>
      <c r="S24" s="161"/>
      <c r="T24" s="161"/>
      <c r="U24" s="161"/>
      <c r="V24" s="161"/>
      <c r="W24" s="161"/>
      <c r="X24" s="161"/>
      <c r="Y24" s="161"/>
      <c r="Z24" s="161"/>
    </row>
    <row r="25" spans="1:28">
      <c r="A25" s="186" t="s">
        <v>145</v>
      </c>
      <c r="B25" s="156"/>
      <c r="C25" s="690" t="s">
        <v>728</v>
      </c>
      <c r="D25" s="691">
        <v>0</v>
      </c>
      <c r="E25" s="691">
        <v>0</v>
      </c>
      <c r="F25" s="691">
        <v>0</v>
      </c>
      <c r="G25" s="692">
        <v>0</v>
      </c>
      <c r="H25" s="790" t="s">
        <v>588</v>
      </c>
      <c r="I25" s="790"/>
      <c r="J25" s="791"/>
      <c r="K25" s="161"/>
      <c r="L25" s="161"/>
      <c r="M25" s="161"/>
      <c r="N25" s="161"/>
      <c r="O25" s="161"/>
      <c r="P25" s="161"/>
      <c r="Q25" s="161"/>
      <c r="R25" s="161"/>
      <c r="S25" s="161"/>
      <c r="T25" s="161"/>
      <c r="U25" s="161"/>
      <c r="V25" s="161"/>
      <c r="W25" s="161"/>
      <c r="X25" s="161"/>
      <c r="Y25" s="161"/>
      <c r="Z25" s="161"/>
    </row>
    <row r="26" spans="1:28" ht="13.5" thickBot="1">
      <c r="B26" s="156"/>
      <c r="C26" s="693" t="s">
        <v>729</v>
      </c>
      <c r="D26" s="694">
        <v>0</v>
      </c>
      <c r="E26" s="694">
        <v>0</v>
      </c>
      <c r="F26" s="694">
        <v>0</v>
      </c>
      <c r="G26" s="715">
        <v>0</v>
      </c>
      <c r="H26" s="792" t="s">
        <v>145</v>
      </c>
      <c r="I26" s="792"/>
      <c r="J26" s="792"/>
      <c r="K26" s="180"/>
      <c r="L26" s="180"/>
      <c r="M26" s="180"/>
      <c r="N26" s="180"/>
      <c r="O26" s="180"/>
      <c r="P26" s="180"/>
      <c r="Q26" s="180"/>
      <c r="R26" s="180"/>
      <c r="S26" s="180"/>
      <c r="T26" s="180"/>
      <c r="U26" s="180"/>
      <c r="V26" s="180"/>
      <c r="W26" s="180"/>
      <c r="X26" s="180"/>
      <c r="Y26" s="180"/>
      <c r="Z26" s="180"/>
    </row>
    <row r="27" spans="1:28" ht="14.45" customHeight="1">
      <c r="B27" s="156"/>
      <c r="C27" s="697" t="s">
        <v>730</v>
      </c>
      <c r="D27" s="698">
        <f>'IRP No-CETA Costs'!C12*1000</f>
        <v>0</v>
      </c>
      <c r="E27" s="698">
        <f>'IRP No-CETA Costs'!D12*1000</f>
        <v>0</v>
      </c>
      <c r="F27" s="698">
        <f>'IRP No-CETA Costs'!E12*1000</f>
        <v>0</v>
      </c>
      <c r="G27" s="699">
        <f>'IRP No-CETA Costs'!F12*1000</f>
        <v>0</v>
      </c>
      <c r="K27" s="180"/>
      <c r="L27" s="180"/>
      <c r="M27" s="180"/>
      <c r="N27" s="182"/>
      <c r="O27" s="182"/>
      <c r="P27" s="182"/>
      <c r="Q27" s="182"/>
      <c r="R27" s="182"/>
      <c r="S27" s="182"/>
      <c r="T27" s="182"/>
      <c r="U27" s="182"/>
      <c r="V27" s="182"/>
      <c r="W27" s="182"/>
      <c r="X27" s="182"/>
      <c r="Y27" s="182"/>
      <c r="Z27" s="182"/>
    </row>
    <row r="28" spans="1:28" ht="14.45" customHeight="1" thickBot="1">
      <c r="B28" s="156"/>
      <c r="C28" s="700" t="s">
        <v>731</v>
      </c>
      <c r="D28" s="701">
        <f>'CEIP With-CETA Costs'!C12*1000</f>
        <v>0</v>
      </c>
      <c r="E28" s="701">
        <f>'CEIP With-CETA Costs'!D12*1000</f>
        <v>0</v>
      </c>
      <c r="F28" s="701">
        <f>'CEIP With-CETA Costs'!E12*1000</f>
        <v>0</v>
      </c>
      <c r="G28" s="755">
        <f>'CEIP With-CETA Costs'!F12*1000+I29</f>
        <v>22938.670107452454</v>
      </c>
      <c r="H28" s="644" t="s">
        <v>700</v>
      </c>
      <c r="I28" s="644" t="s">
        <v>701</v>
      </c>
      <c r="J28" s="644" t="s">
        <v>702</v>
      </c>
      <c r="K28" s="182"/>
      <c r="L28" s="661"/>
      <c r="M28" s="770" t="s">
        <v>829</v>
      </c>
      <c r="N28" s="770" t="s">
        <v>830</v>
      </c>
      <c r="O28" s="182"/>
      <c r="P28" s="182"/>
      <c r="Q28" s="182"/>
      <c r="R28" s="182"/>
      <c r="S28" s="182"/>
      <c r="T28" s="182"/>
      <c r="U28" s="182"/>
      <c r="V28" s="182"/>
      <c r="W28" s="182"/>
      <c r="X28" s="182"/>
      <c r="Y28" s="182"/>
      <c r="Z28" s="182"/>
    </row>
    <row r="29" spans="1:28" ht="12" customHeight="1">
      <c r="B29" s="156"/>
      <c r="C29" s="704" t="s">
        <v>593</v>
      </c>
      <c r="D29" s="703">
        <f>D28-D27</f>
        <v>0</v>
      </c>
      <c r="E29" s="703">
        <f t="shared" ref="E29:G29" si="2">E28-E27</f>
        <v>0</v>
      </c>
      <c r="F29" s="703">
        <f t="shared" si="2"/>
        <v>0</v>
      </c>
      <c r="G29" s="703">
        <f t="shared" si="2"/>
        <v>22938.670107452454</v>
      </c>
      <c r="H29" s="156" t="s">
        <v>589</v>
      </c>
      <c r="I29" s="170">
        <v>22938.670107452454</v>
      </c>
      <c r="J29" s="120" t="s">
        <v>559</v>
      </c>
      <c r="K29" s="182"/>
      <c r="L29" s="137">
        <v>2022</v>
      </c>
      <c r="M29" s="182">
        <v>0</v>
      </c>
      <c r="N29" s="162">
        <v>0</v>
      </c>
      <c r="O29" s="182"/>
      <c r="P29" s="182"/>
      <c r="Q29" s="182"/>
      <c r="R29" s="182"/>
      <c r="S29" s="182"/>
      <c r="T29" s="182"/>
      <c r="U29" s="182"/>
      <c r="V29" s="182"/>
      <c r="W29" s="182"/>
      <c r="X29" s="182"/>
      <c r="Y29" s="182"/>
      <c r="Z29" s="182"/>
    </row>
    <row r="30" spans="1:28">
      <c r="B30" s="156"/>
      <c r="C30" s="137"/>
      <c r="D30" s="137"/>
      <c r="E30" s="137"/>
      <c r="F30" s="137"/>
      <c r="G30" s="137"/>
      <c r="H30" s="156" t="s">
        <v>590</v>
      </c>
      <c r="I30" s="165">
        <v>7.5</v>
      </c>
      <c r="J30" s="120" t="s">
        <v>594</v>
      </c>
      <c r="K30" s="653"/>
      <c r="L30" s="137">
        <v>2023</v>
      </c>
      <c r="M30" s="190">
        <v>5.0168069346103419</v>
      </c>
      <c r="N30" s="162">
        <v>8485.7786988327407</v>
      </c>
      <c r="O30" s="653"/>
      <c r="P30" s="653"/>
      <c r="Q30" s="653"/>
      <c r="R30" s="653"/>
      <c r="S30" s="653"/>
      <c r="T30" s="653"/>
      <c r="U30" s="653"/>
      <c r="V30" s="653"/>
      <c r="W30" s="653"/>
      <c r="X30" s="653"/>
      <c r="Y30" s="653"/>
      <c r="Z30" s="653"/>
    </row>
    <row r="31" spans="1:28">
      <c r="B31" s="156"/>
      <c r="C31" s="137"/>
      <c r="D31" s="161"/>
      <c r="E31" s="161"/>
      <c r="F31" s="161"/>
      <c r="G31" s="161"/>
      <c r="H31" s="156" t="s">
        <v>595</v>
      </c>
      <c r="I31" s="170">
        <v>315</v>
      </c>
      <c r="J31" s="120" t="s">
        <v>592</v>
      </c>
      <c r="K31" s="182"/>
      <c r="L31" s="137">
        <v>2024</v>
      </c>
      <c r="M31" s="182">
        <v>9.4659440943592816</v>
      </c>
      <c r="N31" s="162">
        <v>16011.36097267305</v>
      </c>
      <c r="O31" s="182"/>
      <c r="P31" s="182"/>
      <c r="Q31" s="182"/>
      <c r="R31" s="182"/>
      <c r="S31" s="182"/>
      <c r="T31" s="182"/>
      <c r="U31" s="182"/>
      <c r="V31" s="182"/>
      <c r="W31" s="182"/>
      <c r="X31" s="182"/>
      <c r="Y31" s="182"/>
      <c r="Z31" s="182"/>
    </row>
    <row r="32" spans="1:28">
      <c r="B32" s="161"/>
      <c r="C32" s="137"/>
      <c r="D32" s="175"/>
      <c r="E32" s="175"/>
      <c r="F32" s="175"/>
      <c r="G32" s="175"/>
      <c r="H32" s="137" t="s">
        <v>591</v>
      </c>
      <c r="I32" s="157">
        <v>25</v>
      </c>
      <c r="J32" s="120" t="s">
        <v>592</v>
      </c>
      <c r="K32" s="161"/>
      <c r="L32" s="137">
        <v>2025</v>
      </c>
      <c r="M32" s="182">
        <v>17.773188598933221</v>
      </c>
      <c r="N32" s="162">
        <v>30062.816287124788</v>
      </c>
      <c r="O32" s="161"/>
      <c r="P32" s="161"/>
      <c r="Q32" s="161"/>
      <c r="R32" s="161"/>
      <c r="S32" s="161"/>
      <c r="T32" s="161"/>
      <c r="U32" s="161"/>
      <c r="V32" s="161"/>
      <c r="W32" s="161"/>
      <c r="X32" s="161"/>
      <c r="Y32" s="161"/>
      <c r="Z32" s="161"/>
    </row>
    <row r="33" spans="1:26">
      <c r="B33" s="161"/>
      <c r="C33" s="137"/>
      <c r="D33" s="184"/>
      <c r="E33" s="184"/>
      <c r="F33" s="184"/>
      <c r="G33" s="184"/>
      <c r="H33" s="137" t="s">
        <v>596</v>
      </c>
      <c r="I33" s="162">
        <v>24</v>
      </c>
      <c r="J33" s="120" t="s">
        <v>594</v>
      </c>
      <c r="K33" s="161"/>
      <c r="L33" s="161"/>
      <c r="M33" s="161"/>
      <c r="N33" s="161"/>
      <c r="O33" s="161"/>
      <c r="P33" s="161"/>
      <c r="Q33" s="161"/>
      <c r="R33" s="161"/>
      <c r="S33" s="161"/>
      <c r="T33" s="161"/>
      <c r="U33" s="161"/>
      <c r="V33" s="161"/>
      <c r="W33" s="161"/>
      <c r="X33" s="161"/>
      <c r="Y33" s="161"/>
      <c r="Z33" s="161"/>
    </row>
    <row r="34" spans="1:26">
      <c r="B34" s="163"/>
      <c r="C34" s="137"/>
      <c r="D34" s="177"/>
      <c r="E34" s="177"/>
      <c r="F34" s="177"/>
      <c r="G34" s="177"/>
      <c r="K34" s="161"/>
      <c r="L34" s="161"/>
      <c r="M34" s="161"/>
      <c r="N34" s="161"/>
      <c r="O34" s="161"/>
      <c r="P34" s="161"/>
      <c r="Q34" s="161"/>
      <c r="R34" s="161"/>
      <c r="S34" s="161"/>
      <c r="T34" s="161"/>
      <c r="U34" s="161"/>
      <c r="V34" s="161"/>
      <c r="W34" s="161"/>
      <c r="X34" s="161"/>
      <c r="Y34" s="161"/>
      <c r="Z34" s="161"/>
    </row>
    <row r="35" spans="1:26">
      <c r="B35" s="156"/>
      <c r="C35" s="137"/>
      <c r="D35" s="132"/>
      <c r="E35" s="132"/>
      <c r="F35" s="132"/>
      <c r="G35" s="132"/>
      <c r="K35" s="137"/>
      <c r="L35" s="137"/>
      <c r="M35" s="137"/>
      <c r="N35" s="137"/>
      <c r="O35" s="137"/>
      <c r="P35" s="137"/>
      <c r="Q35" s="137"/>
      <c r="R35" s="137"/>
      <c r="S35" s="137"/>
      <c r="T35" s="137"/>
      <c r="U35" s="137"/>
      <c r="V35" s="137"/>
      <c r="W35" s="137"/>
      <c r="X35" s="137"/>
      <c r="Y35" s="137"/>
      <c r="Z35" s="137"/>
    </row>
    <row r="36" spans="1:26" ht="13.5" thickBot="1">
      <c r="B36" s="155"/>
      <c r="D36" s="159"/>
      <c r="E36" s="159"/>
      <c r="F36" s="159"/>
      <c r="G36" s="159"/>
      <c r="H36" s="137"/>
      <c r="I36" s="158"/>
      <c r="J36" s="140"/>
      <c r="K36" s="161"/>
      <c r="L36" s="161"/>
      <c r="M36" s="161"/>
      <c r="N36" s="161"/>
      <c r="O36" s="161"/>
      <c r="P36" s="161"/>
      <c r="Q36" s="161"/>
      <c r="R36" s="161"/>
      <c r="S36" s="161"/>
      <c r="T36" s="161"/>
      <c r="U36" s="161"/>
      <c r="V36" s="161"/>
      <c r="W36" s="161"/>
      <c r="X36" s="161"/>
      <c r="Y36" s="161"/>
      <c r="Z36" s="161"/>
    </row>
    <row r="37" spans="1:26">
      <c r="A37" s="186" t="s">
        <v>146</v>
      </c>
      <c r="B37" s="156"/>
      <c r="C37" s="690" t="s">
        <v>728</v>
      </c>
      <c r="D37" s="691">
        <v>0</v>
      </c>
      <c r="E37" s="691">
        <v>0.59525259808410347</v>
      </c>
      <c r="F37" s="691">
        <v>1.861255513493294</v>
      </c>
      <c r="G37" s="692">
        <v>5.096519535901888</v>
      </c>
      <c r="H37" s="790" t="s">
        <v>588</v>
      </c>
      <c r="I37" s="790"/>
      <c r="J37" s="791"/>
      <c r="K37" s="161"/>
      <c r="L37" s="161"/>
      <c r="M37" s="161"/>
      <c r="N37" s="161"/>
      <c r="O37" s="161"/>
      <c r="P37" s="161"/>
      <c r="Q37" s="161"/>
      <c r="R37" s="161"/>
      <c r="S37" s="161"/>
      <c r="T37" s="161"/>
      <c r="U37" s="161"/>
      <c r="V37" s="161"/>
      <c r="W37" s="161"/>
      <c r="X37" s="161"/>
      <c r="Y37" s="161"/>
      <c r="Z37" s="161"/>
    </row>
    <row r="38" spans="1:26" ht="13.5" thickBot="1">
      <c r="A38" s="186"/>
      <c r="B38" s="137"/>
      <c r="C38" s="693" t="s">
        <v>729</v>
      </c>
      <c r="D38" s="694">
        <v>0</v>
      </c>
      <c r="E38" s="695">
        <v>0.59525259808410347</v>
      </c>
      <c r="F38" s="695">
        <v>1.861255513493294</v>
      </c>
      <c r="G38" s="696">
        <v>5.096519535901888</v>
      </c>
      <c r="H38" s="792" t="s">
        <v>146</v>
      </c>
      <c r="I38" s="792"/>
      <c r="J38" s="792"/>
      <c r="K38" s="646"/>
      <c r="L38" s="646"/>
      <c r="M38" s="646"/>
      <c r="N38" s="646"/>
      <c r="O38" s="646"/>
      <c r="P38" s="646"/>
      <c r="Q38" s="646"/>
      <c r="R38" s="646"/>
      <c r="S38" s="646"/>
      <c r="T38" s="646"/>
      <c r="U38" s="646"/>
      <c r="V38" s="646"/>
      <c r="W38" s="646"/>
      <c r="X38" s="646"/>
      <c r="Y38" s="646"/>
      <c r="Z38" s="646"/>
    </row>
    <row r="39" spans="1:26" ht="14.45" customHeight="1">
      <c r="B39" s="156"/>
      <c r="C39" s="697" t="s">
        <v>730</v>
      </c>
      <c r="D39" s="714">
        <f>'IRP No-CETA Costs'!C13*1000+I41</f>
        <v>124786.36538454129</v>
      </c>
      <c r="E39" s="698">
        <f>'IRP No-CETA Costs'!D13*1000</f>
        <v>82868.812561035156</v>
      </c>
      <c r="F39" s="698">
        <f>'IRP No-CETA Costs'!E13*1000</f>
        <v>196516.83044433591</v>
      </c>
      <c r="G39" s="699">
        <f>'IRP No-CETA Costs'!F13*1000</f>
        <v>527714.4775390625</v>
      </c>
      <c r="H39" s="179"/>
      <c r="J39" s="175"/>
      <c r="K39" s="190"/>
      <c r="L39" s="190"/>
      <c r="M39" s="190"/>
      <c r="N39" s="190"/>
      <c r="O39" s="190"/>
      <c r="P39" s="190"/>
      <c r="Q39" s="190"/>
      <c r="R39" s="190"/>
      <c r="S39" s="190"/>
      <c r="T39" s="190"/>
      <c r="U39" s="190"/>
      <c r="V39" s="190"/>
      <c r="W39" s="190"/>
      <c r="X39" s="190"/>
      <c r="Y39" s="190"/>
      <c r="Z39" s="190"/>
    </row>
    <row r="40" spans="1:26" ht="15" customHeight="1" thickBot="1">
      <c r="B40" s="156"/>
      <c r="C40" s="700" t="s">
        <v>731</v>
      </c>
      <c r="D40" s="757">
        <f>'CEIP With-CETA Costs'!C13*1000+I41</f>
        <v>124786.36538454129</v>
      </c>
      <c r="E40" s="701">
        <f>'CEIP With-CETA Costs'!D13*1000</f>
        <v>82868.812561035156</v>
      </c>
      <c r="F40" s="701">
        <f>'CEIP With-CETA Costs'!E13*1000</f>
        <v>196516.83044433591</v>
      </c>
      <c r="G40" s="702">
        <f>'CEIP With-CETA Costs'!F13*1000</f>
        <v>527714.4775390625</v>
      </c>
      <c r="H40" s="644" t="s">
        <v>700</v>
      </c>
      <c r="I40" s="644" t="s">
        <v>701</v>
      </c>
      <c r="J40" s="644" t="s">
        <v>702</v>
      </c>
      <c r="K40" s="646"/>
      <c r="L40" s="661"/>
      <c r="M40" s="770" t="s">
        <v>829</v>
      </c>
      <c r="N40" s="770" t="s">
        <v>830</v>
      </c>
      <c r="O40" s="646"/>
      <c r="P40" s="646"/>
      <c r="Q40" s="646"/>
      <c r="R40" s="646"/>
      <c r="S40" s="646"/>
      <c r="T40" s="646"/>
      <c r="U40" s="646"/>
      <c r="V40" s="646"/>
      <c r="W40" s="646"/>
      <c r="X40" s="646"/>
      <c r="Y40" s="646"/>
      <c r="Z40" s="646"/>
    </row>
    <row r="41" spans="1:26">
      <c r="B41" s="137"/>
      <c r="C41" s="704" t="s">
        <v>593</v>
      </c>
      <c r="D41" s="703">
        <f>D40-D39</f>
        <v>0</v>
      </c>
      <c r="E41" s="703">
        <f t="shared" ref="E41:G41" si="3">E40-E39</f>
        <v>0</v>
      </c>
      <c r="F41" s="703">
        <f t="shared" si="3"/>
        <v>0</v>
      </c>
      <c r="G41" s="703">
        <f t="shared" si="3"/>
        <v>0</v>
      </c>
      <c r="H41" s="120" t="s">
        <v>589</v>
      </c>
      <c r="I41" s="171">
        <v>124786.36538454129</v>
      </c>
      <c r="J41" s="140" t="s">
        <v>559</v>
      </c>
      <c r="K41" s="161"/>
      <c r="L41" s="137">
        <v>2022</v>
      </c>
      <c r="M41" s="182">
        <v>0</v>
      </c>
      <c r="N41" s="162">
        <v>0</v>
      </c>
      <c r="O41" s="161"/>
      <c r="P41" s="161"/>
      <c r="Q41" s="161"/>
      <c r="R41" s="161"/>
      <c r="S41" s="161"/>
      <c r="T41" s="161"/>
      <c r="U41" s="161"/>
      <c r="V41" s="161"/>
      <c r="W41" s="161"/>
      <c r="X41" s="161"/>
      <c r="Y41" s="161"/>
      <c r="Z41" s="161"/>
    </row>
    <row r="42" spans="1:26">
      <c r="B42" s="137"/>
      <c r="D42" s="120"/>
      <c r="H42" s="120" t="s">
        <v>590</v>
      </c>
      <c r="I42" s="171">
        <v>7.5</v>
      </c>
      <c r="J42" s="120" t="s">
        <v>594</v>
      </c>
      <c r="K42" s="653"/>
      <c r="L42" s="137">
        <v>2023</v>
      </c>
      <c r="M42" s="190">
        <v>0.59525259808410347</v>
      </c>
      <c r="N42" s="162">
        <v>1006.8519444907158</v>
      </c>
      <c r="O42" s="653"/>
      <c r="P42" s="653"/>
      <c r="Q42" s="653"/>
      <c r="R42" s="653"/>
      <c r="S42" s="653"/>
      <c r="T42" s="653"/>
      <c r="U42" s="653"/>
      <c r="V42" s="653"/>
      <c r="W42" s="653"/>
      <c r="X42" s="653"/>
      <c r="Y42" s="653"/>
      <c r="Z42" s="653"/>
    </row>
    <row r="43" spans="1:26">
      <c r="B43" s="161"/>
      <c r="C43" s="137"/>
      <c r="D43" s="645"/>
      <c r="E43" s="161"/>
      <c r="F43" s="161"/>
      <c r="G43" s="161"/>
      <c r="H43" s="140" t="s">
        <v>595</v>
      </c>
      <c r="I43" s="158">
        <v>40</v>
      </c>
      <c r="J43" s="120" t="s">
        <v>592</v>
      </c>
      <c r="K43" s="182"/>
      <c r="L43" s="137">
        <v>2024</v>
      </c>
      <c r="M43" s="182">
        <v>1.861255513493294</v>
      </c>
      <c r="N43" s="162">
        <v>3148.257964747278</v>
      </c>
      <c r="O43" s="182"/>
      <c r="P43" s="182"/>
      <c r="Q43" s="182"/>
      <c r="R43" s="182"/>
      <c r="S43" s="182"/>
      <c r="T43" s="182"/>
      <c r="U43" s="182"/>
      <c r="V43" s="182"/>
      <c r="W43" s="182"/>
      <c r="X43" s="182"/>
      <c r="Y43" s="182"/>
      <c r="Z43" s="182"/>
    </row>
    <row r="44" spans="1:26">
      <c r="B44" s="161"/>
      <c r="C44" s="137"/>
      <c r="D44" s="645"/>
      <c r="E44" s="161"/>
      <c r="F44" s="646"/>
      <c r="G44" s="646"/>
      <c r="H44" s="140" t="s">
        <v>591</v>
      </c>
      <c r="I44" s="158">
        <v>25</v>
      </c>
      <c r="J44" s="140" t="s">
        <v>592</v>
      </c>
      <c r="K44" s="161"/>
      <c r="L44" s="137">
        <v>2025</v>
      </c>
      <c r="M44" s="182">
        <v>5.096519535901888</v>
      </c>
      <c r="N44" s="162">
        <v>8620.6101768794178</v>
      </c>
      <c r="O44" s="161"/>
      <c r="P44" s="161"/>
      <c r="Q44" s="161"/>
      <c r="R44" s="161"/>
      <c r="S44" s="161"/>
      <c r="T44" s="161"/>
      <c r="U44" s="161"/>
      <c r="V44" s="161"/>
      <c r="W44" s="161"/>
      <c r="X44" s="161"/>
      <c r="Y44" s="161"/>
      <c r="Z44" s="161"/>
    </row>
    <row r="45" spans="1:26">
      <c r="B45" s="156"/>
      <c r="C45" s="137"/>
      <c r="D45" s="177"/>
      <c r="E45" s="177"/>
      <c r="F45" s="177"/>
      <c r="G45" s="177"/>
      <c r="H45" s="140" t="s">
        <v>596</v>
      </c>
      <c r="I45" s="158">
        <v>24</v>
      </c>
      <c r="J45" s="140" t="s">
        <v>594</v>
      </c>
      <c r="K45" s="161"/>
      <c r="L45" s="161"/>
      <c r="M45" s="161"/>
      <c r="N45" s="161"/>
      <c r="O45" s="161"/>
      <c r="P45" s="161"/>
      <c r="Q45" s="161"/>
      <c r="R45" s="161"/>
      <c r="S45" s="161"/>
      <c r="T45" s="161"/>
      <c r="U45" s="161"/>
      <c r="V45" s="161"/>
      <c r="W45" s="161"/>
      <c r="X45" s="161"/>
      <c r="Y45" s="161"/>
      <c r="Z45" s="161"/>
    </row>
    <row r="46" spans="1:26">
      <c r="B46" s="156"/>
      <c r="C46" s="137"/>
      <c r="D46" s="132"/>
      <c r="E46" s="132"/>
      <c r="F46" s="132"/>
      <c r="G46" s="132"/>
      <c r="K46" s="161"/>
      <c r="L46" s="161"/>
      <c r="M46" s="161"/>
      <c r="N46" s="161"/>
      <c r="O46" s="161"/>
      <c r="P46" s="161"/>
      <c r="Q46" s="161"/>
      <c r="R46" s="161"/>
      <c r="S46" s="161"/>
      <c r="T46" s="161"/>
      <c r="U46" s="161"/>
      <c r="V46" s="161"/>
      <c r="W46" s="161"/>
      <c r="X46" s="161"/>
      <c r="Y46" s="161"/>
      <c r="Z46" s="161"/>
    </row>
    <row r="47" spans="1:26" ht="13.5" thickBot="1">
      <c r="B47" s="155"/>
      <c r="D47" s="120"/>
      <c r="K47" s="137"/>
      <c r="L47" s="137"/>
      <c r="M47" s="137"/>
      <c r="N47" s="137"/>
      <c r="O47" s="137"/>
      <c r="P47" s="137"/>
      <c r="Q47" s="137"/>
      <c r="R47" s="137"/>
      <c r="S47" s="137"/>
      <c r="T47" s="137"/>
      <c r="U47" s="137"/>
      <c r="V47" s="137"/>
      <c r="W47" s="137"/>
      <c r="X47" s="137"/>
      <c r="Y47" s="137"/>
      <c r="Z47" s="137"/>
    </row>
    <row r="48" spans="1:26">
      <c r="A48" s="186" t="s">
        <v>147</v>
      </c>
      <c r="B48" s="156"/>
      <c r="C48" s="690" t="s">
        <v>728</v>
      </c>
      <c r="D48" s="691">
        <v>0</v>
      </c>
      <c r="E48" s="691">
        <v>9.1668858256138495E-3</v>
      </c>
      <c r="F48" s="691">
        <v>2.8663321822371322E-2</v>
      </c>
      <c r="G48" s="692">
        <v>7.8486365022168478E-2</v>
      </c>
      <c r="H48" s="790" t="s">
        <v>588</v>
      </c>
      <c r="I48" s="790"/>
      <c r="J48" s="791"/>
      <c r="K48" s="161"/>
      <c r="L48" s="161"/>
      <c r="M48" s="161"/>
      <c r="N48" s="161"/>
      <c r="O48" s="161"/>
      <c r="P48" s="161"/>
      <c r="Q48" s="161"/>
      <c r="R48" s="161"/>
      <c r="S48" s="161"/>
      <c r="T48" s="161"/>
      <c r="U48" s="161"/>
      <c r="V48" s="161"/>
      <c r="W48" s="161"/>
      <c r="X48" s="161"/>
      <c r="Y48" s="161"/>
      <c r="Z48" s="161"/>
    </row>
    <row r="49" spans="1:29" ht="13.5" thickBot="1">
      <c r="B49" s="137"/>
      <c r="C49" s="693" t="s">
        <v>729</v>
      </c>
      <c r="D49" s="694">
        <v>0</v>
      </c>
      <c r="E49" s="695">
        <v>9.1668858256138495E-3</v>
      </c>
      <c r="F49" s="695">
        <v>2.8663321822371322E-2</v>
      </c>
      <c r="G49" s="696">
        <v>7.8486365022168478E-2</v>
      </c>
      <c r="H49" s="793" t="s">
        <v>147</v>
      </c>
      <c r="I49" s="793"/>
      <c r="J49" s="793"/>
      <c r="K49" s="646"/>
      <c r="L49" s="646"/>
      <c r="M49" s="646"/>
      <c r="N49" s="646"/>
      <c r="O49" s="646"/>
      <c r="P49" s="646"/>
      <c r="Q49" s="646"/>
      <c r="R49" s="646"/>
      <c r="S49" s="646"/>
      <c r="T49" s="646"/>
      <c r="U49" s="646"/>
      <c r="V49" s="646"/>
      <c r="W49" s="646"/>
      <c r="X49" s="646"/>
      <c r="Y49" s="646"/>
      <c r="Z49" s="646"/>
    </row>
    <row r="50" spans="1:29" ht="14.45" customHeight="1">
      <c r="B50" s="137"/>
      <c r="C50" s="697" t="s">
        <v>730</v>
      </c>
      <c r="D50" s="756">
        <f>'IRP No-CETA Costs'!C14*1000+I52</f>
        <v>1921.7091496202092</v>
      </c>
      <c r="E50" s="698">
        <f>'IRP No-CETA Costs'!D14*1000</f>
        <v>3877.8090476989751</v>
      </c>
      <c r="F50" s="698">
        <f>'IRP No-CETA Costs'!E14*1000</f>
        <v>9263.5793685913086</v>
      </c>
      <c r="G50" s="699">
        <f>'IRP No-CETA Costs'!F14*1000</f>
        <v>24268.533706665039</v>
      </c>
      <c r="H50" s="183"/>
      <c r="J50" s="137"/>
      <c r="K50" s="180"/>
      <c r="L50" s="180"/>
      <c r="M50" s="180"/>
      <c r="N50" s="180"/>
      <c r="O50" s="180"/>
      <c r="P50" s="180"/>
      <c r="Q50" s="180"/>
      <c r="R50" s="180"/>
      <c r="S50" s="180"/>
      <c r="T50" s="180"/>
      <c r="U50" s="180"/>
      <c r="V50" s="180"/>
      <c r="W50" s="180"/>
      <c r="X50" s="180"/>
      <c r="Y50" s="180"/>
      <c r="Z50" s="180"/>
    </row>
    <row r="51" spans="1:29" ht="14.45" customHeight="1" thickBot="1">
      <c r="B51" s="156"/>
      <c r="C51" s="700" t="s">
        <v>731</v>
      </c>
      <c r="D51" s="757">
        <f>'CEIP With-CETA Costs'!C14*1000+I52</f>
        <v>1921.7091496202092</v>
      </c>
      <c r="E51" s="701">
        <f>'CEIP With-CETA Costs'!D14*1000</f>
        <v>3877.8090476989751</v>
      </c>
      <c r="F51" s="701">
        <f>'CEIP With-CETA Costs'!E14*1000</f>
        <v>9263.5793685913086</v>
      </c>
      <c r="G51" s="702">
        <f>'CEIP With-CETA Costs'!F14*1000</f>
        <v>24268.533706665039</v>
      </c>
      <c r="H51" s="644" t="s">
        <v>700</v>
      </c>
      <c r="I51" s="644" t="s">
        <v>701</v>
      </c>
      <c r="J51" s="644" t="s">
        <v>702</v>
      </c>
      <c r="K51" s="646"/>
      <c r="L51" s="661"/>
      <c r="M51" s="770" t="s">
        <v>829</v>
      </c>
      <c r="N51" s="770" t="s">
        <v>830</v>
      </c>
      <c r="O51" s="646"/>
      <c r="P51" s="646"/>
      <c r="Q51" s="646"/>
      <c r="R51" s="646"/>
      <c r="S51" s="646"/>
      <c r="T51" s="646"/>
      <c r="U51" s="646"/>
      <c r="V51" s="646"/>
      <c r="W51" s="646"/>
      <c r="X51" s="646"/>
      <c r="Y51" s="646"/>
      <c r="Z51" s="646"/>
    </row>
    <row r="52" spans="1:29">
      <c r="B52" s="156"/>
      <c r="C52" s="704" t="s">
        <v>593</v>
      </c>
      <c r="D52" s="703">
        <f>D51-D50</f>
        <v>0</v>
      </c>
      <c r="E52" s="703">
        <f t="shared" ref="E52:G52" si="4">E51-E50</f>
        <v>0</v>
      </c>
      <c r="F52" s="703">
        <f t="shared" si="4"/>
        <v>0</v>
      </c>
      <c r="G52" s="703">
        <f t="shared" si="4"/>
        <v>0</v>
      </c>
      <c r="H52" s="120" t="s">
        <v>589</v>
      </c>
      <c r="I52" s="171">
        <v>1921.7091496202092</v>
      </c>
      <c r="J52" s="140" t="s">
        <v>559</v>
      </c>
      <c r="K52" s="137"/>
      <c r="L52" s="137">
        <v>2022</v>
      </c>
      <c r="M52" s="182">
        <v>0</v>
      </c>
      <c r="N52" s="162">
        <v>0</v>
      </c>
      <c r="O52" s="137"/>
      <c r="P52" s="137"/>
      <c r="Q52" s="137"/>
      <c r="R52" s="137"/>
      <c r="S52" s="137"/>
      <c r="T52" s="137"/>
      <c r="U52" s="137"/>
      <c r="V52" s="137"/>
      <c r="W52" s="137"/>
      <c r="X52" s="137"/>
      <c r="Y52" s="137"/>
      <c r="Z52" s="137"/>
    </row>
    <row r="53" spans="1:29">
      <c r="B53" s="137"/>
      <c r="D53" s="120"/>
      <c r="H53" s="120" t="s">
        <v>590</v>
      </c>
      <c r="I53" s="171">
        <v>7.5</v>
      </c>
      <c r="J53" s="140" t="s">
        <v>594</v>
      </c>
      <c r="K53" s="653"/>
      <c r="L53" s="137">
        <v>2023</v>
      </c>
      <c r="M53" s="190">
        <v>9.1668858256138495E-3</v>
      </c>
      <c r="N53" s="162">
        <v>37.828529009358547</v>
      </c>
      <c r="O53" s="653"/>
      <c r="P53" s="653"/>
      <c r="Q53" s="653"/>
      <c r="R53" s="653"/>
      <c r="S53" s="653"/>
      <c r="T53" s="653"/>
      <c r="U53" s="653"/>
      <c r="V53" s="653"/>
      <c r="W53" s="653"/>
      <c r="X53" s="653"/>
      <c r="Y53" s="653"/>
      <c r="Z53" s="653"/>
    </row>
    <row r="54" spans="1:29">
      <c r="B54" s="137"/>
      <c r="D54" s="175"/>
      <c r="E54" s="175"/>
      <c r="F54" s="175"/>
      <c r="G54" s="175"/>
      <c r="H54" s="140" t="s">
        <v>595</v>
      </c>
      <c r="I54" s="158">
        <v>40</v>
      </c>
      <c r="J54" s="120" t="s">
        <v>592</v>
      </c>
      <c r="K54" s="653"/>
      <c r="L54" s="137">
        <v>2024</v>
      </c>
      <c r="M54" s="182">
        <v>2.8663321822371322E-2</v>
      </c>
      <c r="N54" s="162">
        <v>118.28349580099029</v>
      </c>
      <c r="O54" s="653"/>
      <c r="P54" s="653"/>
      <c r="Q54" s="653"/>
      <c r="R54" s="653"/>
      <c r="S54" s="653"/>
      <c r="T54" s="653"/>
      <c r="U54" s="653"/>
      <c r="V54" s="653"/>
      <c r="W54" s="653"/>
      <c r="X54" s="653"/>
      <c r="Y54" s="653"/>
      <c r="Z54" s="653"/>
    </row>
    <row r="55" spans="1:29">
      <c r="B55" s="161"/>
      <c r="C55" s="137"/>
      <c r="D55" s="120"/>
      <c r="F55" s="181"/>
      <c r="G55" s="181"/>
      <c r="H55" s="140" t="s">
        <v>591</v>
      </c>
      <c r="I55" s="158">
        <v>25</v>
      </c>
      <c r="J55" s="120" t="s">
        <v>592</v>
      </c>
      <c r="K55" s="161"/>
      <c r="L55" s="137">
        <v>2025</v>
      </c>
      <c r="M55" s="182">
        <v>7.8486365022168478E-2</v>
      </c>
      <c r="N55" s="162">
        <v>323.8857549402702</v>
      </c>
      <c r="O55" s="161"/>
      <c r="P55" s="161"/>
      <c r="Q55" s="161"/>
      <c r="R55" s="161"/>
      <c r="S55" s="161"/>
      <c r="T55" s="161"/>
      <c r="U55" s="161"/>
      <c r="V55" s="161"/>
      <c r="W55" s="161"/>
      <c r="X55" s="161"/>
      <c r="Y55" s="161"/>
      <c r="Z55" s="161"/>
    </row>
    <row r="56" spans="1:29">
      <c r="B56" s="161"/>
      <c r="C56" s="137"/>
      <c r="D56" s="177"/>
      <c r="E56" s="178"/>
      <c r="F56" s="178"/>
      <c r="G56" s="178"/>
      <c r="H56" s="140" t="s">
        <v>596</v>
      </c>
      <c r="I56" s="158">
        <v>24</v>
      </c>
      <c r="J56" s="140" t="s">
        <v>594</v>
      </c>
      <c r="K56" s="646"/>
      <c r="L56" s="646"/>
      <c r="M56" s="646"/>
      <c r="N56" s="646"/>
      <c r="O56" s="646"/>
      <c r="P56" s="646"/>
      <c r="Q56" s="646"/>
      <c r="R56" s="646"/>
      <c r="S56" s="646"/>
      <c r="T56" s="646"/>
      <c r="U56" s="646"/>
      <c r="V56" s="646"/>
      <c r="W56" s="646"/>
      <c r="X56" s="646"/>
      <c r="Y56" s="646"/>
      <c r="Z56" s="646"/>
    </row>
    <row r="57" spans="1:29">
      <c r="B57" s="156"/>
      <c r="C57" s="137"/>
      <c r="D57" s="132"/>
      <c r="E57" s="132"/>
      <c r="F57" s="132"/>
      <c r="G57" s="132"/>
      <c r="K57" s="161"/>
      <c r="L57" s="161"/>
      <c r="M57" s="161"/>
      <c r="N57" s="161"/>
      <c r="O57" s="161"/>
      <c r="P57" s="161"/>
      <c r="Q57" s="161"/>
      <c r="R57" s="161"/>
      <c r="S57" s="161"/>
      <c r="T57" s="161"/>
      <c r="U57" s="161"/>
      <c r="V57" s="161"/>
      <c r="W57" s="161"/>
      <c r="X57" s="161"/>
      <c r="Y57" s="161"/>
      <c r="Z57" s="161"/>
    </row>
    <row r="58" spans="1:29" ht="13.5" thickBot="1">
      <c r="B58" s="155"/>
      <c r="D58" s="120"/>
      <c r="K58" s="137"/>
      <c r="L58" s="137"/>
      <c r="M58" s="137"/>
      <c r="N58" s="137"/>
      <c r="O58" s="137"/>
      <c r="P58" s="137"/>
      <c r="Q58" s="137"/>
      <c r="R58" s="137"/>
      <c r="S58" s="137"/>
      <c r="T58" s="137"/>
      <c r="U58" s="137"/>
      <c r="V58" s="137"/>
      <c r="W58" s="137"/>
      <c r="X58" s="137"/>
      <c r="Y58" s="137"/>
      <c r="Z58" s="137"/>
    </row>
    <row r="59" spans="1:29">
      <c r="A59" s="186" t="s">
        <v>148</v>
      </c>
      <c r="B59" s="156"/>
      <c r="C59" s="690" t="s">
        <v>728</v>
      </c>
      <c r="D59" s="691">
        <v>0</v>
      </c>
      <c r="E59" s="691">
        <v>0</v>
      </c>
      <c r="F59" s="691">
        <v>0</v>
      </c>
      <c r="G59" s="692">
        <v>0</v>
      </c>
      <c r="H59" s="790" t="s">
        <v>588</v>
      </c>
      <c r="I59" s="790"/>
      <c r="J59" s="791"/>
      <c r="K59" s="161"/>
      <c r="L59" s="161"/>
      <c r="M59" s="161"/>
      <c r="N59" s="161"/>
      <c r="O59" s="161"/>
      <c r="P59" s="161"/>
      <c r="Q59" s="161"/>
      <c r="R59" s="161"/>
      <c r="S59" s="161"/>
      <c r="T59" s="161"/>
      <c r="U59" s="161"/>
      <c r="V59" s="161"/>
      <c r="W59" s="161"/>
      <c r="X59" s="161"/>
      <c r="Y59" s="161"/>
      <c r="Z59" s="161"/>
    </row>
    <row r="60" spans="1:29" ht="13.5" thickBot="1">
      <c r="B60" s="137"/>
      <c r="C60" s="693" t="s">
        <v>729</v>
      </c>
      <c r="D60" s="694">
        <v>0</v>
      </c>
      <c r="E60" s="694">
        <v>0</v>
      </c>
      <c r="F60" s="694">
        <v>0</v>
      </c>
      <c r="G60" s="715">
        <v>0</v>
      </c>
      <c r="H60" s="792" t="s">
        <v>148</v>
      </c>
      <c r="I60" s="792"/>
      <c r="J60" s="792"/>
      <c r="K60" s="182"/>
      <c r="L60" s="182"/>
      <c r="M60" s="182"/>
      <c r="N60" s="182"/>
      <c r="O60" s="182"/>
      <c r="P60" s="182"/>
      <c r="Q60" s="182"/>
      <c r="R60" s="182"/>
      <c r="S60" s="182"/>
      <c r="T60" s="182"/>
      <c r="U60" s="182"/>
      <c r="V60" s="182"/>
      <c r="W60" s="182"/>
      <c r="X60" s="182"/>
      <c r="Y60" s="182"/>
      <c r="Z60" s="182"/>
    </row>
    <row r="61" spans="1:29" ht="14.45" customHeight="1">
      <c r="B61" s="137"/>
      <c r="C61" s="697" t="s">
        <v>730</v>
      </c>
      <c r="D61" s="698">
        <f>'IRP No-CETA Costs'!C15*1000</f>
        <v>0</v>
      </c>
      <c r="E61" s="698">
        <f>'IRP No-CETA Costs'!D15*1000</f>
        <v>0</v>
      </c>
      <c r="F61" s="698">
        <f>'IRP No-CETA Costs'!E15*1000</f>
        <v>0</v>
      </c>
      <c r="G61" s="699">
        <f>'IRP No-CETA Costs'!F15*1000</f>
        <v>0</v>
      </c>
      <c r="H61" s="183"/>
      <c r="J61" s="137"/>
      <c r="K61" s="190"/>
      <c r="L61" s="190"/>
      <c r="M61" s="190"/>
      <c r="N61" s="190"/>
      <c r="O61" s="190"/>
      <c r="P61" s="190"/>
      <c r="Q61" s="190"/>
      <c r="R61" s="190"/>
      <c r="S61" s="190"/>
      <c r="T61" s="190"/>
      <c r="U61" s="190"/>
      <c r="V61" s="190"/>
      <c r="W61" s="190"/>
      <c r="X61" s="190"/>
      <c r="Y61" s="190"/>
      <c r="Z61" s="190"/>
    </row>
    <row r="62" spans="1:29" ht="14.45" customHeight="1" thickBot="1">
      <c r="B62" s="156"/>
      <c r="C62" s="700" t="s">
        <v>731</v>
      </c>
      <c r="D62" s="701">
        <f>'CEIP With-CETA Costs'!C15*1000</f>
        <v>0</v>
      </c>
      <c r="E62" s="701">
        <f>'CEIP With-CETA Costs'!D15*1000</f>
        <v>0</v>
      </c>
      <c r="F62" s="701">
        <f>'CEIP With-CETA Costs'!E15*1000</f>
        <v>0</v>
      </c>
      <c r="G62" s="712">
        <f>'CEIP With-CETA Costs'!F15*1000+I63</f>
        <v>84712.110305343856</v>
      </c>
      <c r="H62" s="644" t="s">
        <v>700</v>
      </c>
      <c r="I62" s="644" t="s">
        <v>701</v>
      </c>
      <c r="J62" s="644" t="s">
        <v>702</v>
      </c>
      <c r="K62" s="646"/>
      <c r="L62" s="661"/>
      <c r="M62" s="770" t="s">
        <v>829</v>
      </c>
      <c r="N62" s="770" t="s">
        <v>830</v>
      </c>
      <c r="O62" s="646"/>
      <c r="P62" s="646"/>
      <c r="Q62" s="646"/>
      <c r="R62" s="646"/>
      <c r="S62" s="646"/>
      <c r="T62" s="646"/>
      <c r="U62" s="646"/>
      <c r="V62" s="646"/>
      <c r="W62" s="646"/>
      <c r="X62" s="646"/>
      <c r="Y62" s="646"/>
      <c r="Z62" s="646"/>
    </row>
    <row r="63" spans="1:29">
      <c r="B63" s="156"/>
      <c r="C63" s="704" t="s">
        <v>593</v>
      </c>
      <c r="D63" s="703">
        <f>D62-D61</f>
        <v>0</v>
      </c>
      <c r="E63" s="703">
        <f t="shared" ref="E63:G63" si="5">E62-E61</f>
        <v>0</v>
      </c>
      <c r="F63" s="703">
        <f t="shared" si="5"/>
        <v>0</v>
      </c>
      <c r="G63" s="703">
        <f t="shared" si="5"/>
        <v>84712.110305343856</v>
      </c>
      <c r="H63" s="120" t="s">
        <v>589</v>
      </c>
      <c r="I63" s="171">
        <v>84712.110305343856</v>
      </c>
      <c r="J63" s="140" t="s">
        <v>559</v>
      </c>
      <c r="K63" s="137"/>
      <c r="L63" s="137">
        <v>2022</v>
      </c>
      <c r="M63" s="182">
        <v>0</v>
      </c>
      <c r="N63" s="162">
        <v>0</v>
      </c>
      <c r="O63" s="137"/>
      <c r="P63" s="137"/>
      <c r="Q63" s="137"/>
      <c r="R63" s="137"/>
      <c r="S63" s="137"/>
      <c r="T63" s="137"/>
      <c r="U63" s="137"/>
      <c r="V63" s="137"/>
      <c r="W63" s="137"/>
      <c r="X63" s="137"/>
      <c r="Y63" s="137"/>
      <c r="Z63" s="137"/>
    </row>
    <row r="64" spans="1:29">
      <c r="B64" s="137"/>
      <c r="D64" s="120"/>
      <c r="H64" s="120" t="s">
        <v>590</v>
      </c>
      <c r="I64" s="171">
        <v>15</v>
      </c>
      <c r="J64" s="140" t="s">
        <v>594</v>
      </c>
      <c r="K64" s="653"/>
      <c r="L64" s="137">
        <v>2023</v>
      </c>
      <c r="M64" s="190">
        <v>0.54132144294473328</v>
      </c>
      <c r="N64" s="162">
        <v>283.58842018960729</v>
      </c>
      <c r="O64" s="653"/>
      <c r="P64" s="653"/>
      <c r="Q64" s="653"/>
      <c r="R64" s="653"/>
      <c r="S64" s="653"/>
      <c r="T64" s="653"/>
      <c r="U64" s="653"/>
      <c r="V64" s="653"/>
      <c r="W64" s="653"/>
      <c r="X64" s="653"/>
      <c r="Y64" s="653"/>
      <c r="Z64" s="653"/>
      <c r="AA64" s="187"/>
      <c r="AB64" s="187"/>
      <c r="AC64" s="187"/>
    </row>
    <row r="65" spans="1:26">
      <c r="B65" s="161"/>
      <c r="C65" s="140"/>
      <c r="D65" s="175"/>
      <c r="E65" s="175"/>
      <c r="F65" s="175"/>
      <c r="G65" s="175"/>
      <c r="H65" s="140" t="s">
        <v>595</v>
      </c>
      <c r="I65" s="158">
        <v>387</v>
      </c>
      <c r="J65" s="120" t="s">
        <v>592</v>
      </c>
      <c r="K65" s="653"/>
      <c r="L65" s="137">
        <v>2024</v>
      </c>
      <c r="M65" s="182">
        <v>1.0954429668685244</v>
      </c>
      <c r="N65" s="162">
        <v>573.88256909264499</v>
      </c>
      <c r="O65" s="653"/>
      <c r="P65" s="653"/>
      <c r="Q65" s="653"/>
      <c r="R65" s="653"/>
      <c r="S65" s="653"/>
      <c r="T65" s="653"/>
      <c r="U65" s="653"/>
      <c r="V65" s="653"/>
      <c r="W65" s="653"/>
      <c r="X65" s="653"/>
      <c r="Y65" s="653"/>
      <c r="Z65" s="653"/>
    </row>
    <row r="66" spans="1:26">
      <c r="B66" s="161"/>
      <c r="C66" s="137"/>
      <c r="D66" s="175"/>
      <c r="E66" s="175"/>
      <c r="F66" s="175"/>
      <c r="G66" s="175"/>
      <c r="H66" s="140" t="s">
        <v>591</v>
      </c>
      <c r="I66" s="158">
        <v>69</v>
      </c>
      <c r="J66" s="120" t="s">
        <v>592</v>
      </c>
      <c r="K66" s="161"/>
      <c r="L66" s="137">
        <v>2025</v>
      </c>
      <c r="M66" s="182">
        <v>2.2134728863514037</v>
      </c>
      <c r="N66" s="162">
        <v>1159.5980302539242</v>
      </c>
      <c r="O66" s="161"/>
      <c r="P66" s="161"/>
      <c r="Q66" s="161"/>
      <c r="R66" s="161"/>
      <c r="S66" s="161"/>
      <c r="T66" s="161"/>
      <c r="U66" s="161"/>
      <c r="V66" s="161"/>
      <c r="W66" s="161"/>
      <c r="X66" s="161"/>
      <c r="Y66" s="161"/>
      <c r="Z66" s="161"/>
    </row>
    <row r="67" spans="1:26">
      <c r="B67" s="156"/>
      <c r="D67" s="120"/>
      <c r="H67" s="140" t="s">
        <v>596</v>
      </c>
      <c r="I67" s="158">
        <v>38</v>
      </c>
      <c r="J67" s="140" t="s">
        <v>594</v>
      </c>
      <c r="K67" s="646"/>
      <c r="L67" s="646"/>
      <c r="M67" s="646"/>
      <c r="N67" s="646"/>
      <c r="O67" s="646"/>
      <c r="P67" s="646"/>
      <c r="Q67" s="646"/>
      <c r="R67" s="646"/>
      <c r="S67" s="646"/>
      <c r="T67" s="646"/>
      <c r="U67" s="646"/>
      <c r="V67" s="646"/>
      <c r="W67" s="646"/>
      <c r="X67" s="646"/>
      <c r="Y67" s="646"/>
      <c r="Z67" s="646"/>
    </row>
    <row r="68" spans="1:26">
      <c r="B68" s="155"/>
      <c r="D68" s="120"/>
      <c r="K68" s="161"/>
      <c r="L68" s="161"/>
      <c r="M68" s="161"/>
      <c r="N68" s="161"/>
      <c r="O68" s="161"/>
      <c r="P68" s="161"/>
      <c r="Q68" s="161"/>
      <c r="R68" s="161"/>
      <c r="S68" s="161"/>
      <c r="T68" s="161"/>
      <c r="U68" s="161"/>
      <c r="V68" s="161"/>
      <c r="W68" s="161"/>
      <c r="X68" s="161"/>
      <c r="Y68" s="161"/>
      <c r="Z68" s="161"/>
    </row>
    <row r="69" spans="1:26" ht="13.5" thickBot="1">
      <c r="B69" s="156"/>
      <c r="D69" s="120"/>
      <c r="K69" s="137"/>
      <c r="L69" s="137"/>
      <c r="M69" s="137"/>
      <c r="N69" s="137"/>
      <c r="O69" s="137"/>
      <c r="P69" s="137"/>
      <c r="Q69" s="137"/>
      <c r="R69" s="137"/>
      <c r="S69" s="137"/>
      <c r="T69" s="137"/>
      <c r="U69" s="137"/>
      <c r="V69" s="137"/>
      <c r="W69" s="137"/>
      <c r="X69" s="137"/>
      <c r="Y69" s="137"/>
      <c r="Z69" s="137"/>
    </row>
    <row r="70" spans="1:26">
      <c r="A70" s="186" t="s">
        <v>149</v>
      </c>
      <c r="B70" s="156"/>
      <c r="C70" s="690" t="s">
        <v>728</v>
      </c>
      <c r="D70" s="691">
        <v>0</v>
      </c>
      <c r="E70" s="691">
        <v>0.41999998688697809</v>
      </c>
      <c r="F70" s="691">
        <v>0.8399999737739563</v>
      </c>
      <c r="G70" s="692">
        <v>1.7100000381469731</v>
      </c>
      <c r="H70" s="790" t="s">
        <v>588</v>
      </c>
      <c r="I70" s="790"/>
      <c r="J70" s="791"/>
      <c r="K70" s="161"/>
      <c r="L70" s="161"/>
      <c r="M70" s="161"/>
      <c r="N70" s="161"/>
      <c r="O70" s="161"/>
      <c r="P70" s="161"/>
      <c r="Q70" s="161"/>
      <c r="R70" s="161"/>
      <c r="S70" s="161"/>
      <c r="T70" s="161"/>
      <c r="U70" s="161"/>
      <c r="V70" s="161"/>
      <c r="W70" s="161"/>
      <c r="X70" s="161"/>
      <c r="Y70" s="161"/>
      <c r="Z70" s="161"/>
    </row>
    <row r="71" spans="1:26" ht="13.5" thickBot="1">
      <c r="B71" s="156"/>
      <c r="C71" s="693" t="s">
        <v>729</v>
      </c>
      <c r="D71" s="694">
        <v>0</v>
      </c>
      <c r="E71" s="695">
        <v>0.41999998688697809</v>
      </c>
      <c r="F71" s="695">
        <v>0.8399999737739563</v>
      </c>
      <c r="G71" s="696">
        <v>1.7100000381469731</v>
      </c>
      <c r="H71" s="792" t="s">
        <v>149</v>
      </c>
      <c r="I71" s="792"/>
      <c r="J71" s="792"/>
      <c r="K71" s="161"/>
      <c r="L71" s="161"/>
      <c r="M71" s="161"/>
      <c r="N71" s="161"/>
      <c r="O71" s="161"/>
      <c r="P71" s="161"/>
      <c r="Q71" s="161"/>
      <c r="R71" s="161"/>
      <c r="S71" s="161"/>
      <c r="T71" s="161"/>
      <c r="U71" s="161"/>
      <c r="V71" s="161"/>
      <c r="W71" s="161"/>
      <c r="X71" s="161"/>
      <c r="Y71" s="161"/>
      <c r="Z71" s="161"/>
    </row>
    <row r="72" spans="1:26" ht="14.45" customHeight="1">
      <c r="B72" s="137"/>
      <c r="C72" s="697" t="s">
        <v>730</v>
      </c>
      <c r="D72" s="756">
        <f>'IRP No-CETA Costs'!C16*1000+I75</f>
        <v>65287.889694656151</v>
      </c>
      <c r="E72" s="698">
        <f>'IRP No-CETA Costs'!D16*1000</f>
        <v>50598.640441894531</v>
      </c>
      <c r="F72" s="698">
        <f>'IRP No-CETA Costs'!E16*1000</f>
        <v>47824.016571044922</v>
      </c>
      <c r="G72" s="699">
        <f>'IRP No-CETA Costs'!F16*1000</f>
        <v>100815.2542114258</v>
      </c>
      <c r="K72" s="137"/>
      <c r="L72" s="137"/>
      <c r="M72" s="137"/>
      <c r="N72" s="137"/>
      <c r="O72" s="137"/>
      <c r="P72" s="137"/>
      <c r="Q72" s="137"/>
      <c r="R72" s="137"/>
      <c r="S72" s="137"/>
      <c r="T72" s="137"/>
      <c r="U72" s="137"/>
      <c r="V72" s="137"/>
      <c r="W72" s="137"/>
      <c r="X72" s="137"/>
      <c r="Y72" s="137"/>
      <c r="Z72" s="137"/>
    </row>
    <row r="73" spans="1:26" ht="14.45" customHeight="1" thickBot="1">
      <c r="B73" s="137"/>
      <c r="C73" s="700" t="s">
        <v>731</v>
      </c>
      <c r="D73" s="757">
        <f>'CEIP With-CETA Costs'!C16*1000+I75</f>
        <v>65287.889694656151</v>
      </c>
      <c r="E73" s="701">
        <f>'CEIP With-CETA Costs'!D16*1000</f>
        <v>50598.640441894531</v>
      </c>
      <c r="F73" s="701">
        <f>'CEIP With-CETA Costs'!E16*1000</f>
        <v>47824.016571044922</v>
      </c>
      <c r="G73" s="702">
        <f>'CEIP With-CETA Costs'!F16*1000</f>
        <v>100815.2542114258</v>
      </c>
      <c r="H73" s="644" t="s">
        <v>700</v>
      </c>
      <c r="I73" s="644" t="s">
        <v>701</v>
      </c>
      <c r="J73" s="644" t="s">
        <v>702</v>
      </c>
      <c r="K73" s="137"/>
      <c r="L73" s="661"/>
      <c r="M73" s="770" t="s">
        <v>829</v>
      </c>
      <c r="N73" s="770" t="s">
        <v>830</v>
      </c>
      <c r="O73" s="137"/>
      <c r="P73" s="137"/>
      <c r="Q73" s="137"/>
      <c r="R73" s="137"/>
      <c r="S73" s="137"/>
      <c r="T73" s="137"/>
      <c r="U73" s="137"/>
      <c r="V73" s="137"/>
      <c r="W73" s="137"/>
      <c r="X73" s="137"/>
      <c r="Y73" s="137"/>
      <c r="Z73" s="137"/>
    </row>
    <row r="74" spans="1:26">
      <c r="B74" s="156"/>
      <c r="C74" s="704" t="s">
        <v>593</v>
      </c>
      <c r="D74" s="703">
        <f>D73-D72</f>
        <v>0</v>
      </c>
      <c r="E74" s="703">
        <f t="shared" ref="E74:G74" si="6">E73-E72</f>
        <v>0</v>
      </c>
      <c r="F74" s="703">
        <f t="shared" si="6"/>
        <v>0</v>
      </c>
      <c r="G74" s="703">
        <f t="shared" si="6"/>
        <v>0</v>
      </c>
      <c r="K74" s="137"/>
      <c r="L74" s="137">
        <v>2022</v>
      </c>
      <c r="M74" s="182">
        <v>0</v>
      </c>
      <c r="N74" s="162">
        <v>0</v>
      </c>
      <c r="O74" s="137"/>
      <c r="P74" s="137"/>
      <c r="Q74" s="137"/>
      <c r="R74" s="137"/>
      <c r="S74" s="137"/>
      <c r="T74" s="137"/>
      <c r="U74" s="137"/>
      <c r="V74" s="137"/>
      <c r="W74" s="137"/>
      <c r="X74" s="137"/>
      <c r="Y74" s="137"/>
      <c r="Z74" s="137"/>
    </row>
    <row r="75" spans="1:26">
      <c r="B75" s="156"/>
      <c r="C75" s="137"/>
      <c r="D75" s="163"/>
      <c r="E75" s="163"/>
      <c r="F75" s="163"/>
      <c r="G75" s="163"/>
      <c r="H75" s="120" t="s">
        <v>589</v>
      </c>
      <c r="I75" s="171">
        <v>65287.889694656151</v>
      </c>
      <c r="J75" s="140" t="s">
        <v>559</v>
      </c>
      <c r="K75" s="653"/>
      <c r="L75" s="137">
        <v>2023</v>
      </c>
      <c r="M75" s="190">
        <v>0.41719813765633945</v>
      </c>
      <c r="N75" s="162">
        <v>44.700000985719583</v>
      </c>
      <c r="O75" s="653"/>
      <c r="P75" s="653"/>
      <c r="Q75" s="653"/>
      <c r="R75" s="653"/>
      <c r="S75" s="653"/>
      <c r="T75" s="653"/>
      <c r="U75" s="653"/>
      <c r="V75" s="653"/>
      <c r="W75" s="653"/>
      <c r="X75" s="653"/>
      <c r="Y75" s="653"/>
      <c r="Z75" s="653"/>
    </row>
    <row r="76" spans="1:26">
      <c r="B76" s="137"/>
      <c r="C76" s="137"/>
      <c r="D76" s="161"/>
      <c r="E76" s="161"/>
      <c r="F76" s="161"/>
      <c r="G76" s="161"/>
      <c r="H76" s="120" t="s">
        <v>590</v>
      </c>
      <c r="I76" s="171">
        <v>15</v>
      </c>
      <c r="J76" s="140" t="s">
        <v>594</v>
      </c>
      <c r="K76" s="137"/>
      <c r="L76" s="137">
        <v>2024</v>
      </c>
      <c r="M76" s="182">
        <v>0.84426133795875336</v>
      </c>
      <c r="N76" s="162">
        <v>90.456977710786646</v>
      </c>
      <c r="O76" s="137"/>
      <c r="P76" s="137"/>
      <c r="Q76" s="137"/>
      <c r="R76" s="137"/>
      <c r="S76" s="137"/>
      <c r="T76" s="137"/>
      <c r="U76" s="137"/>
      <c r="V76" s="137"/>
      <c r="W76" s="137"/>
      <c r="X76" s="137"/>
      <c r="Y76" s="137"/>
      <c r="Z76" s="137"/>
    </row>
    <row r="77" spans="1:26">
      <c r="B77" s="137"/>
      <c r="C77" s="137"/>
      <c r="D77" s="161"/>
      <c r="E77" s="161"/>
      <c r="F77" s="161"/>
      <c r="G77" s="161"/>
      <c r="H77" s="140" t="s">
        <v>595</v>
      </c>
      <c r="I77" s="158">
        <v>1128</v>
      </c>
      <c r="J77" s="120" t="s">
        <v>592</v>
      </c>
      <c r="K77" s="653"/>
      <c r="L77" s="137">
        <v>2025</v>
      </c>
      <c r="M77" s="182">
        <v>1.7059305112967587</v>
      </c>
      <c r="N77" s="162">
        <v>182.77908900769867</v>
      </c>
      <c r="O77" s="653"/>
      <c r="P77" s="653"/>
      <c r="Q77" s="653"/>
      <c r="R77" s="653"/>
      <c r="S77" s="653"/>
      <c r="T77" s="653"/>
      <c r="U77" s="653"/>
      <c r="V77" s="653"/>
      <c r="W77" s="653"/>
      <c r="X77" s="653"/>
      <c r="Y77" s="653"/>
      <c r="Z77" s="653"/>
    </row>
    <row r="78" spans="1:26">
      <c r="B78" s="156"/>
      <c r="C78" s="137"/>
      <c r="D78" s="161"/>
      <c r="E78" s="161"/>
      <c r="F78" s="161"/>
      <c r="G78" s="161"/>
      <c r="H78" s="140" t="s">
        <v>591</v>
      </c>
      <c r="I78" s="158">
        <v>83</v>
      </c>
      <c r="J78" s="120" t="s">
        <v>592</v>
      </c>
      <c r="K78" s="161"/>
      <c r="L78" s="161"/>
      <c r="M78" s="161"/>
      <c r="N78" s="161"/>
      <c r="O78" s="161"/>
      <c r="P78" s="161"/>
      <c r="Q78" s="161"/>
      <c r="R78" s="161"/>
      <c r="S78" s="161"/>
      <c r="T78" s="161"/>
      <c r="U78" s="161"/>
      <c r="V78" s="161"/>
      <c r="W78" s="161"/>
      <c r="X78" s="161"/>
      <c r="Y78" s="161"/>
      <c r="Z78" s="161"/>
    </row>
    <row r="79" spans="1:26">
      <c r="B79" s="137"/>
      <c r="C79" s="137"/>
      <c r="D79" s="161"/>
      <c r="E79" s="161"/>
      <c r="F79" s="161"/>
      <c r="G79" s="161"/>
      <c r="H79" s="140" t="s">
        <v>596</v>
      </c>
      <c r="I79" s="158">
        <v>128</v>
      </c>
      <c r="J79" s="140" t="s">
        <v>594</v>
      </c>
      <c r="K79" s="646"/>
      <c r="L79" s="646"/>
      <c r="M79" s="646"/>
      <c r="N79" s="646"/>
      <c r="O79" s="646"/>
      <c r="P79" s="646"/>
      <c r="Q79" s="646"/>
      <c r="R79" s="646"/>
      <c r="S79" s="646"/>
      <c r="T79" s="646"/>
      <c r="U79" s="646"/>
      <c r="V79" s="646"/>
      <c r="W79" s="646"/>
      <c r="X79" s="646"/>
      <c r="Y79" s="646"/>
      <c r="Z79" s="646"/>
    </row>
    <row r="80" spans="1:26">
      <c r="B80" s="161"/>
      <c r="C80" s="137"/>
      <c r="D80" s="161"/>
      <c r="E80" s="161"/>
      <c r="F80" s="161"/>
      <c r="G80" s="161"/>
      <c r="K80" s="161"/>
      <c r="L80" s="161"/>
      <c r="M80" s="161"/>
      <c r="N80" s="161"/>
      <c r="O80" s="161"/>
      <c r="P80" s="161"/>
      <c r="Q80" s="161"/>
      <c r="R80" s="161"/>
      <c r="S80" s="161"/>
      <c r="T80" s="161"/>
      <c r="U80" s="161"/>
      <c r="V80" s="161"/>
      <c r="W80" s="161"/>
      <c r="X80" s="161"/>
      <c r="Y80" s="161"/>
      <c r="Z80" s="161"/>
    </row>
    <row r="81" spans="1:26" ht="13.5" thickBot="1">
      <c r="B81" s="161"/>
      <c r="C81" s="137"/>
      <c r="D81" s="161"/>
      <c r="E81" s="161"/>
      <c r="F81" s="161"/>
      <c r="G81" s="161"/>
      <c r="K81" s="161"/>
      <c r="L81" s="161"/>
      <c r="M81" s="161"/>
      <c r="N81" s="161"/>
      <c r="O81" s="161"/>
      <c r="P81" s="161"/>
      <c r="Q81" s="161"/>
      <c r="R81" s="161"/>
      <c r="S81" s="161"/>
      <c r="T81" s="161"/>
      <c r="U81" s="161"/>
      <c r="V81" s="161"/>
      <c r="W81" s="161"/>
      <c r="X81" s="161"/>
      <c r="Y81" s="161"/>
      <c r="Z81" s="161"/>
    </row>
    <row r="82" spans="1:26">
      <c r="A82" s="186" t="s">
        <v>150</v>
      </c>
      <c r="B82" s="161"/>
      <c r="C82" s="690" t="s">
        <v>728</v>
      </c>
      <c r="D82" s="691">
        <v>0</v>
      </c>
      <c r="E82" s="691">
        <v>0</v>
      </c>
      <c r="F82" s="691">
        <v>0</v>
      </c>
      <c r="G82" s="692">
        <v>0</v>
      </c>
      <c r="H82" s="790" t="s">
        <v>588</v>
      </c>
      <c r="I82" s="790"/>
      <c r="J82" s="791"/>
      <c r="K82" s="161"/>
      <c r="L82" s="161"/>
      <c r="M82" s="161"/>
      <c r="N82" s="161"/>
      <c r="O82" s="161"/>
      <c r="P82" s="161"/>
      <c r="Q82" s="161"/>
      <c r="R82" s="161"/>
      <c r="S82" s="161"/>
      <c r="T82" s="161"/>
      <c r="U82" s="161"/>
      <c r="V82" s="161"/>
      <c r="W82" s="161"/>
      <c r="X82" s="161"/>
      <c r="Y82" s="161"/>
      <c r="Z82" s="161"/>
    </row>
    <row r="83" spans="1:26" ht="13.5" thickBot="1">
      <c r="B83" s="137"/>
      <c r="C83" s="693" t="s">
        <v>729</v>
      </c>
      <c r="D83" s="694">
        <v>0</v>
      </c>
      <c r="E83" s="694">
        <v>0</v>
      </c>
      <c r="F83" s="694">
        <v>0</v>
      </c>
      <c r="G83" s="715">
        <v>0</v>
      </c>
      <c r="H83" s="792" t="s">
        <v>150</v>
      </c>
      <c r="I83" s="792"/>
      <c r="J83" s="792"/>
      <c r="K83" s="161"/>
      <c r="L83" s="161"/>
      <c r="M83" s="161"/>
      <c r="N83" s="161"/>
      <c r="O83" s="161"/>
      <c r="P83" s="161"/>
      <c r="Q83" s="161"/>
      <c r="R83" s="161"/>
      <c r="S83" s="161"/>
      <c r="T83" s="161"/>
      <c r="U83" s="161"/>
      <c r="V83" s="161"/>
      <c r="W83" s="161"/>
      <c r="X83" s="161"/>
      <c r="Y83" s="161"/>
      <c r="Z83" s="161"/>
    </row>
    <row r="84" spans="1:26" ht="14.45" customHeight="1">
      <c r="B84" s="137"/>
      <c r="C84" s="697" t="s">
        <v>730</v>
      </c>
      <c r="D84" s="698">
        <f>'IRP No-CETA Costs'!C17*1000</f>
        <v>0</v>
      </c>
      <c r="E84" s="698">
        <f>'IRP No-CETA Costs'!D17*1000</f>
        <v>0</v>
      </c>
      <c r="F84" s="698">
        <f>'IRP No-CETA Costs'!E17*1000</f>
        <v>0</v>
      </c>
      <c r="G84" s="699">
        <f>'IRP No-CETA Costs'!F17*1000</f>
        <v>0</v>
      </c>
      <c r="H84" s="140"/>
      <c r="I84" s="140"/>
      <c r="J84" s="175"/>
      <c r="K84" s="161"/>
      <c r="L84" s="161"/>
      <c r="M84" s="161"/>
      <c r="N84" s="161"/>
      <c r="O84" s="161"/>
      <c r="P84" s="161"/>
      <c r="Q84" s="161"/>
      <c r="R84" s="161"/>
      <c r="S84" s="161"/>
      <c r="T84" s="161"/>
      <c r="U84" s="161"/>
      <c r="V84" s="161"/>
      <c r="W84" s="161"/>
      <c r="X84" s="161"/>
      <c r="Y84" s="161"/>
      <c r="Z84" s="161"/>
    </row>
    <row r="85" spans="1:26" ht="14.45" customHeight="1" thickBot="1">
      <c r="B85" s="156"/>
      <c r="C85" s="700" t="s">
        <v>731</v>
      </c>
      <c r="D85" s="701">
        <f>'CEIP With-CETA Costs'!C17*1000</f>
        <v>0</v>
      </c>
      <c r="E85" s="701">
        <f>'CEIP With-CETA Costs'!D17*1000</f>
        <v>0</v>
      </c>
      <c r="F85" s="701">
        <f>'CEIP With-CETA Costs'!E17*1000</f>
        <v>0</v>
      </c>
      <c r="G85" s="755">
        <f>'CEIP With-CETA Costs'!C17*1000+I86</f>
        <v>74025.974025974021</v>
      </c>
      <c r="H85" s="644" t="s">
        <v>700</v>
      </c>
      <c r="I85" s="644" t="s">
        <v>701</v>
      </c>
      <c r="J85" s="644" t="s">
        <v>702</v>
      </c>
      <c r="K85" s="161"/>
      <c r="L85" s="661"/>
      <c r="M85" s="770" t="s">
        <v>829</v>
      </c>
      <c r="N85" s="770" t="s">
        <v>830</v>
      </c>
      <c r="O85" s="161"/>
      <c r="P85" s="161"/>
      <c r="Q85" s="161"/>
      <c r="R85" s="161"/>
      <c r="S85" s="161"/>
      <c r="T85" s="161"/>
      <c r="U85" s="161"/>
      <c r="V85" s="161"/>
      <c r="W85" s="161"/>
      <c r="X85" s="161"/>
      <c r="Y85" s="161"/>
      <c r="Z85" s="161"/>
    </row>
    <row r="86" spans="1:26">
      <c r="B86" s="156"/>
      <c r="C86" s="704" t="s">
        <v>593</v>
      </c>
      <c r="D86" s="703">
        <f>D85-D84</f>
        <v>0</v>
      </c>
      <c r="E86" s="703">
        <f t="shared" ref="E86" si="7">E85-E84</f>
        <v>0</v>
      </c>
      <c r="F86" s="703">
        <f t="shared" ref="F86" si="8">F85-F84</f>
        <v>0</v>
      </c>
      <c r="G86" s="703">
        <f t="shared" ref="G86" si="9">G85-G84</f>
        <v>74025.974025974021</v>
      </c>
      <c r="H86" s="120" t="s">
        <v>589</v>
      </c>
      <c r="I86" s="171">
        <v>74025.974025974021</v>
      </c>
      <c r="J86" s="140" t="s">
        <v>559</v>
      </c>
      <c r="K86" s="161"/>
      <c r="L86" s="137">
        <v>2022</v>
      </c>
      <c r="M86" s="182">
        <v>0</v>
      </c>
      <c r="N86" s="162">
        <v>0</v>
      </c>
      <c r="O86" s="161"/>
      <c r="P86" s="161"/>
      <c r="Q86" s="161"/>
      <c r="R86" s="161"/>
      <c r="S86" s="161"/>
      <c r="T86" s="161"/>
      <c r="U86" s="161"/>
      <c r="V86" s="161"/>
      <c r="W86" s="161"/>
      <c r="X86" s="161"/>
      <c r="Y86" s="161"/>
      <c r="Z86" s="161"/>
    </row>
    <row r="87" spans="1:26">
      <c r="B87" s="137"/>
      <c r="D87" s="120"/>
      <c r="H87" s="120" t="s">
        <v>590</v>
      </c>
      <c r="I87" s="171">
        <v>60</v>
      </c>
      <c r="J87" s="140" t="s">
        <v>597</v>
      </c>
      <c r="K87" s="653"/>
      <c r="L87" s="137">
        <v>2023</v>
      </c>
      <c r="M87" s="190">
        <v>0.23054486523201809</v>
      </c>
      <c r="N87" s="162">
        <v>57.00403137051557</v>
      </c>
      <c r="O87" s="653"/>
      <c r="P87" s="653"/>
      <c r="Q87" s="653"/>
      <c r="R87" s="653"/>
      <c r="S87" s="653"/>
      <c r="T87" s="653"/>
      <c r="U87" s="653"/>
      <c r="V87" s="653"/>
      <c r="W87" s="653"/>
      <c r="X87" s="653"/>
      <c r="Y87" s="653"/>
      <c r="Z87" s="653"/>
    </row>
    <row r="88" spans="1:26">
      <c r="B88" s="137"/>
      <c r="C88" s="140"/>
      <c r="D88" s="175"/>
      <c r="E88" s="175"/>
      <c r="F88" s="175"/>
      <c r="G88" s="175"/>
      <c r="H88" s="140" t="s">
        <v>595</v>
      </c>
      <c r="I88" s="158">
        <v>0</v>
      </c>
      <c r="K88" s="653"/>
      <c r="L88" s="137">
        <v>2024</v>
      </c>
      <c r="M88" s="182">
        <v>0.4658830342237994</v>
      </c>
      <c r="N88" s="162">
        <v>115.18514326412956</v>
      </c>
      <c r="O88" s="653"/>
      <c r="P88" s="653"/>
      <c r="Q88" s="653"/>
      <c r="R88" s="653"/>
      <c r="S88" s="653"/>
      <c r="T88" s="653"/>
      <c r="U88" s="653"/>
      <c r="V88" s="653"/>
      <c r="W88" s="653"/>
      <c r="X88" s="653"/>
      <c r="Y88" s="653"/>
      <c r="Z88" s="653"/>
    </row>
    <row r="89" spans="1:26">
      <c r="B89" s="137"/>
      <c r="C89" s="140"/>
      <c r="D89" s="175"/>
      <c r="E89" s="175"/>
      <c r="F89" s="175"/>
      <c r="G89" s="175"/>
      <c r="H89" s="140" t="s">
        <v>591</v>
      </c>
      <c r="I89" s="158">
        <v>0</v>
      </c>
      <c r="K89" s="161"/>
      <c r="L89" s="137">
        <v>2025</v>
      </c>
      <c r="M89" s="182">
        <v>0.93861095086319646</v>
      </c>
      <c r="N89" s="162">
        <v>232.44348941444071</v>
      </c>
      <c r="O89" s="161"/>
      <c r="P89" s="161"/>
      <c r="Q89" s="161"/>
      <c r="R89" s="161"/>
      <c r="S89" s="161"/>
      <c r="T89" s="161"/>
      <c r="U89" s="161"/>
      <c r="V89" s="161"/>
      <c r="W89" s="161"/>
      <c r="X89" s="161"/>
      <c r="Y89" s="161"/>
      <c r="Z89" s="161"/>
    </row>
    <row r="90" spans="1:26">
      <c r="B90" s="137"/>
      <c r="C90" s="140"/>
      <c r="D90" s="175"/>
      <c r="E90" s="175"/>
      <c r="F90" s="175"/>
      <c r="G90" s="175"/>
      <c r="H90" s="140" t="s">
        <v>596</v>
      </c>
      <c r="I90" s="158">
        <v>20</v>
      </c>
      <c r="J90" s="140" t="s">
        <v>597</v>
      </c>
      <c r="K90" s="646"/>
      <c r="L90" s="646"/>
      <c r="M90" s="646"/>
      <c r="N90" s="646"/>
      <c r="O90" s="646"/>
      <c r="P90" s="646"/>
      <c r="Q90" s="646"/>
      <c r="R90" s="646"/>
      <c r="S90" s="646"/>
      <c r="T90" s="646"/>
      <c r="U90" s="646"/>
      <c r="V90" s="646"/>
      <c r="W90" s="646"/>
      <c r="X90" s="646"/>
      <c r="Y90" s="646"/>
      <c r="Z90" s="646"/>
    </row>
    <row r="91" spans="1:26">
      <c r="B91" s="161"/>
      <c r="C91" s="140"/>
      <c r="D91" s="175"/>
      <c r="E91" s="175"/>
      <c r="F91" s="175"/>
      <c r="G91" s="175"/>
      <c r="K91" s="161"/>
      <c r="L91" s="161"/>
      <c r="M91" s="161"/>
      <c r="N91" s="161"/>
      <c r="O91" s="161"/>
      <c r="P91" s="161"/>
      <c r="Q91" s="161"/>
      <c r="R91" s="161"/>
      <c r="S91" s="161"/>
      <c r="T91" s="161"/>
      <c r="U91" s="161"/>
      <c r="V91" s="161"/>
      <c r="W91" s="161"/>
      <c r="X91" s="161"/>
      <c r="Y91" s="161"/>
      <c r="Z91" s="161"/>
    </row>
    <row r="92" spans="1:26" ht="13.5" thickBot="1">
      <c r="B92" s="161"/>
      <c r="C92" s="140"/>
      <c r="D92" s="175"/>
      <c r="E92" s="175"/>
      <c r="F92" s="175"/>
      <c r="G92" s="175"/>
      <c r="K92" s="137"/>
      <c r="L92" s="137"/>
      <c r="M92" s="137"/>
      <c r="N92" s="137"/>
      <c r="O92" s="137"/>
      <c r="P92" s="137"/>
      <c r="Q92" s="137"/>
      <c r="R92" s="137"/>
      <c r="S92" s="137"/>
      <c r="T92" s="137"/>
      <c r="U92" s="137"/>
      <c r="V92" s="137"/>
      <c r="W92" s="137"/>
      <c r="X92" s="137"/>
      <c r="Y92" s="137"/>
      <c r="Z92" s="137"/>
    </row>
    <row r="93" spans="1:26">
      <c r="A93" s="186" t="s">
        <v>151</v>
      </c>
      <c r="B93" s="161"/>
      <c r="C93" s="690" t="s">
        <v>728</v>
      </c>
      <c r="D93" s="691">
        <v>0</v>
      </c>
      <c r="E93" s="691">
        <v>0</v>
      </c>
      <c r="F93" s="691">
        <v>0</v>
      </c>
      <c r="G93" s="692">
        <v>0</v>
      </c>
      <c r="H93" s="790" t="s">
        <v>588</v>
      </c>
      <c r="I93" s="790"/>
      <c r="J93" s="791"/>
      <c r="K93" s="161"/>
      <c r="L93" s="161"/>
      <c r="M93" s="161"/>
      <c r="N93" s="161"/>
      <c r="O93" s="161"/>
      <c r="P93" s="161"/>
      <c r="Q93" s="161"/>
      <c r="R93" s="161"/>
      <c r="S93" s="161"/>
      <c r="T93" s="161"/>
      <c r="U93" s="161"/>
      <c r="V93" s="161"/>
      <c r="W93" s="161"/>
      <c r="X93" s="161"/>
      <c r="Y93" s="161"/>
      <c r="Z93" s="161"/>
    </row>
    <row r="94" spans="1:26" ht="13.5" thickBot="1">
      <c r="B94" s="137"/>
      <c r="C94" s="693" t="s">
        <v>729</v>
      </c>
      <c r="D94" s="694">
        <v>0</v>
      </c>
      <c r="E94" s="694">
        <v>0</v>
      </c>
      <c r="F94" s="694">
        <v>0</v>
      </c>
      <c r="G94" s="715">
        <v>0</v>
      </c>
      <c r="H94" s="792" t="s">
        <v>151</v>
      </c>
      <c r="I94" s="792"/>
      <c r="J94" s="792"/>
      <c r="K94" s="161"/>
      <c r="L94" s="161"/>
      <c r="M94" s="161"/>
      <c r="N94" s="161"/>
      <c r="O94" s="161"/>
      <c r="P94" s="161"/>
      <c r="Q94" s="161"/>
      <c r="R94" s="161"/>
      <c r="S94" s="161"/>
      <c r="T94" s="161"/>
      <c r="U94" s="161"/>
      <c r="V94" s="161"/>
      <c r="W94" s="161"/>
      <c r="X94" s="161"/>
      <c r="Y94" s="161"/>
      <c r="Z94" s="161"/>
    </row>
    <row r="95" spans="1:26" ht="14.45" customHeight="1">
      <c r="B95" s="137"/>
      <c r="C95" s="697" t="s">
        <v>730</v>
      </c>
      <c r="D95" s="698">
        <f>'IRP No-CETA Costs'!C18*1000</f>
        <v>0</v>
      </c>
      <c r="E95" s="698">
        <f>'IRP No-CETA Costs'!D18*1000</f>
        <v>0</v>
      </c>
      <c r="F95" s="698">
        <f>'IRP No-CETA Costs'!E18*1000</f>
        <v>0</v>
      </c>
      <c r="G95" s="699">
        <f>'IRP No-CETA Costs'!F18*1000</f>
        <v>0</v>
      </c>
      <c r="H95" s="140"/>
      <c r="I95" s="140"/>
      <c r="J95" s="175"/>
      <c r="K95" s="161"/>
      <c r="L95" s="161"/>
      <c r="M95" s="161"/>
      <c r="N95" s="161"/>
      <c r="O95" s="161"/>
      <c r="P95" s="161"/>
      <c r="Q95" s="161"/>
      <c r="R95" s="161"/>
      <c r="S95" s="161"/>
      <c r="T95" s="161"/>
      <c r="U95" s="161"/>
      <c r="V95" s="161"/>
      <c r="W95" s="161"/>
      <c r="X95" s="161"/>
      <c r="Y95" s="161"/>
      <c r="Z95" s="161"/>
    </row>
    <row r="96" spans="1:26" ht="14.45" customHeight="1" thickBot="1">
      <c r="B96" s="137"/>
      <c r="C96" s="700" t="s">
        <v>731</v>
      </c>
      <c r="D96" s="701">
        <f>'CEIP With-CETA Costs'!C18*1000</f>
        <v>0</v>
      </c>
      <c r="E96" s="701">
        <f>'CEIP With-CETA Costs'!D18*1000</f>
        <v>0</v>
      </c>
      <c r="F96" s="701">
        <f>'CEIP With-CETA Costs'!E18*1000</f>
        <v>0</v>
      </c>
      <c r="G96" s="755">
        <f>'CEIP With-CETA Costs'!F18*1000+I97</f>
        <v>75974.025974025964</v>
      </c>
      <c r="H96" s="644" t="s">
        <v>700</v>
      </c>
      <c r="I96" s="644" t="s">
        <v>701</v>
      </c>
      <c r="J96" s="644" t="s">
        <v>702</v>
      </c>
      <c r="K96" s="161"/>
      <c r="L96" s="661"/>
      <c r="M96" s="770" t="s">
        <v>829</v>
      </c>
      <c r="N96" s="770" t="s">
        <v>830</v>
      </c>
      <c r="O96" s="161"/>
      <c r="P96" s="161"/>
      <c r="Q96" s="161"/>
      <c r="R96" s="161"/>
      <c r="S96" s="161"/>
      <c r="T96" s="161"/>
      <c r="U96" s="161"/>
      <c r="V96" s="161"/>
      <c r="W96" s="161"/>
      <c r="X96" s="161"/>
      <c r="Y96" s="161"/>
      <c r="Z96" s="161"/>
    </row>
    <row r="97" spans="1:34">
      <c r="B97" s="156"/>
      <c r="C97" s="704" t="s">
        <v>593</v>
      </c>
      <c r="D97" s="703">
        <f>D96-D95</f>
        <v>0</v>
      </c>
      <c r="E97" s="703">
        <f t="shared" ref="E97:G97" si="10">E96-E95</f>
        <v>0</v>
      </c>
      <c r="F97" s="703">
        <f t="shared" si="10"/>
        <v>0</v>
      </c>
      <c r="G97" s="703">
        <f t="shared" si="10"/>
        <v>75974.025974025964</v>
      </c>
      <c r="H97" s="120" t="s">
        <v>589</v>
      </c>
      <c r="I97" s="171">
        <v>75974.025974025964</v>
      </c>
      <c r="J97" s="140" t="s">
        <v>559</v>
      </c>
      <c r="K97" s="161"/>
      <c r="L97" s="137">
        <v>2022</v>
      </c>
      <c r="M97" s="182">
        <v>0</v>
      </c>
      <c r="N97" s="162">
        <v>0</v>
      </c>
      <c r="O97" s="161"/>
      <c r="P97" s="161"/>
      <c r="Q97" s="161"/>
      <c r="R97" s="161"/>
      <c r="S97" s="161"/>
      <c r="T97" s="161"/>
      <c r="U97" s="161"/>
      <c r="V97" s="161"/>
      <c r="W97" s="161"/>
      <c r="X97" s="161"/>
      <c r="Y97" s="161"/>
      <c r="Z97" s="161"/>
    </row>
    <row r="98" spans="1:34">
      <c r="B98" s="137"/>
      <c r="D98" s="120"/>
      <c r="H98" s="120" t="s">
        <v>590</v>
      </c>
      <c r="I98" s="171">
        <v>60</v>
      </c>
      <c r="J98" s="140" t="s">
        <v>597</v>
      </c>
      <c r="K98" s="653"/>
      <c r="L98" s="137">
        <v>2023</v>
      </c>
      <c r="M98" s="190">
        <v>0.23661183536970279</v>
      </c>
      <c r="N98" s="162">
        <v>57.00403137051557</v>
      </c>
      <c r="O98" s="653"/>
      <c r="P98" s="653"/>
      <c r="Q98" s="653"/>
      <c r="R98" s="653"/>
      <c r="S98" s="653"/>
      <c r="T98" s="653"/>
      <c r="U98" s="653"/>
      <c r="V98" s="653"/>
      <c r="W98" s="653"/>
      <c r="X98" s="653"/>
      <c r="Y98" s="653"/>
      <c r="Z98" s="653"/>
    </row>
    <row r="99" spans="1:34">
      <c r="B99" s="137"/>
      <c r="C99" s="140"/>
      <c r="D99" s="175"/>
      <c r="E99" s="175"/>
      <c r="F99" s="175"/>
      <c r="G99" s="175"/>
      <c r="H99" s="140" t="s">
        <v>595</v>
      </c>
      <c r="I99" s="158">
        <v>310</v>
      </c>
      <c r="J99" s="140" t="s">
        <v>597</v>
      </c>
      <c r="K99" s="190"/>
      <c r="L99" s="137">
        <v>2024</v>
      </c>
      <c r="M99" s="182">
        <v>0.47814311407179394</v>
      </c>
      <c r="N99" s="162">
        <v>115.18514326412956</v>
      </c>
      <c r="O99" s="190"/>
      <c r="P99" s="190"/>
      <c r="Q99" s="190"/>
      <c r="R99" s="190"/>
      <c r="S99" s="190"/>
      <c r="T99" s="190"/>
      <c r="U99" s="190"/>
      <c r="V99" s="190"/>
      <c r="W99" s="190"/>
      <c r="X99" s="190"/>
      <c r="Y99" s="190"/>
      <c r="Z99" s="190"/>
      <c r="AA99" s="174"/>
      <c r="AB99" s="174"/>
      <c r="AC99" s="174"/>
      <c r="AD99" s="174"/>
      <c r="AE99" s="174"/>
      <c r="AF99" s="174"/>
      <c r="AG99" s="174"/>
      <c r="AH99" s="174"/>
    </row>
    <row r="100" spans="1:34">
      <c r="B100" s="156"/>
      <c r="C100" s="137"/>
      <c r="D100" s="177"/>
      <c r="E100" s="177"/>
      <c r="F100" s="177"/>
      <c r="G100" s="177"/>
      <c r="H100" s="140" t="s">
        <v>591</v>
      </c>
      <c r="I100" s="158">
        <v>0</v>
      </c>
      <c r="K100" s="161"/>
      <c r="L100" s="137">
        <v>2025</v>
      </c>
      <c r="M100" s="182">
        <v>0.96331123904380689</v>
      </c>
      <c r="N100" s="162">
        <v>232.44348941444071</v>
      </c>
      <c r="O100" s="161"/>
      <c r="P100" s="161"/>
      <c r="Q100" s="161"/>
      <c r="R100" s="161"/>
      <c r="S100" s="161"/>
      <c r="T100" s="161"/>
      <c r="U100" s="161"/>
      <c r="V100" s="161"/>
      <c r="W100" s="161"/>
      <c r="X100" s="161"/>
      <c r="Y100" s="161"/>
      <c r="Z100" s="161"/>
    </row>
    <row r="101" spans="1:34" ht="15">
      <c r="B101" s="156"/>
      <c r="C101" s="137"/>
      <c r="D101" s="177"/>
      <c r="E101" s="177"/>
      <c r="F101" s="177"/>
      <c r="G101" s="177"/>
      <c r="H101" s="140" t="s">
        <v>596</v>
      </c>
      <c r="I101" s="158">
        <v>20</v>
      </c>
      <c r="J101" s="140" t="s">
        <v>597</v>
      </c>
      <c r="K101" s="646"/>
      <c r="L101" s="646"/>
      <c r="M101" s="646"/>
      <c r="N101" s="646"/>
      <c r="O101" s="646"/>
      <c r="P101" s="646"/>
      <c r="Q101" s="646"/>
      <c r="R101" s="646"/>
      <c r="S101" s="646"/>
      <c r="T101" s="646"/>
      <c r="U101" s="646"/>
      <c r="V101" s="646"/>
      <c r="W101" s="646"/>
      <c r="X101" s="646"/>
      <c r="Y101" s="646"/>
      <c r="Z101" s="646"/>
      <c r="AA101" s="54"/>
      <c r="AB101" s="54"/>
    </row>
    <row r="102" spans="1:34">
      <c r="B102" s="156"/>
      <c r="C102" s="137"/>
      <c r="D102" s="177"/>
      <c r="E102" s="177"/>
      <c r="F102" s="177"/>
      <c r="G102" s="177"/>
      <c r="K102" s="161"/>
      <c r="L102" s="161"/>
      <c r="M102" s="161"/>
      <c r="N102" s="161"/>
      <c r="O102" s="161"/>
      <c r="P102" s="161"/>
      <c r="Q102" s="161"/>
      <c r="R102" s="161"/>
      <c r="S102" s="161"/>
      <c r="T102" s="161"/>
      <c r="U102" s="161"/>
      <c r="V102" s="161"/>
      <c r="W102" s="161"/>
      <c r="X102" s="161"/>
      <c r="Y102" s="161"/>
      <c r="Z102" s="161"/>
    </row>
    <row r="103" spans="1:34" ht="13.5" thickBot="1">
      <c r="B103" s="156"/>
      <c r="D103" s="120"/>
      <c r="K103" s="137"/>
      <c r="L103" s="137"/>
      <c r="M103" s="137"/>
      <c r="N103" s="137"/>
      <c r="O103" s="137"/>
      <c r="P103" s="137"/>
      <c r="Q103" s="137"/>
      <c r="R103" s="137"/>
      <c r="S103" s="137"/>
      <c r="T103" s="137"/>
      <c r="U103" s="137"/>
      <c r="V103" s="137"/>
      <c r="W103" s="137"/>
      <c r="X103" s="137"/>
      <c r="Y103" s="137"/>
      <c r="Z103" s="137"/>
    </row>
    <row r="104" spans="1:34">
      <c r="A104" s="186" t="s">
        <v>152</v>
      </c>
      <c r="B104" s="156"/>
      <c r="C104" s="690" t="s">
        <v>728</v>
      </c>
      <c r="D104" s="691">
        <v>0</v>
      </c>
      <c r="E104" s="691">
        <v>0</v>
      </c>
      <c r="F104" s="691">
        <v>0</v>
      </c>
      <c r="G104" s="692">
        <v>0</v>
      </c>
      <c r="H104" s="790" t="s">
        <v>588</v>
      </c>
      <c r="I104" s="790"/>
      <c r="J104" s="791"/>
      <c r="K104" s="161"/>
      <c r="L104" s="161"/>
      <c r="M104" s="161"/>
      <c r="N104" s="161"/>
      <c r="O104" s="161"/>
      <c r="P104" s="161"/>
      <c r="Q104" s="161"/>
      <c r="R104" s="161"/>
      <c r="S104" s="161"/>
      <c r="T104" s="161"/>
      <c r="U104" s="161"/>
      <c r="V104" s="161"/>
      <c r="W104" s="161"/>
      <c r="X104" s="161"/>
      <c r="Y104" s="161"/>
      <c r="Z104" s="161"/>
    </row>
    <row r="105" spans="1:34" ht="13.5" thickBot="1">
      <c r="B105" s="155"/>
      <c r="C105" s="693" t="s">
        <v>729</v>
      </c>
      <c r="D105" s="694">
        <v>0</v>
      </c>
      <c r="E105" s="694">
        <v>0</v>
      </c>
      <c r="F105" s="694">
        <v>0</v>
      </c>
      <c r="G105" s="715">
        <v>0</v>
      </c>
      <c r="H105" s="792" t="s">
        <v>152</v>
      </c>
      <c r="I105" s="792"/>
      <c r="J105" s="792"/>
      <c r="K105" s="180"/>
      <c r="L105" s="180"/>
      <c r="M105" s="180"/>
      <c r="N105" s="180"/>
      <c r="O105" s="180"/>
      <c r="P105" s="180"/>
      <c r="Q105" s="180"/>
      <c r="R105" s="180"/>
      <c r="S105" s="180"/>
      <c r="T105" s="180"/>
      <c r="U105" s="180"/>
      <c r="V105" s="180"/>
      <c r="W105" s="180"/>
      <c r="X105" s="180"/>
      <c r="Y105" s="180"/>
      <c r="Z105" s="180"/>
    </row>
    <row r="106" spans="1:34" ht="14.45" customHeight="1">
      <c r="B106" s="156"/>
      <c r="C106" s="697" t="s">
        <v>730</v>
      </c>
      <c r="D106" s="698">
        <f>'IRP No-CETA Costs'!C20*1000</f>
        <v>0</v>
      </c>
      <c r="E106" s="698">
        <f>'IRP No-CETA Costs'!D20*1000</f>
        <v>0</v>
      </c>
      <c r="F106" s="698">
        <f>'IRP No-CETA Costs'!E20*1000</f>
        <v>0</v>
      </c>
      <c r="G106" s="698">
        <f>'IRP No-CETA Costs'!F20*1000</f>
        <v>0</v>
      </c>
      <c r="K106" s="180"/>
      <c r="L106" s="180"/>
      <c r="M106" s="180"/>
      <c r="N106" s="180"/>
      <c r="O106" s="180"/>
      <c r="P106" s="180"/>
      <c r="Q106" s="180"/>
      <c r="R106" s="180"/>
      <c r="S106" s="180"/>
      <c r="T106" s="180"/>
      <c r="U106" s="180"/>
      <c r="V106" s="180"/>
      <c r="W106" s="180"/>
      <c r="X106" s="180"/>
      <c r="Y106" s="180"/>
      <c r="Z106" s="180"/>
    </row>
    <row r="107" spans="1:34" ht="14.45" customHeight="1" thickBot="1">
      <c r="B107" s="137"/>
      <c r="C107" s="700" t="s">
        <v>731</v>
      </c>
      <c r="D107" s="701">
        <f>'CEIP With-CETA Costs'!C21*1000</f>
        <v>0</v>
      </c>
      <c r="E107" s="701">
        <f>'CEIP With-CETA Costs'!D21*1000</f>
        <v>0</v>
      </c>
      <c r="F107" s="701">
        <f>'CEIP With-CETA Costs'!E21*1000</f>
        <v>0</v>
      </c>
      <c r="G107" s="712">
        <f>'CEIP With-CETA Costs'!F21*1000+I108</f>
        <v>150000</v>
      </c>
      <c r="H107" s="644" t="s">
        <v>700</v>
      </c>
      <c r="I107" s="644" t="s">
        <v>701</v>
      </c>
      <c r="J107" s="644" t="s">
        <v>702</v>
      </c>
      <c r="K107" s="190"/>
      <c r="L107" s="661"/>
      <c r="M107" s="770" t="s">
        <v>829</v>
      </c>
      <c r="N107" s="770" t="s">
        <v>830</v>
      </c>
      <c r="O107" s="190"/>
      <c r="P107" s="190"/>
      <c r="Q107" s="190"/>
      <c r="R107" s="190"/>
      <c r="S107" s="190"/>
      <c r="T107" s="190"/>
      <c r="U107" s="190"/>
      <c r="V107" s="190"/>
      <c r="W107" s="190"/>
      <c r="X107" s="190"/>
      <c r="Y107" s="190"/>
      <c r="Z107" s="190"/>
    </row>
    <row r="108" spans="1:34">
      <c r="B108" s="137"/>
      <c r="C108" s="704" t="s">
        <v>593</v>
      </c>
      <c r="D108" s="703">
        <f>D107-D106</f>
        <v>0</v>
      </c>
      <c r="E108" s="703">
        <f t="shared" ref="E108" si="11">E107-E106</f>
        <v>0</v>
      </c>
      <c r="F108" s="703">
        <f t="shared" ref="F108" si="12">F107-F106</f>
        <v>0</v>
      </c>
      <c r="G108" s="703">
        <f t="shared" ref="G108" si="13">G107-G106</f>
        <v>150000</v>
      </c>
      <c r="H108" s="120" t="s">
        <v>589</v>
      </c>
      <c r="I108" s="171">
        <v>150000</v>
      </c>
      <c r="J108" s="140" t="s">
        <v>559</v>
      </c>
      <c r="K108" s="137"/>
      <c r="L108" s="137">
        <v>2022</v>
      </c>
      <c r="M108" s="182">
        <v>0</v>
      </c>
      <c r="N108" s="162">
        <v>0</v>
      </c>
      <c r="O108" s="137"/>
      <c r="P108" s="137"/>
      <c r="Q108" s="137"/>
      <c r="R108" s="137"/>
      <c r="S108" s="137"/>
      <c r="T108" s="137"/>
      <c r="U108" s="137"/>
      <c r="V108" s="137"/>
      <c r="W108" s="137"/>
      <c r="X108" s="137"/>
      <c r="Y108" s="137"/>
      <c r="Z108" s="137"/>
    </row>
    <row r="109" spans="1:34">
      <c r="B109" s="137"/>
      <c r="C109" s="137"/>
      <c r="D109" s="137"/>
      <c r="E109" s="137"/>
      <c r="F109" s="137"/>
      <c r="G109" s="137"/>
      <c r="H109" s="120" t="s">
        <v>590</v>
      </c>
      <c r="I109" s="171">
        <v>66.75</v>
      </c>
      <c r="J109" s="140" t="s">
        <v>597</v>
      </c>
      <c r="K109" s="653"/>
      <c r="L109" s="137">
        <v>2023</v>
      </c>
      <c r="M109" s="190">
        <v>1.2812811880505661</v>
      </c>
      <c r="N109" s="162">
        <v>42901.320062674058</v>
      </c>
      <c r="O109" s="653"/>
      <c r="P109" s="653"/>
      <c r="Q109" s="653"/>
      <c r="R109" s="653"/>
      <c r="S109" s="653"/>
      <c r="T109" s="653"/>
      <c r="U109" s="653"/>
      <c r="V109" s="653"/>
      <c r="W109" s="653"/>
      <c r="X109" s="653"/>
      <c r="Y109" s="653"/>
      <c r="Z109" s="653"/>
    </row>
    <row r="110" spans="1:34">
      <c r="H110" s="140" t="s">
        <v>595</v>
      </c>
      <c r="I110" s="158">
        <v>0</v>
      </c>
      <c r="J110" s="137" t="s">
        <v>592</v>
      </c>
      <c r="K110" s="653"/>
      <c r="L110" s="137">
        <v>2024</v>
      </c>
      <c r="M110" s="182">
        <v>2.6029009422807499</v>
      </c>
      <c r="N110" s="162">
        <v>86799.158818163167</v>
      </c>
      <c r="O110" s="653"/>
      <c r="P110" s="653"/>
      <c r="Q110" s="653"/>
      <c r="R110" s="653"/>
      <c r="S110" s="653"/>
      <c r="T110" s="653"/>
      <c r="U110" s="653"/>
      <c r="V110" s="653"/>
      <c r="W110" s="653"/>
      <c r="X110" s="653"/>
      <c r="Y110" s="653"/>
      <c r="Z110" s="653"/>
    </row>
    <row r="111" spans="1:34">
      <c r="A111" s="120" t="s">
        <v>638</v>
      </c>
      <c r="B111" s="137"/>
      <c r="C111" s="140" t="s">
        <v>704</v>
      </c>
      <c r="D111" s="653">
        <f t="shared" ref="D111:G112" si="14">D4+D15+D25+D37+D48+D59+D70+D82+D93+D104</f>
        <v>0</v>
      </c>
      <c r="E111" s="653">
        <f t="shared" si="14"/>
        <v>1.0244194707966954</v>
      </c>
      <c r="F111" s="653">
        <f t="shared" si="14"/>
        <v>2.7299188090896216</v>
      </c>
      <c r="G111" s="653">
        <f t="shared" si="14"/>
        <v>6.8850059390710303</v>
      </c>
      <c r="H111" s="140"/>
      <c r="I111" s="158"/>
      <c r="K111" s="652"/>
      <c r="L111" s="137">
        <v>2025</v>
      </c>
      <c r="M111" s="182">
        <v>3.9716680615377715</v>
      </c>
      <c r="N111" s="162">
        <v>131753.42991627826</v>
      </c>
      <c r="O111" s="161"/>
      <c r="P111" s="161"/>
      <c r="Q111" s="161"/>
      <c r="R111" s="161"/>
      <c r="S111" s="161"/>
      <c r="T111" s="161"/>
      <c r="U111" s="161"/>
      <c r="V111" s="161"/>
      <c r="W111" s="161"/>
      <c r="X111" s="161"/>
      <c r="Y111" s="161"/>
      <c r="Z111" s="161"/>
    </row>
    <row r="112" spans="1:34">
      <c r="A112" s="137"/>
      <c r="B112" s="137"/>
      <c r="C112" s="140" t="s">
        <v>705</v>
      </c>
      <c r="D112" s="653">
        <f t="shared" si="14"/>
        <v>0</v>
      </c>
      <c r="E112" s="653">
        <f t="shared" si="14"/>
        <v>5.0792658154229038</v>
      </c>
      <c r="F112" s="653">
        <f t="shared" si="14"/>
        <v>10.9992808373241</v>
      </c>
      <c r="G112" s="653">
        <f t="shared" si="14"/>
        <v>23.654766853644755</v>
      </c>
      <c r="H112" s="140"/>
      <c r="I112" s="158"/>
      <c r="J112" s="140"/>
      <c r="K112" s="646"/>
      <c r="L112" s="646"/>
      <c r="M112" s="646"/>
      <c r="N112" s="646"/>
      <c r="O112" s="646"/>
      <c r="P112" s="646"/>
      <c r="Q112" s="646"/>
      <c r="R112" s="646"/>
      <c r="S112" s="646"/>
      <c r="T112" s="646"/>
      <c r="U112" s="646"/>
      <c r="V112" s="646"/>
      <c r="W112" s="646"/>
      <c r="X112" s="646"/>
      <c r="Y112" s="646"/>
      <c r="Z112" s="646"/>
    </row>
    <row r="113" spans="1:26">
      <c r="A113" s="161"/>
      <c r="B113" s="161"/>
      <c r="C113" s="140" t="s">
        <v>639</v>
      </c>
      <c r="D113" s="653">
        <f>D112-D111</f>
        <v>0</v>
      </c>
      <c r="E113" s="653">
        <f t="shared" ref="E113:G113" si="15">E112-E111</f>
        <v>4.054846344626208</v>
      </c>
      <c r="F113" s="653">
        <f t="shared" si="15"/>
        <v>8.2693620282344789</v>
      </c>
      <c r="G113" s="653">
        <f t="shared" si="15"/>
        <v>16.769760914573723</v>
      </c>
      <c r="K113" s="161"/>
      <c r="L113" s="161"/>
      <c r="M113" s="161"/>
      <c r="N113" s="161"/>
      <c r="O113" s="161"/>
      <c r="P113" s="161"/>
      <c r="Q113" s="161"/>
      <c r="R113" s="161"/>
      <c r="S113" s="161"/>
      <c r="T113" s="161"/>
      <c r="U113" s="161"/>
      <c r="V113" s="161"/>
      <c r="W113" s="161"/>
      <c r="X113" s="161"/>
      <c r="Y113" s="161"/>
      <c r="Z113" s="161"/>
    </row>
    <row r="114" spans="1:26">
      <c r="A114" s="161"/>
      <c r="B114" s="161"/>
      <c r="D114" s="120"/>
      <c r="K114" s="137"/>
      <c r="L114" s="137"/>
      <c r="M114" s="137"/>
      <c r="N114" s="137"/>
      <c r="O114" s="137"/>
      <c r="P114" s="137"/>
      <c r="Q114" s="137"/>
      <c r="R114" s="137"/>
      <c r="S114" s="137"/>
      <c r="T114" s="137"/>
      <c r="U114" s="137"/>
      <c r="V114" s="137"/>
      <c r="W114" s="137"/>
      <c r="X114" s="137"/>
      <c r="Y114" s="137"/>
      <c r="Z114" s="137"/>
    </row>
    <row r="115" spans="1:26">
      <c r="A115" s="161"/>
      <c r="B115" s="161"/>
      <c r="C115" s="137"/>
      <c r="D115" s="161"/>
      <c r="E115" s="161"/>
      <c r="F115" s="161"/>
      <c r="G115" s="654"/>
      <c r="H115" s="653"/>
      <c r="I115" s="653"/>
      <c r="J115" s="653"/>
      <c r="K115" s="653"/>
      <c r="L115" s="653"/>
      <c r="M115" s="653"/>
      <c r="N115" s="653"/>
      <c r="O115" s="653"/>
      <c r="P115" s="653"/>
      <c r="Q115" s="653"/>
      <c r="R115" s="653"/>
      <c r="S115" s="653"/>
      <c r="T115" s="653"/>
      <c r="U115" s="653"/>
      <c r="V115" s="653"/>
      <c r="W115" s="653"/>
      <c r="X115" s="653"/>
      <c r="Y115" s="653"/>
      <c r="Z115" s="653"/>
    </row>
    <row r="116" spans="1:26">
      <c r="A116" s="137" t="s">
        <v>703</v>
      </c>
      <c r="B116" s="161"/>
      <c r="C116" s="120" t="s">
        <v>730</v>
      </c>
      <c r="D116" s="716">
        <f>D6+D17+D27+D39+D50+D61+D72+D84+D95+D106</f>
        <v>191995.96422881764</v>
      </c>
      <c r="E116" s="716">
        <f t="shared" ref="E116:G116" si="16">E6+E17+E27+E39+E50+E61+E72+E84+E95+E106</f>
        <v>137345.26205062866</v>
      </c>
      <c r="F116" s="716">
        <f t="shared" si="16"/>
        <v>253604.42638397214</v>
      </c>
      <c r="G116" s="716">
        <f t="shared" si="16"/>
        <v>652798.26545715332</v>
      </c>
      <c r="H116" s="653"/>
      <c r="I116" s="653"/>
      <c r="J116" s="653"/>
      <c r="K116" s="653"/>
      <c r="L116" s="653"/>
      <c r="M116" s="653"/>
      <c r="N116" s="653"/>
      <c r="O116" s="653"/>
      <c r="P116" s="653"/>
      <c r="Q116" s="653"/>
      <c r="R116" s="653"/>
      <c r="S116" s="653"/>
      <c r="T116" s="653"/>
      <c r="U116" s="653"/>
      <c r="V116" s="653"/>
      <c r="W116" s="653"/>
      <c r="X116" s="653"/>
      <c r="Y116" s="653"/>
      <c r="Z116" s="653"/>
    </row>
    <row r="117" spans="1:26">
      <c r="A117" s="161"/>
      <c r="B117" s="161"/>
      <c r="C117" s="120" t="s">
        <v>731</v>
      </c>
      <c r="D117" s="716">
        <f>D7+D18+D28+D40+D51+D62+D73+D85+D96+D107</f>
        <v>341995.96422881761</v>
      </c>
      <c r="E117" s="716">
        <f>E7+E18+E28+E40+E51+E62+E73+E85+E96+E107</f>
        <v>1017980.6408882141</v>
      </c>
      <c r="F117" s="716">
        <f t="shared" ref="F117" si="17">F7+F18+F28+F40+F51+F62+F73+F85+F96+F107</f>
        <v>1252896.5401649475</v>
      </c>
      <c r="G117" s="716">
        <f>G7+G18+G28+G40+G51+G62+G73+G85+G96+G107</f>
        <v>3142219.3791600498</v>
      </c>
      <c r="H117" s="161"/>
      <c r="I117" s="161"/>
      <c r="J117" s="161"/>
      <c r="K117" s="137"/>
      <c r="L117" s="137"/>
      <c r="M117" s="137"/>
      <c r="N117" s="137"/>
      <c r="O117" s="137"/>
      <c r="P117" s="137"/>
      <c r="Q117" s="137"/>
      <c r="R117" s="137"/>
      <c r="S117" s="137"/>
      <c r="T117" s="137"/>
      <c r="U117" s="137"/>
      <c r="V117" s="137"/>
      <c r="W117" s="137"/>
      <c r="X117" s="137"/>
      <c r="Y117" s="137"/>
      <c r="Z117" s="137"/>
    </row>
    <row r="118" spans="1:26">
      <c r="A118" s="161"/>
      <c r="B118" s="161"/>
      <c r="C118" s="192" t="s">
        <v>648</v>
      </c>
      <c r="D118" s="719">
        <f>D117-D116</f>
        <v>149999.99999999997</v>
      </c>
      <c r="E118" s="719">
        <f t="shared" ref="E118:G118" si="18">E117-E116</f>
        <v>880635.37883758545</v>
      </c>
      <c r="F118" s="719">
        <f t="shared" si="18"/>
        <v>999292.11378097534</v>
      </c>
      <c r="G118" s="719">
        <f t="shared" si="18"/>
        <v>2489421.1137028965</v>
      </c>
      <c r="H118" s="137"/>
      <c r="I118" s="137"/>
      <c r="J118" s="137"/>
      <c r="K118" s="161"/>
      <c r="L118" s="161"/>
      <c r="M118" s="161"/>
      <c r="N118" s="161"/>
      <c r="O118" s="161"/>
      <c r="P118" s="161"/>
      <c r="Q118" s="161"/>
      <c r="R118" s="161"/>
      <c r="S118" s="161"/>
      <c r="T118" s="161"/>
      <c r="U118" s="161"/>
      <c r="V118" s="161"/>
      <c r="W118" s="161"/>
      <c r="X118" s="161"/>
      <c r="Y118" s="161"/>
      <c r="Z118" s="161"/>
    </row>
    <row r="119" spans="1:26">
      <c r="A119" s="161"/>
      <c r="B119" s="161"/>
      <c r="D119" s="717"/>
      <c r="E119" s="717"/>
      <c r="F119" s="717"/>
      <c r="G119" s="717"/>
      <c r="H119" s="161"/>
      <c r="I119" s="161"/>
      <c r="J119" s="161"/>
      <c r="K119" s="161"/>
      <c r="L119" s="161"/>
      <c r="M119" s="161"/>
      <c r="N119" s="161"/>
      <c r="O119" s="161"/>
      <c r="P119" s="161"/>
      <c r="Q119" s="161"/>
      <c r="R119" s="161"/>
      <c r="S119" s="161"/>
      <c r="T119" s="161"/>
      <c r="U119" s="161"/>
      <c r="V119" s="161"/>
      <c r="W119" s="161"/>
      <c r="X119" s="161"/>
      <c r="Y119" s="161"/>
      <c r="Z119" s="161"/>
    </row>
    <row r="120" spans="1:26">
      <c r="A120" s="137" t="s">
        <v>649</v>
      </c>
      <c r="B120" s="137"/>
      <c r="C120" s="137"/>
      <c r="D120" s="716"/>
      <c r="E120" s="716"/>
      <c r="F120" s="716"/>
      <c r="G120" s="716"/>
      <c r="H120" s="648"/>
      <c r="I120" s="648"/>
      <c r="J120" s="648"/>
      <c r="K120" s="648"/>
      <c r="L120" s="648"/>
      <c r="M120" s="648"/>
      <c r="N120" s="648"/>
      <c r="O120" s="648"/>
      <c r="P120" s="648"/>
      <c r="Q120" s="648"/>
      <c r="R120" s="648"/>
      <c r="S120" s="648"/>
      <c r="T120" s="648"/>
      <c r="U120" s="648"/>
      <c r="V120" s="648"/>
      <c r="W120" s="648"/>
      <c r="X120" s="648"/>
      <c r="Y120" s="648"/>
      <c r="Z120" s="648"/>
    </row>
    <row r="121" spans="1:26">
      <c r="A121" s="137"/>
      <c r="B121" s="137"/>
      <c r="C121" s="120" t="s">
        <v>730</v>
      </c>
      <c r="D121" s="716">
        <f>D122*($G$111/$G$112)</f>
        <v>99542.060990168931</v>
      </c>
      <c r="E121" s="716">
        <f>E122*($G$111/$G$112)</f>
        <v>296295.57550658175</v>
      </c>
      <c r="F121" s="716">
        <f>F122*($G$111/$G$112)</f>
        <v>364670.68872201006</v>
      </c>
      <c r="G121" s="716">
        <f>G122*($G$111/$G$112)</f>
        <v>914580.94773179316</v>
      </c>
      <c r="H121" s="648"/>
      <c r="I121" s="648"/>
      <c r="J121" s="648"/>
      <c r="K121" s="648"/>
      <c r="L121" s="648"/>
      <c r="M121" s="648"/>
      <c r="N121" s="648"/>
      <c r="O121" s="648"/>
      <c r="P121" s="648"/>
      <c r="Q121" s="648"/>
      <c r="R121" s="648"/>
      <c r="S121" s="648"/>
      <c r="T121" s="648"/>
      <c r="U121" s="648"/>
      <c r="V121" s="648"/>
      <c r="W121" s="648"/>
      <c r="X121" s="648"/>
      <c r="Y121" s="648"/>
      <c r="Z121" s="648"/>
    </row>
    <row r="122" spans="1:26">
      <c r="A122" s="137"/>
      <c r="B122" s="137"/>
      <c r="C122" s="120" t="s">
        <v>731</v>
      </c>
      <c r="D122" s="716">
        <f>D117</f>
        <v>341995.96422881761</v>
      </c>
      <c r="E122" s="716">
        <f t="shared" ref="E122:G122" si="19">E117</f>
        <v>1017980.6408882141</v>
      </c>
      <c r="F122" s="716">
        <f t="shared" si="19"/>
        <v>1252896.5401649475</v>
      </c>
      <c r="G122" s="716">
        <f t="shared" si="19"/>
        <v>3142219.3791600498</v>
      </c>
      <c r="H122" s="648"/>
      <c r="I122" s="648"/>
      <c r="J122" s="648"/>
      <c r="K122" s="648"/>
      <c r="L122" s="648"/>
      <c r="M122" s="648"/>
      <c r="N122" s="648"/>
      <c r="O122" s="648"/>
      <c r="P122" s="648"/>
      <c r="Q122" s="648"/>
      <c r="R122" s="648"/>
      <c r="S122" s="648"/>
      <c r="T122" s="648"/>
      <c r="U122" s="648"/>
      <c r="V122" s="648"/>
      <c r="W122" s="648"/>
      <c r="X122" s="648"/>
      <c r="Y122" s="648"/>
      <c r="Z122" s="648"/>
    </row>
    <row r="123" spans="1:26" ht="13.5" thickBot="1">
      <c r="C123" s="718" t="s">
        <v>649</v>
      </c>
      <c r="D123" s="720">
        <f>D122-D121</f>
        <v>242453.90323864867</v>
      </c>
      <c r="E123" s="720">
        <f>E122-E121</f>
        <v>721685.06538163242</v>
      </c>
      <c r="F123" s="720">
        <f>F122-F121</f>
        <v>888225.85144293751</v>
      </c>
      <c r="G123" s="720">
        <f>G122-G121</f>
        <v>2227638.4314282564</v>
      </c>
      <c r="H123" s="190"/>
      <c r="I123" s="190"/>
      <c r="J123" s="190"/>
      <c r="K123" s="190"/>
      <c r="L123" s="190"/>
      <c r="M123" s="190"/>
      <c r="N123" s="190"/>
      <c r="O123" s="190"/>
      <c r="P123" s="190"/>
      <c r="Q123" s="190"/>
      <c r="R123" s="190"/>
      <c r="S123" s="190"/>
      <c r="T123" s="190"/>
      <c r="U123" s="190"/>
      <c r="V123" s="190"/>
      <c r="W123" s="190"/>
      <c r="X123" s="190"/>
      <c r="Y123" s="190"/>
      <c r="Z123" s="190"/>
    </row>
    <row r="124" spans="1:26" ht="13.5" thickTop="1">
      <c r="H124" s="137"/>
      <c r="I124" s="137"/>
      <c r="J124" s="137"/>
      <c r="K124" s="137"/>
      <c r="L124" s="137"/>
      <c r="M124" s="137"/>
      <c r="N124" s="137"/>
      <c r="O124" s="137"/>
      <c r="P124" s="137"/>
      <c r="Q124" s="137"/>
      <c r="R124" s="137"/>
      <c r="S124" s="137"/>
      <c r="T124" s="137"/>
      <c r="U124" s="137"/>
      <c r="V124" s="137"/>
      <c r="W124" s="137"/>
      <c r="X124" s="137"/>
      <c r="Y124" s="137"/>
      <c r="Z124" s="137"/>
    </row>
    <row r="125" spans="1:26" ht="28.5" customHeight="1">
      <c r="A125" s="789" t="s">
        <v>747</v>
      </c>
      <c r="B125" s="789"/>
      <c r="C125" s="789"/>
      <c r="D125" s="789"/>
      <c r="E125" s="789"/>
      <c r="F125" s="789"/>
      <c r="G125" s="789"/>
      <c r="H125" s="648"/>
      <c r="I125" s="648"/>
      <c r="J125" s="648"/>
      <c r="K125" s="648"/>
      <c r="L125" s="648"/>
      <c r="M125" s="648"/>
      <c r="N125" s="648"/>
      <c r="O125" s="648"/>
      <c r="P125" s="648"/>
      <c r="Q125" s="648"/>
      <c r="R125" s="648"/>
      <c r="S125" s="648"/>
      <c r="T125" s="648"/>
      <c r="U125" s="648"/>
      <c r="V125" s="648"/>
      <c r="W125" s="648"/>
      <c r="X125" s="648"/>
      <c r="Y125" s="648"/>
      <c r="Z125" s="648"/>
    </row>
    <row r="126" spans="1:26">
      <c r="H126" s="648"/>
      <c r="I126" s="648"/>
      <c r="J126" s="648"/>
      <c r="K126" s="648"/>
      <c r="L126" s="648"/>
      <c r="M126" s="648"/>
      <c r="N126" s="648"/>
      <c r="O126" s="648"/>
      <c r="P126" s="648"/>
      <c r="Q126" s="648"/>
      <c r="R126" s="648"/>
      <c r="S126" s="648"/>
      <c r="T126" s="648"/>
      <c r="U126" s="648"/>
      <c r="V126" s="648"/>
      <c r="W126" s="648"/>
      <c r="X126" s="648"/>
      <c r="Y126" s="648"/>
      <c r="Z126" s="648"/>
    </row>
    <row r="127" spans="1:26">
      <c r="H127" s="648"/>
      <c r="I127" s="648"/>
      <c r="J127" s="648"/>
      <c r="K127" s="648"/>
      <c r="L127" s="648"/>
      <c r="M127" s="648"/>
      <c r="N127" s="648"/>
      <c r="O127" s="648"/>
      <c r="P127" s="648"/>
      <c r="Q127" s="648"/>
      <c r="R127" s="648"/>
      <c r="S127" s="648"/>
      <c r="T127" s="648"/>
      <c r="U127" s="648"/>
      <c r="V127" s="648"/>
      <c r="W127" s="648"/>
      <c r="X127" s="648"/>
      <c r="Y127" s="648"/>
      <c r="Z127" s="648"/>
    </row>
    <row r="128" spans="1:26">
      <c r="M128" s="137"/>
    </row>
    <row r="129" spans="1:26">
      <c r="A129" s="137"/>
      <c r="B129" s="137"/>
      <c r="C129" s="192"/>
      <c r="M129" s="137"/>
    </row>
    <row r="130" spans="1:26">
      <c r="A130" s="137"/>
      <c r="B130" s="137"/>
      <c r="M130" s="137"/>
    </row>
    <row r="131" spans="1:26">
      <c r="A131" s="137"/>
      <c r="B131" s="137"/>
      <c r="C131" s="137"/>
      <c r="D131" s="137"/>
      <c r="E131" s="137"/>
      <c r="F131" s="647"/>
      <c r="G131" s="647"/>
      <c r="H131" s="647"/>
      <c r="I131" s="647"/>
      <c r="J131" s="647"/>
      <c r="K131" s="647"/>
      <c r="L131" s="647"/>
      <c r="M131" s="647"/>
      <c r="N131" s="647"/>
      <c r="O131" s="647"/>
      <c r="P131" s="647"/>
      <c r="Q131" s="647"/>
      <c r="R131" s="647"/>
      <c r="S131" s="647"/>
      <c r="T131" s="647"/>
      <c r="U131" s="647"/>
      <c r="V131" s="647"/>
      <c r="W131" s="647"/>
      <c r="X131" s="647"/>
      <c r="Y131" s="647"/>
      <c r="Z131" s="647"/>
    </row>
    <row r="132" spans="1:26">
      <c r="A132" s="137"/>
      <c r="B132" s="137"/>
      <c r="C132" s="137"/>
      <c r="D132" s="137"/>
      <c r="E132" s="137"/>
      <c r="F132" s="647"/>
      <c r="G132" s="647"/>
      <c r="H132" s="647"/>
      <c r="I132" s="647"/>
      <c r="J132" s="647"/>
      <c r="K132" s="647"/>
      <c r="L132" s="647"/>
      <c r="M132" s="647"/>
      <c r="N132" s="647"/>
      <c r="O132" s="647"/>
      <c r="P132" s="647"/>
      <c r="Q132" s="647"/>
      <c r="R132" s="647"/>
      <c r="S132" s="647"/>
      <c r="T132" s="647"/>
      <c r="U132" s="647"/>
      <c r="V132" s="647"/>
      <c r="W132" s="647"/>
      <c r="X132" s="647"/>
      <c r="Y132" s="647"/>
      <c r="Z132" s="647"/>
    </row>
    <row r="133" spans="1:26">
      <c r="A133" s="137"/>
      <c r="B133" s="137"/>
      <c r="C133" s="137"/>
      <c r="D133" s="137"/>
      <c r="E133" s="137"/>
      <c r="F133" s="161"/>
      <c r="G133" s="161"/>
      <c r="H133" s="137"/>
      <c r="I133" s="137"/>
      <c r="J133" s="649"/>
      <c r="K133" s="137"/>
      <c r="L133" s="137"/>
      <c r="M133" s="137"/>
      <c r="N133" s="649"/>
      <c r="O133" s="137"/>
      <c r="P133" s="137"/>
      <c r="Q133" s="137"/>
      <c r="R133" s="137"/>
      <c r="S133" s="137"/>
      <c r="T133" s="137"/>
      <c r="U133" s="137"/>
      <c r="V133" s="137"/>
      <c r="W133" s="137"/>
      <c r="X133" s="137"/>
      <c r="Y133" s="137"/>
      <c r="Z133" s="137"/>
    </row>
    <row r="134" spans="1:26">
      <c r="A134" s="137"/>
      <c r="B134" s="137"/>
      <c r="C134" s="137"/>
      <c r="D134" s="137"/>
      <c r="E134" s="137"/>
      <c r="F134" s="161"/>
      <c r="G134" s="161"/>
      <c r="H134" s="137"/>
      <c r="I134" s="137"/>
      <c r="J134" s="137"/>
      <c r="K134" s="137"/>
      <c r="L134" s="137"/>
      <c r="M134" s="137"/>
      <c r="N134" s="137"/>
      <c r="O134" s="137"/>
      <c r="P134" s="137"/>
      <c r="Q134" s="137"/>
      <c r="R134" s="137"/>
      <c r="S134" s="137"/>
      <c r="T134" s="137"/>
      <c r="U134" s="137"/>
      <c r="V134" s="137"/>
      <c r="W134" s="137"/>
      <c r="X134" s="137"/>
      <c r="Y134" s="137"/>
      <c r="Z134" s="137"/>
    </row>
    <row r="135" spans="1:26">
      <c r="A135" s="137"/>
      <c r="B135" s="137"/>
      <c r="C135" s="137"/>
      <c r="D135" s="137"/>
      <c r="E135" s="137"/>
      <c r="F135" s="161"/>
      <c r="G135" s="161"/>
      <c r="H135" s="161"/>
      <c r="I135" s="161"/>
      <c r="J135" s="161"/>
      <c r="K135" s="161"/>
      <c r="L135" s="161"/>
      <c r="M135" s="161"/>
      <c r="N135" s="161"/>
      <c r="O135" s="137"/>
      <c r="P135" s="137"/>
      <c r="Q135" s="137"/>
      <c r="R135" s="137"/>
      <c r="S135" s="137"/>
      <c r="T135" s="137"/>
      <c r="U135" s="137"/>
      <c r="V135" s="137"/>
      <c r="W135" s="137"/>
      <c r="X135" s="137"/>
      <c r="Y135" s="137"/>
      <c r="Z135" s="137"/>
    </row>
    <row r="136" spans="1:26">
      <c r="A136" s="137"/>
      <c r="B136" s="137"/>
      <c r="C136" s="137"/>
      <c r="D136" s="137"/>
      <c r="E136" s="137"/>
      <c r="F136" s="161"/>
      <c r="G136" s="161"/>
      <c r="H136" s="161"/>
      <c r="I136" s="161"/>
      <c r="J136" s="161"/>
      <c r="K136" s="161"/>
      <c r="L136" s="161"/>
      <c r="M136" s="161"/>
      <c r="N136" s="161"/>
      <c r="O136" s="137"/>
      <c r="P136" s="137"/>
      <c r="Q136" s="137"/>
      <c r="R136" s="137"/>
      <c r="S136" s="137"/>
      <c r="T136" s="137"/>
      <c r="U136" s="137"/>
      <c r="V136" s="137"/>
      <c r="W136" s="137"/>
      <c r="X136" s="137"/>
      <c r="Y136" s="137"/>
      <c r="Z136" s="137"/>
    </row>
    <row r="137" spans="1:26">
      <c r="A137" s="137"/>
      <c r="B137" s="137"/>
      <c r="C137" s="137"/>
      <c r="D137" s="137"/>
      <c r="E137" s="650"/>
      <c r="F137" s="651"/>
      <c r="G137" s="651"/>
      <c r="H137" s="651"/>
      <c r="I137" s="651"/>
      <c r="J137" s="651"/>
      <c r="K137" s="651"/>
      <c r="L137" s="651"/>
      <c r="M137" s="651"/>
      <c r="N137" s="651"/>
      <c r="O137" s="137"/>
      <c r="P137" s="137"/>
      <c r="Q137" s="137"/>
      <c r="R137" s="137"/>
      <c r="S137" s="137"/>
      <c r="T137" s="137"/>
      <c r="U137" s="137"/>
      <c r="V137" s="137"/>
      <c r="W137" s="137"/>
      <c r="X137" s="137"/>
      <c r="Y137" s="137"/>
      <c r="Z137" s="137"/>
    </row>
    <row r="138" spans="1:26">
      <c r="A138" s="137"/>
      <c r="B138" s="137"/>
      <c r="C138" s="137"/>
      <c r="D138" s="137"/>
      <c r="E138" s="137"/>
      <c r="F138" s="161"/>
      <c r="G138" s="161"/>
      <c r="H138" s="161"/>
      <c r="I138" s="161"/>
      <c r="J138" s="161"/>
      <c r="K138" s="161"/>
      <c r="L138" s="161"/>
      <c r="M138" s="161"/>
      <c r="N138" s="161"/>
      <c r="O138" s="137"/>
      <c r="P138" s="137"/>
      <c r="Q138" s="137"/>
      <c r="R138" s="137"/>
      <c r="S138" s="137"/>
      <c r="T138" s="137"/>
      <c r="U138" s="137"/>
      <c r="V138" s="137"/>
      <c r="W138" s="137"/>
      <c r="X138" s="137"/>
      <c r="Y138" s="137"/>
      <c r="Z138" s="137"/>
    </row>
    <row r="139" spans="1:26">
      <c r="A139" s="137"/>
      <c r="B139" s="137"/>
      <c r="C139" s="137"/>
      <c r="D139" s="137"/>
      <c r="E139" s="137"/>
      <c r="F139" s="161"/>
      <c r="G139" s="161"/>
      <c r="H139" s="161"/>
      <c r="I139" s="161"/>
      <c r="J139" s="161"/>
      <c r="K139" s="161"/>
      <c r="L139" s="161"/>
      <c r="M139" s="161"/>
      <c r="N139" s="161"/>
      <c r="O139" s="137"/>
      <c r="P139" s="137"/>
      <c r="Q139" s="137"/>
      <c r="R139" s="137"/>
      <c r="S139" s="137"/>
      <c r="T139" s="137"/>
      <c r="U139" s="137"/>
      <c r="V139" s="137"/>
      <c r="W139" s="137"/>
      <c r="X139" s="137"/>
      <c r="Y139" s="137"/>
      <c r="Z139" s="137"/>
    </row>
    <row r="140" spans="1:26">
      <c r="A140" s="137"/>
      <c r="B140" s="137"/>
      <c r="C140" s="137"/>
      <c r="D140" s="137"/>
      <c r="E140" s="137"/>
      <c r="F140" s="161"/>
      <c r="G140" s="161"/>
      <c r="H140" s="161"/>
      <c r="I140" s="161"/>
      <c r="J140" s="161"/>
      <c r="K140" s="161"/>
      <c r="L140" s="161"/>
      <c r="M140" s="161"/>
      <c r="N140" s="161"/>
      <c r="O140" s="137"/>
      <c r="P140" s="137"/>
      <c r="Q140" s="137"/>
      <c r="R140" s="137"/>
      <c r="S140" s="137"/>
      <c r="T140" s="137"/>
      <c r="U140" s="137"/>
      <c r="V140" s="137"/>
      <c r="W140" s="137"/>
      <c r="X140" s="137"/>
      <c r="Y140" s="137"/>
      <c r="Z140" s="137"/>
    </row>
    <row r="141" spans="1:26">
      <c r="A141" s="137"/>
      <c r="B141" s="137"/>
      <c r="C141" s="137"/>
      <c r="D141" s="137"/>
      <c r="E141" s="137"/>
      <c r="F141" s="161"/>
      <c r="G141" s="161"/>
      <c r="H141" s="161"/>
      <c r="I141" s="161"/>
      <c r="J141" s="161"/>
      <c r="K141" s="161"/>
      <c r="L141" s="161"/>
      <c r="M141" s="161"/>
      <c r="N141" s="161"/>
      <c r="O141" s="137"/>
      <c r="P141" s="137"/>
      <c r="Q141" s="137"/>
      <c r="R141" s="137"/>
      <c r="S141" s="137"/>
      <c r="T141" s="137"/>
      <c r="U141" s="137"/>
      <c r="V141" s="137"/>
      <c r="W141" s="137"/>
      <c r="X141" s="137"/>
      <c r="Y141" s="137"/>
      <c r="Z141" s="137"/>
    </row>
    <row r="142" spans="1:26">
      <c r="A142" s="137"/>
      <c r="B142" s="137"/>
      <c r="C142" s="137"/>
      <c r="D142" s="137"/>
      <c r="E142" s="650"/>
      <c r="F142" s="651"/>
      <c r="G142" s="651"/>
      <c r="H142" s="651"/>
      <c r="I142" s="651"/>
      <c r="J142" s="651"/>
      <c r="K142" s="651"/>
      <c r="L142" s="651"/>
      <c r="M142" s="651"/>
      <c r="N142" s="651"/>
      <c r="O142" s="137"/>
      <c r="P142" s="137"/>
      <c r="Q142" s="137"/>
      <c r="R142" s="137"/>
      <c r="S142" s="137"/>
      <c r="T142" s="137"/>
      <c r="U142" s="137"/>
      <c r="V142" s="137"/>
      <c r="W142" s="137"/>
      <c r="X142" s="137"/>
      <c r="Y142" s="137"/>
      <c r="Z142" s="137"/>
    </row>
    <row r="143" spans="1:26">
      <c r="A143" s="137"/>
      <c r="B143" s="137"/>
      <c r="C143" s="137"/>
      <c r="D143" s="137"/>
      <c r="E143" s="137"/>
      <c r="F143" s="137"/>
      <c r="G143" s="137"/>
      <c r="H143" s="137"/>
      <c r="I143" s="137"/>
      <c r="J143" s="137"/>
      <c r="K143" s="137"/>
      <c r="L143" s="137"/>
      <c r="M143" s="137"/>
      <c r="N143" s="137"/>
      <c r="O143" s="137"/>
      <c r="P143" s="137"/>
      <c r="Q143" s="137"/>
      <c r="R143" s="137"/>
      <c r="S143" s="137"/>
      <c r="T143" s="137"/>
      <c r="U143" s="137"/>
      <c r="V143" s="137"/>
      <c r="W143" s="137"/>
      <c r="X143" s="137"/>
      <c r="Y143" s="137"/>
      <c r="Z143" s="137"/>
    </row>
    <row r="144" spans="1:26">
      <c r="A144" s="137"/>
      <c r="B144" s="137"/>
      <c r="C144" s="137"/>
      <c r="D144" s="137"/>
      <c r="E144" s="137"/>
      <c r="F144" s="137"/>
      <c r="G144" s="137"/>
      <c r="H144" s="137"/>
      <c r="I144" s="137"/>
      <c r="J144" s="137"/>
      <c r="K144" s="137"/>
      <c r="L144" s="137"/>
      <c r="M144" s="137"/>
      <c r="N144" s="137"/>
      <c r="O144" s="137"/>
      <c r="P144" s="137"/>
      <c r="Q144" s="137"/>
      <c r="R144" s="137"/>
      <c r="S144" s="137"/>
      <c r="T144" s="137"/>
      <c r="U144" s="137"/>
      <c r="V144" s="137"/>
      <c r="W144" s="137"/>
      <c r="X144" s="137"/>
      <c r="Y144" s="137"/>
      <c r="Z144" s="137"/>
    </row>
    <row r="145" spans="1:26">
      <c r="A145" s="137"/>
      <c r="B145" s="137"/>
      <c r="C145" s="137"/>
      <c r="D145" s="137"/>
      <c r="E145" s="137"/>
      <c r="F145" s="137"/>
      <c r="G145" s="137"/>
      <c r="H145" s="137"/>
      <c r="I145" s="137"/>
      <c r="J145" s="137"/>
      <c r="K145" s="137"/>
      <c r="L145" s="137"/>
      <c r="M145" s="137"/>
      <c r="N145" s="137"/>
      <c r="O145" s="137"/>
      <c r="P145" s="137"/>
      <c r="Q145" s="137"/>
      <c r="R145" s="137"/>
      <c r="S145" s="137"/>
      <c r="T145" s="137"/>
      <c r="U145" s="137"/>
      <c r="V145" s="137"/>
      <c r="W145" s="137"/>
      <c r="X145" s="137"/>
      <c r="Y145" s="137"/>
      <c r="Z145" s="137"/>
    </row>
    <row r="146" spans="1:26">
      <c r="M146" s="120"/>
    </row>
    <row r="147" spans="1:26">
      <c r="M147" s="120"/>
    </row>
    <row r="148" spans="1:26">
      <c r="M148" s="120"/>
    </row>
    <row r="149" spans="1:26">
      <c r="M149" s="120"/>
    </row>
    <row r="150" spans="1:26">
      <c r="M150" s="120"/>
    </row>
    <row r="151" spans="1:26">
      <c r="M151" s="120"/>
    </row>
    <row r="152" spans="1:26">
      <c r="M152" s="120"/>
    </row>
    <row r="153" spans="1:26">
      <c r="M153" s="120"/>
    </row>
    <row r="154" spans="1:26">
      <c r="M154" s="120"/>
    </row>
    <row r="155" spans="1:26">
      <c r="M155" s="120"/>
    </row>
    <row r="156" spans="1:26">
      <c r="M156" s="120"/>
    </row>
    <row r="157" spans="1:26">
      <c r="M157" s="120"/>
    </row>
    <row r="158" spans="1:26">
      <c r="M158" s="120"/>
    </row>
    <row r="159" spans="1:26">
      <c r="M159" s="120"/>
    </row>
    <row r="160" spans="1:26">
      <c r="M160" s="120"/>
    </row>
    <row r="161" spans="13:13">
      <c r="M161" s="120"/>
    </row>
    <row r="162" spans="13:13">
      <c r="M162" s="120"/>
    </row>
    <row r="163" spans="13:13">
      <c r="M163" s="120"/>
    </row>
    <row r="164" spans="13:13">
      <c r="M164" s="120"/>
    </row>
    <row r="165" spans="13:13">
      <c r="M165" s="120"/>
    </row>
    <row r="166" spans="13:13">
      <c r="M166" s="120"/>
    </row>
    <row r="167" spans="13:13">
      <c r="M167" s="120"/>
    </row>
    <row r="168" spans="13:13">
      <c r="M168" s="120"/>
    </row>
    <row r="169" spans="13:13">
      <c r="M169" s="120"/>
    </row>
    <row r="170" spans="13:13">
      <c r="M170" s="120"/>
    </row>
    <row r="171" spans="13:13">
      <c r="M171" s="120"/>
    </row>
    <row r="172" spans="13:13">
      <c r="M172" s="120"/>
    </row>
    <row r="173" spans="13:13">
      <c r="M173" s="120"/>
    </row>
    <row r="174" spans="13:13">
      <c r="M174" s="120"/>
    </row>
    <row r="175" spans="13:13">
      <c r="M175" s="120"/>
    </row>
    <row r="176" spans="13:13">
      <c r="M176" s="120"/>
    </row>
    <row r="177" spans="13:13">
      <c r="M177" s="120"/>
    </row>
    <row r="178" spans="13:13">
      <c r="M178" s="120"/>
    </row>
    <row r="179" spans="13:13">
      <c r="M179" s="120"/>
    </row>
    <row r="180" spans="13:13">
      <c r="M180" s="120"/>
    </row>
    <row r="181" spans="13:13">
      <c r="M181" s="120"/>
    </row>
    <row r="182" spans="13:13">
      <c r="M182" s="120"/>
    </row>
    <row r="183" spans="13:13">
      <c r="M183" s="120"/>
    </row>
    <row r="184" spans="13:13">
      <c r="M184" s="120"/>
    </row>
    <row r="185" spans="13:13">
      <c r="M185" s="120"/>
    </row>
    <row r="186" spans="13:13">
      <c r="M186" s="120"/>
    </row>
    <row r="187" spans="13:13">
      <c r="M187" s="120"/>
    </row>
    <row r="188" spans="13:13">
      <c r="M188" s="120"/>
    </row>
    <row r="189" spans="13:13">
      <c r="M189" s="120"/>
    </row>
    <row r="190" spans="13:13">
      <c r="M190" s="120"/>
    </row>
    <row r="191" spans="13:13">
      <c r="M191" s="120"/>
    </row>
    <row r="192" spans="13:13">
      <c r="M192" s="120"/>
    </row>
    <row r="193" spans="13:13">
      <c r="M193" s="120"/>
    </row>
    <row r="194" spans="13:13">
      <c r="M194" s="120"/>
    </row>
    <row r="195" spans="13:13">
      <c r="M195" s="120"/>
    </row>
    <row r="196" spans="13:13">
      <c r="M196" s="120"/>
    </row>
    <row r="197" spans="13:13">
      <c r="M197" s="120"/>
    </row>
    <row r="198" spans="13:13">
      <c r="M198" s="120"/>
    </row>
    <row r="199" spans="13:13">
      <c r="M199" s="120"/>
    </row>
    <row r="200" spans="13:13">
      <c r="M200" s="120"/>
    </row>
    <row r="201" spans="13:13">
      <c r="M201" s="120"/>
    </row>
    <row r="202" spans="13:13">
      <c r="M202" s="120"/>
    </row>
    <row r="203" spans="13:13">
      <c r="M203" s="120"/>
    </row>
    <row r="204" spans="13:13">
      <c r="M204" s="120"/>
    </row>
    <row r="205" spans="13:13">
      <c r="M205" s="120"/>
    </row>
    <row r="206" spans="13:13">
      <c r="M206" s="120"/>
    </row>
    <row r="207" spans="13:13">
      <c r="M207" s="120"/>
    </row>
    <row r="208" spans="13:13">
      <c r="M208" s="120"/>
    </row>
    <row r="209" spans="13:13">
      <c r="M209" s="120"/>
    </row>
    <row r="210" spans="13:13">
      <c r="M210" s="120"/>
    </row>
    <row r="211" spans="13:13">
      <c r="M211" s="120"/>
    </row>
    <row r="212" spans="13:13">
      <c r="M212" s="120"/>
    </row>
    <row r="213" spans="13:13">
      <c r="M213" s="120"/>
    </row>
    <row r="214" spans="13:13">
      <c r="M214" s="120"/>
    </row>
    <row r="215" spans="13:13">
      <c r="M215" s="120"/>
    </row>
    <row r="216" spans="13:13">
      <c r="M216" s="120"/>
    </row>
    <row r="217" spans="13:13">
      <c r="M217" s="120"/>
    </row>
    <row r="218" spans="13:13">
      <c r="M218" s="120"/>
    </row>
    <row r="219" spans="13:13">
      <c r="M219" s="120"/>
    </row>
    <row r="220" spans="13:13">
      <c r="M220" s="120"/>
    </row>
    <row r="221" spans="13:13">
      <c r="M221" s="120"/>
    </row>
    <row r="222" spans="13:13">
      <c r="M222" s="120"/>
    </row>
    <row r="223" spans="13:13">
      <c r="M223" s="120"/>
    </row>
    <row r="224" spans="13:13">
      <c r="M224" s="120"/>
    </row>
    <row r="225" spans="13:13">
      <c r="M225" s="120"/>
    </row>
    <row r="226" spans="13:13">
      <c r="M226" s="120"/>
    </row>
    <row r="227" spans="13:13">
      <c r="M227" s="120"/>
    </row>
    <row r="228" spans="13:13">
      <c r="M228" s="120"/>
    </row>
    <row r="229" spans="13:13">
      <c r="M229" s="120"/>
    </row>
    <row r="230" spans="13:13">
      <c r="M230" s="120"/>
    </row>
    <row r="231" spans="13:13">
      <c r="M231" s="120"/>
    </row>
    <row r="232" spans="13:13">
      <c r="M232" s="120"/>
    </row>
    <row r="233" spans="13:13">
      <c r="M233" s="120"/>
    </row>
    <row r="234" spans="13:13">
      <c r="M234" s="120"/>
    </row>
    <row r="235" spans="13:13">
      <c r="M235" s="120"/>
    </row>
    <row r="236" spans="13:13">
      <c r="M236" s="120"/>
    </row>
    <row r="237" spans="13:13">
      <c r="M237" s="120"/>
    </row>
    <row r="238" spans="13:13">
      <c r="M238" s="120"/>
    </row>
    <row r="239" spans="13:13">
      <c r="M239" s="120"/>
    </row>
    <row r="240" spans="13:13">
      <c r="M240" s="120"/>
    </row>
    <row r="241" spans="13:13">
      <c r="M241" s="120"/>
    </row>
    <row r="242" spans="13:13">
      <c r="M242" s="120"/>
    </row>
    <row r="243" spans="13:13">
      <c r="M243" s="120"/>
    </row>
    <row r="244" spans="13:13">
      <c r="M244" s="120"/>
    </row>
    <row r="245" spans="13:13">
      <c r="M245" s="120"/>
    </row>
    <row r="246" spans="13:13">
      <c r="M246" s="120"/>
    </row>
    <row r="247" spans="13:13">
      <c r="M247" s="120"/>
    </row>
    <row r="248" spans="13:13">
      <c r="M248" s="120"/>
    </row>
    <row r="249" spans="13:13">
      <c r="M249" s="120"/>
    </row>
    <row r="250" spans="13:13">
      <c r="M250" s="120"/>
    </row>
    <row r="251" spans="13:13">
      <c r="M251" s="120"/>
    </row>
    <row r="252" spans="13:13">
      <c r="M252" s="120"/>
    </row>
    <row r="253" spans="13:13">
      <c r="M253" s="120"/>
    </row>
    <row r="254" spans="13:13">
      <c r="M254" s="120"/>
    </row>
    <row r="255" spans="13:13">
      <c r="M255" s="120"/>
    </row>
    <row r="256" spans="13:13">
      <c r="M256" s="120"/>
    </row>
    <row r="257" spans="13:13">
      <c r="M257" s="120"/>
    </row>
    <row r="258" spans="13:13">
      <c r="M258" s="120"/>
    </row>
    <row r="259" spans="13:13">
      <c r="M259" s="120"/>
    </row>
    <row r="260" spans="13:13">
      <c r="M260" s="120"/>
    </row>
    <row r="261" spans="13:13">
      <c r="M261" s="120"/>
    </row>
    <row r="262" spans="13:13">
      <c r="M262" s="120"/>
    </row>
    <row r="263" spans="13:13">
      <c r="M263" s="120"/>
    </row>
    <row r="264" spans="13:13">
      <c r="M264" s="120"/>
    </row>
    <row r="265" spans="13:13">
      <c r="M265" s="120"/>
    </row>
    <row r="266" spans="13:13">
      <c r="M266" s="120"/>
    </row>
    <row r="267" spans="13:13">
      <c r="M267" s="120"/>
    </row>
    <row r="268" spans="13:13">
      <c r="M268" s="120"/>
    </row>
    <row r="269" spans="13:13">
      <c r="M269" s="120"/>
    </row>
    <row r="270" spans="13:13">
      <c r="M270" s="120"/>
    </row>
    <row r="271" spans="13:13">
      <c r="M271" s="120"/>
    </row>
    <row r="272" spans="13:13">
      <c r="M272" s="120"/>
    </row>
    <row r="273" spans="13:13">
      <c r="M273" s="120"/>
    </row>
    <row r="274" spans="13:13">
      <c r="M274" s="120"/>
    </row>
    <row r="275" spans="13:13">
      <c r="M275" s="120"/>
    </row>
    <row r="276" spans="13:13">
      <c r="M276" s="120"/>
    </row>
    <row r="277" spans="13:13">
      <c r="M277" s="120"/>
    </row>
    <row r="278" spans="13:13">
      <c r="M278" s="120"/>
    </row>
    <row r="279" spans="13:13">
      <c r="M279" s="120"/>
    </row>
    <row r="280" spans="13:13">
      <c r="M280" s="120"/>
    </row>
    <row r="281" spans="13:13">
      <c r="M281" s="120"/>
    </row>
    <row r="282" spans="13:13">
      <c r="M282" s="120"/>
    </row>
    <row r="283" spans="13:13">
      <c r="M283" s="120"/>
    </row>
    <row r="284" spans="13:13">
      <c r="M284" s="120"/>
    </row>
    <row r="285" spans="13:13">
      <c r="M285" s="120"/>
    </row>
    <row r="286" spans="13:13">
      <c r="M286" s="120"/>
    </row>
    <row r="287" spans="13:13">
      <c r="M287" s="120"/>
    </row>
    <row r="288" spans="13:13">
      <c r="M288" s="120"/>
    </row>
    <row r="289" spans="13:13">
      <c r="M289" s="120"/>
    </row>
    <row r="290" spans="13:13">
      <c r="M290" s="120"/>
    </row>
    <row r="291" spans="13:13">
      <c r="M291" s="120"/>
    </row>
    <row r="292" spans="13:13">
      <c r="M292" s="120"/>
    </row>
    <row r="293" spans="13:13">
      <c r="M293" s="120"/>
    </row>
    <row r="294" spans="13:13">
      <c r="M294" s="120"/>
    </row>
    <row r="295" spans="13:13">
      <c r="M295" s="120"/>
    </row>
    <row r="296" spans="13:13">
      <c r="M296" s="120"/>
    </row>
    <row r="297" spans="13:13">
      <c r="M297" s="120"/>
    </row>
    <row r="298" spans="13:13">
      <c r="M298" s="120"/>
    </row>
    <row r="299" spans="13:13">
      <c r="M299" s="120"/>
    </row>
    <row r="300" spans="13:13">
      <c r="M300" s="120"/>
    </row>
    <row r="301" spans="13:13">
      <c r="M301" s="120"/>
    </row>
    <row r="302" spans="13:13">
      <c r="M302" s="120"/>
    </row>
    <row r="303" spans="13:13">
      <c r="M303" s="120"/>
    </row>
    <row r="304" spans="13:13">
      <c r="M304" s="120"/>
    </row>
    <row r="305" spans="13:13">
      <c r="M305" s="120"/>
    </row>
    <row r="306" spans="13:13">
      <c r="M306" s="120"/>
    </row>
    <row r="307" spans="13:13">
      <c r="M307" s="120"/>
    </row>
    <row r="308" spans="13:13">
      <c r="M308" s="120"/>
    </row>
    <row r="309" spans="13:13">
      <c r="M309" s="120"/>
    </row>
    <row r="310" spans="13:13">
      <c r="M310" s="120"/>
    </row>
    <row r="311" spans="13:13">
      <c r="M311" s="120"/>
    </row>
    <row r="312" spans="13:13">
      <c r="M312" s="120"/>
    </row>
    <row r="313" spans="13:13">
      <c r="M313" s="120"/>
    </row>
    <row r="314" spans="13:13">
      <c r="M314" s="120"/>
    </row>
    <row r="315" spans="13:13">
      <c r="M315" s="120"/>
    </row>
    <row r="316" spans="13:13">
      <c r="M316" s="120"/>
    </row>
    <row r="317" spans="13:13">
      <c r="M317" s="120"/>
    </row>
    <row r="318" spans="13:13">
      <c r="M318" s="120"/>
    </row>
    <row r="319" spans="13:13">
      <c r="M319" s="120"/>
    </row>
    <row r="320" spans="13:13">
      <c r="M320" s="120"/>
    </row>
    <row r="321" spans="13:13">
      <c r="M321" s="120"/>
    </row>
    <row r="322" spans="13:13">
      <c r="M322" s="120"/>
    </row>
    <row r="323" spans="13:13">
      <c r="M323" s="120"/>
    </row>
    <row r="324" spans="13:13">
      <c r="M324" s="120"/>
    </row>
    <row r="325" spans="13:13">
      <c r="M325" s="120"/>
    </row>
    <row r="326" spans="13:13">
      <c r="M326" s="120"/>
    </row>
    <row r="327" spans="13:13">
      <c r="M327" s="120"/>
    </row>
    <row r="328" spans="13:13">
      <c r="M328" s="120"/>
    </row>
    <row r="329" spans="13:13">
      <c r="M329" s="120"/>
    </row>
    <row r="330" spans="13:13">
      <c r="M330" s="120"/>
    </row>
    <row r="331" spans="13:13">
      <c r="M331" s="120"/>
    </row>
    <row r="332" spans="13:13">
      <c r="M332" s="120"/>
    </row>
    <row r="333" spans="13:13">
      <c r="M333" s="120"/>
    </row>
    <row r="334" spans="13:13">
      <c r="M334" s="120"/>
    </row>
    <row r="335" spans="13:13">
      <c r="M335" s="120"/>
    </row>
    <row r="336" spans="13:13">
      <c r="M336" s="120"/>
    </row>
    <row r="337" spans="13:13">
      <c r="M337" s="120"/>
    </row>
    <row r="338" spans="13:13">
      <c r="M338" s="120"/>
    </row>
    <row r="339" spans="13:13">
      <c r="M339" s="120"/>
    </row>
    <row r="340" spans="13:13">
      <c r="M340" s="120"/>
    </row>
    <row r="341" spans="13:13">
      <c r="M341" s="120"/>
    </row>
    <row r="342" spans="13:13">
      <c r="M342" s="120"/>
    </row>
    <row r="343" spans="13:13">
      <c r="M343" s="120"/>
    </row>
    <row r="344" spans="13:13">
      <c r="M344" s="120"/>
    </row>
    <row r="345" spans="13:13">
      <c r="M345" s="120"/>
    </row>
    <row r="346" spans="13:13">
      <c r="M346" s="120"/>
    </row>
    <row r="347" spans="13:13">
      <c r="M347" s="120"/>
    </row>
    <row r="348" spans="13:13">
      <c r="M348" s="120"/>
    </row>
    <row r="349" spans="13:13">
      <c r="M349" s="120"/>
    </row>
    <row r="350" spans="13:13">
      <c r="M350" s="120"/>
    </row>
    <row r="351" spans="13:13">
      <c r="M351" s="120"/>
    </row>
    <row r="352" spans="13:13">
      <c r="M352" s="120"/>
    </row>
    <row r="353" spans="13:13">
      <c r="M353" s="120"/>
    </row>
    <row r="354" spans="13:13">
      <c r="M354" s="120"/>
    </row>
    <row r="355" spans="13:13">
      <c r="M355" s="120"/>
    </row>
    <row r="356" spans="13:13">
      <c r="M356" s="120"/>
    </row>
    <row r="357" spans="13:13">
      <c r="M357" s="120"/>
    </row>
    <row r="358" spans="13:13">
      <c r="M358" s="120"/>
    </row>
    <row r="359" spans="13:13">
      <c r="M359" s="120"/>
    </row>
    <row r="360" spans="13:13">
      <c r="M360" s="120"/>
    </row>
    <row r="361" spans="13:13">
      <c r="M361" s="120"/>
    </row>
    <row r="362" spans="13:13">
      <c r="M362" s="120"/>
    </row>
    <row r="363" spans="13:13">
      <c r="M363" s="120"/>
    </row>
    <row r="364" spans="13:13">
      <c r="M364" s="120"/>
    </row>
    <row r="365" spans="13:13">
      <c r="M365" s="120"/>
    </row>
    <row r="366" spans="13:13">
      <c r="M366" s="120"/>
    </row>
    <row r="367" spans="13:13">
      <c r="M367" s="120"/>
    </row>
    <row r="368" spans="13:13">
      <c r="M368" s="120"/>
    </row>
    <row r="369" spans="13:13">
      <c r="M369" s="120"/>
    </row>
    <row r="370" spans="13:13">
      <c r="M370" s="120"/>
    </row>
    <row r="371" spans="13:13">
      <c r="M371" s="120"/>
    </row>
    <row r="372" spans="13:13">
      <c r="M372" s="120"/>
    </row>
    <row r="373" spans="13:13">
      <c r="M373" s="120"/>
    </row>
    <row r="374" spans="13:13">
      <c r="M374" s="120"/>
    </row>
    <row r="375" spans="13:13">
      <c r="M375" s="120"/>
    </row>
    <row r="376" spans="13:13">
      <c r="M376" s="120"/>
    </row>
    <row r="377" spans="13:13">
      <c r="M377" s="120"/>
    </row>
    <row r="378" spans="13:13">
      <c r="M378" s="120"/>
    </row>
    <row r="379" spans="13:13">
      <c r="M379" s="120"/>
    </row>
    <row r="380" spans="13:13">
      <c r="M380" s="120"/>
    </row>
    <row r="381" spans="13:13">
      <c r="M381" s="120"/>
    </row>
    <row r="382" spans="13:13">
      <c r="M382" s="120"/>
    </row>
    <row r="383" spans="13:13">
      <c r="M383" s="120"/>
    </row>
    <row r="384" spans="13:13">
      <c r="M384" s="120"/>
    </row>
    <row r="385" spans="13:13">
      <c r="M385" s="120"/>
    </row>
    <row r="386" spans="13:13">
      <c r="M386" s="120"/>
    </row>
    <row r="387" spans="13:13">
      <c r="M387" s="120"/>
    </row>
    <row r="388" spans="13:13">
      <c r="M388" s="120"/>
    </row>
    <row r="389" spans="13:13">
      <c r="M389" s="120"/>
    </row>
    <row r="390" spans="13:13">
      <c r="M390" s="120"/>
    </row>
    <row r="391" spans="13:13">
      <c r="M391" s="120"/>
    </row>
    <row r="392" spans="13:13">
      <c r="M392" s="120"/>
    </row>
    <row r="393" spans="13:13">
      <c r="M393" s="120"/>
    </row>
    <row r="394" spans="13:13">
      <c r="M394" s="120"/>
    </row>
    <row r="395" spans="13:13">
      <c r="M395" s="120"/>
    </row>
    <row r="396" spans="13:13">
      <c r="M396" s="120"/>
    </row>
    <row r="397" spans="13:13">
      <c r="M397" s="120"/>
    </row>
    <row r="398" spans="13:13">
      <c r="M398" s="120"/>
    </row>
    <row r="399" spans="13:13">
      <c r="M399" s="120"/>
    </row>
    <row r="400" spans="13:13">
      <c r="M400" s="120"/>
    </row>
    <row r="401" spans="13:13">
      <c r="M401" s="120"/>
    </row>
    <row r="402" spans="13:13">
      <c r="M402" s="120"/>
    </row>
    <row r="403" spans="13:13">
      <c r="M403" s="120"/>
    </row>
    <row r="404" spans="13:13">
      <c r="M404" s="120"/>
    </row>
    <row r="405" spans="13:13">
      <c r="M405" s="120"/>
    </row>
    <row r="406" spans="13:13">
      <c r="M406" s="120"/>
    </row>
    <row r="407" spans="13:13">
      <c r="M407" s="120"/>
    </row>
    <row r="408" spans="13:13">
      <c r="M408" s="120"/>
    </row>
    <row r="409" spans="13:13">
      <c r="M409" s="120"/>
    </row>
    <row r="410" spans="13:13">
      <c r="M410" s="120"/>
    </row>
    <row r="411" spans="13:13">
      <c r="M411" s="120"/>
    </row>
    <row r="412" spans="13:13">
      <c r="M412" s="120"/>
    </row>
    <row r="413" spans="13:13">
      <c r="M413" s="120"/>
    </row>
    <row r="414" spans="13:13">
      <c r="M414" s="120"/>
    </row>
    <row r="415" spans="13:13">
      <c r="M415" s="120"/>
    </row>
    <row r="416" spans="13:13">
      <c r="M416" s="120"/>
    </row>
    <row r="417" spans="13:13">
      <c r="M417" s="120"/>
    </row>
    <row r="418" spans="13:13">
      <c r="M418" s="120"/>
    </row>
    <row r="419" spans="13:13">
      <c r="M419" s="120"/>
    </row>
    <row r="420" spans="13:13">
      <c r="M420" s="120"/>
    </row>
    <row r="421" spans="13:13">
      <c r="M421" s="120"/>
    </row>
    <row r="422" spans="13:13">
      <c r="M422" s="120"/>
    </row>
    <row r="423" spans="13:13">
      <c r="M423" s="120"/>
    </row>
    <row r="424" spans="13:13">
      <c r="M424" s="120"/>
    </row>
    <row r="425" spans="13:13">
      <c r="M425" s="120"/>
    </row>
    <row r="426" spans="13:13">
      <c r="M426" s="120"/>
    </row>
    <row r="427" spans="13:13">
      <c r="M427" s="120"/>
    </row>
    <row r="428" spans="13:13">
      <c r="M428" s="120"/>
    </row>
    <row r="429" spans="13:13">
      <c r="M429" s="120"/>
    </row>
    <row r="430" spans="13:13">
      <c r="M430" s="120"/>
    </row>
    <row r="431" spans="13:13">
      <c r="M431" s="120"/>
    </row>
    <row r="432" spans="13:13">
      <c r="M432" s="120"/>
    </row>
    <row r="433" spans="13:13">
      <c r="M433" s="120"/>
    </row>
    <row r="434" spans="13:13">
      <c r="M434" s="120"/>
    </row>
    <row r="435" spans="13:13">
      <c r="M435" s="120"/>
    </row>
    <row r="436" spans="13:13">
      <c r="M436" s="120"/>
    </row>
    <row r="437" spans="13:13">
      <c r="M437" s="120"/>
    </row>
    <row r="438" spans="13:13">
      <c r="M438" s="120"/>
    </row>
    <row r="439" spans="13:13">
      <c r="M439" s="120"/>
    </row>
    <row r="440" spans="13:13">
      <c r="M440" s="120"/>
    </row>
    <row r="441" spans="13:13">
      <c r="M441" s="120"/>
    </row>
    <row r="442" spans="13:13">
      <c r="M442" s="120"/>
    </row>
    <row r="443" spans="13:13">
      <c r="M443" s="120"/>
    </row>
    <row r="444" spans="13:13">
      <c r="M444" s="120"/>
    </row>
    <row r="445" spans="13:13">
      <c r="M445" s="120"/>
    </row>
    <row r="446" spans="13:13">
      <c r="M446" s="120"/>
    </row>
    <row r="447" spans="13:13">
      <c r="M447" s="120"/>
    </row>
    <row r="448" spans="13:13">
      <c r="M448" s="120"/>
    </row>
    <row r="449" spans="13:13">
      <c r="M449" s="120"/>
    </row>
    <row r="450" spans="13:13">
      <c r="M450" s="120"/>
    </row>
    <row r="451" spans="13:13">
      <c r="M451" s="120"/>
    </row>
    <row r="452" spans="13:13">
      <c r="M452" s="120"/>
    </row>
    <row r="453" spans="13:13">
      <c r="M453" s="120"/>
    </row>
    <row r="454" spans="13:13">
      <c r="M454" s="120"/>
    </row>
    <row r="455" spans="13:13">
      <c r="M455" s="120"/>
    </row>
    <row r="456" spans="13:13">
      <c r="M456" s="120"/>
    </row>
    <row r="457" spans="13:13">
      <c r="M457" s="120"/>
    </row>
    <row r="458" spans="13:13">
      <c r="M458" s="120"/>
    </row>
    <row r="459" spans="13:13">
      <c r="M459" s="120"/>
    </row>
    <row r="460" spans="13:13">
      <c r="M460" s="120"/>
    </row>
    <row r="461" spans="13:13">
      <c r="M461" s="120"/>
    </row>
    <row r="462" spans="13:13">
      <c r="M462" s="120"/>
    </row>
    <row r="463" spans="13:13">
      <c r="M463" s="120"/>
    </row>
    <row r="464" spans="13:13">
      <c r="M464" s="120"/>
    </row>
    <row r="465" spans="13:13">
      <c r="M465" s="120"/>
    </row>
    <row r="466" spans="13:13">
      <c r="M466" s="120"/>
    </row>
    <row r="467" spans="13:13">
      <c r="M467" s="120"/>
    </row>
    <row r="468" spans="13:13">
      <c r="M468" s="120"/>
    </row>
    <row r="469" spans="13:13">
      <c r="M469" s="120"/>
    </row>
    <row r="470" spans="13:13">
      <c r="M470" s="120"/>
    </row>
    <row r="471" spans="13:13">
      <c r="M471" s="120"/>
    </row>
    <row r="472" spans="13:13">
      <c r="M472" s="120"/>
    </row>
    <row r="473" spans="13:13">
      <c r="M473" s="120"/>
    </row>
    <row r="474" spans="13:13">
      <c r="M474" s="120"/>
    </row>
    <row r="475" spans="13:13">
      <c r="M475" s="120"/>
    </row>
    <row r="476" spans="13:13">
      <c r="M476" s="120"/>
    </row>
    <row r="477" spans="13:13">
      <c r="M477" s="120"/>
    </row>
    <row r="478" spans="13:13">
      <c r="M478" s="120"/>
    </row>
    <row r="479" spans="13:13">
      <c r="M479" s="120"/>
    </row>
    <row r="480" spans="13:13">
      <c r="M480" s="120"/>
    </row>
    <row r="481" spans="13:13">
      <c r="M481" s="120"/>
    </row>
    <row r="482" spans="13:13">
      <c r="M482" s="120"/>
    </row>
    <row r="483" spans="13:13">
      <c r="M483" s="120"/>
    </row>
    <row r="484" spans="13:13">
      <c r="M484" s="120"/>
    </row>
    <row r="485" spans="13:13">
      <c r="M485" s="120"/>
    </row>
    <row r="486" spans="13:13">
      <c r="M486" s="120"/>
    </row>
    <row r="487" spans="13:13">
      <c r="M487" s="120"/>
    </row>
    <row r="488" spans="13:13">
      <c r="M488" s="120"/>
    </row>
    <row r="489" spans="13:13">
      <c r="M489" s="120"/>
    </row>
    <row r="490" spans="13:13">
      <c r="M490" s="120"/>
    </row>
    <row r="491" spans="13:13">
      <c r="M491" s="120"/>
    </row>
    <row r="492" spans="13:13">
      <c r="M492" s="120"/>
    </row>
    <row r="493" spans="13:13">
      <c r="M493" s="120"/>
    </row>
    <row r="494" spans="13:13">
      <c r="M494" s="120"/>
    </row>
    <row r="495" spans="13:13">
      <c r="M495" s="120"/>
    </row>
    <row r="496" spans="13:13">
      <c r="M496" s="120"/>
    </row>
    <row r="497" spans="13:13">
      <c r="M497" s="120"/>
    </row>
    <row r="498" spans="13:13">
      <c r="M498" s="120"/>
    </row>
    <row r="499" spans="13:13">
      <c r="M499" s="120"/>
    </row>
    <row r="500" spans="13:13">
      <c r="M500" s="120"/>
    </row>
    <row r="501" spans="13:13">
      <c r="M501" s="120"/>
    </row>
    <row r="502" spans="13:13">
      <c r="M502" s="120"/>
    </row>
    <row r="503" spans="13:13">
      <c r="M503" s="120"/>
    </row>
    <row r="504" spans="13:13">
      <c r="M504" s="120"/>
    </row>
    <row r="505" spans="13:13">
      <c r="M505" s="120"/>
    </row>
    <row r="506" spans="13:13">
      <c r="M506" s="120"/>
    </row>
    <row r="507" spans="13:13">
      <c r="M507" s="120"/>
    </row>
    <row r="508" spans="13:13">
      <c r="M508" s="120"/>
    </row>
    <row r="509" spans="13:13">
      <c r="M509" s="120"/>
    </row>
    <row r="510" spans="13:13">
      <c r="M510" s="120"/>
    </row>
    <row r="511" spans="13:13">
      <c r="M511" s="120"/>
    </row>
    <row r="512" spans="13:13">
      <c r="M512" s="120"/>
    </row>
    <row r="513" spans="13:13">
      <c r="M513" s="120"/>
    </row>
    <row r="514" spans="13:13">
      <c r="M514" s="120"/>
    </row>
    <row r="515" spans="13:13">
      <c r="M515" s="120"/>
    </row>
    <row r="516" spans="13:13">
      <c r="M516" s="120"/>
    </row>
    <row r="517" spans="13:13">
      <c r="M517" s="120"/>
    </row>
    <row r="518" spans="13:13">
      <c r="M518" s="120"/>
    </row>
    <row r="519" spans="13:13">
      <c r="M519" s="120"/>
    </row>
    <row r="520" spans="13:13">
      <c r="M520" s="120"/>
    </row>
    <row r="521" spans="13:13">
      <c r="M521" s="120"/>
    </row>
    <row r="522" spans="13:13">
      <c r="M522" s="120"/>
    </row>
    <row r="523" spans="13:13">
      <c r="M523" s="120"/>
    </row>
    <row r="524" spans="13:13">
      <c r="M524" s="120"/>
    </row>
    <row r="525" spans="13:13">
      <c r="M525" s="120"/>
    </row>
    <row r="526" spans="13:13">
      <c r="M526" s="120"/>
    </row>
    <row r="527" spans="13:13">
      <c r="M527" s="120"/>
    </row>
    <row r="528" spans="13:13">
      <c r="M528" s="120"/>
    </row>
    <row r="529" spans="13:13">
      <c r="M529" s="120"/>
    </row>
    <row r="530" spans="13:13">
      <c r="M530" s="120"/>
    </row>
    <row r="531" spans="13:13">
      <c r="M531" s="120"/>
    </row>
    <row r="532" spans="13:13">
      <c r="M532" s="120"/>
    </row>
    <row r="533" spans="13:13">
      <c r="M533" s="120"/>
    </row>
    <row r="534" spans="13:13">
      <c r="M534" s="120"/>
    </row>
    <row r="535" spans="13:13">
      <c r="M535" s="120"/>
    </row>
    <row r="536" spans="13:13">
      <c r="M536" s="120"/>
    </row>
    <row r="537" spans="13:13">
      <c r="M537" s="120"/>
    </row>
    <row r="538" spans="13:13">
      <c r="M538" s="120"/>
    </row>
    <row r="539" spans="13:13">
      <c r="M539" s="120"/>
    </row>
    <row r="540" spans="13:13">
      <c r="M540" s="120"/>
    </row>
    <row r="541" spans="13:13">
      <c r="M541" s="120"/>
    </row>
    <row r="542" spans="13:13">
      <c r="M542" s="120"/>
    </row>
    <row r="543" spans="13:13">
      <c r="M543" s="120"/>
    </row>
    <row r="544" spans="13:13">
      <c r="M544" s="120"/>
    </row>
    <row r="545" spans="13:13">
      <c r="M545" s="120"/>
    </row>
    <row r="546" spans="13:13">
      <c r="M546" s="120"/>
    </row>
    <row r="547" spans="13:13">
      <c r="M547" s="120"/>
    </row>
    <row r="548" spans="13:13">
      <c r="M548" s="120"/>
    </row>
    <row r="549" spans="13:13">
      <c r="M549" s="120"/>
    </row>
    <row r="550" spans="13:13">
      <c r="M550" s="120"/>
    </row>
    <row r="551" spans="13:13">
      <c r="M551" s="120"/>
    </row>
    <row r="552" spans="13:13">
      <c r="M552" s="120"/>
    </row>
    <row r="553" spans="13:13">
      <c r="M553" s="120"/>
    </row>
    <row r="554" spans="13:13">
      <c r="M554" s="120"/>
    </row>
    <row r="555" spans="13:13">
      <c r="M555" s="120"/>
    </row>
    <row r="556" spans="13:13">
      <c r="M556" s="120"/>
    </row>
    <row r="557" spans="13:13">
      <c r="M557" s="120"/>
    </row>
    <row r="558" spans="13:13">
      <c r="M558" s="120"/>
    </row>
    <row r="559" spans="13:13">
      <c r="M559" s="120"/>
    </row>
    <row r="560" spans="13:13">
      <c r="M560" s="120"/>
    </row>
    <row r="561" spans="13:13">
      <c r="M561" s="120"/>
    </row>
    <row r="562" spans="13:13">
      <c r="M562" s="120"/>
    </row>
    <row r="563" spans="13:13">
      <c r="M563" s="120"/>
    </row>
    <row r="564" spans="13:13">
      <c r="M564" s="120"/>
    </row>
    <row r="565" spans="13:13">
      <c r="M565" s="120"/>
    </row>
    <row r="566" spans="13:13">
      <c r="M566" s="120"/>
    </row>
    <row r="567" spans="13:13">
      <c r="M567" s="120"/>
    </row>
    <row r="568" spans="13:13">
      <c r="M568" s="120"/>
    </row>
    <row r="569" spans="13:13">
      <c r="M569" s="120"/>
    </row>
    <row r="570" spans="13:13">
      <c r="M570" s="120"/>
    </row>
    <row r="571" spans="13:13">
      <c r="M571" s="120"/>
    </row>
    <row r="572" spans="13:13">
      <c r="M572" s="120"/>
    </row>
    <row r="573" spans="13:13">
      <c r="M573" s="120"/>
    </row>
    <row r="574" spans="13:13">
      <c r="M574" s="120"/>
    </row>
    <row r="575" spans="13:13">
      <c r="M575" s="120"/>
    </row>
    <row r="576" spans="13:13">
      <c r="M576" s="120"/>
    </row>
    <row r="577" spans="13:13">
      <c r="M577" s="120"/>
    </row>
    <row r="578" spans="13:13">
      <c r="M578" s="120"/>
    </row>
    <row r="579" spans="13:13">
      <c r="M579" s="120"/>
    </row>
    <row r="580" spans="13:13">
      <c r="M580" s="120"/>
    </row>
    <row r="581" spans="13:13">
      <c r="M581" s="120"/>
    </row>
    <row r="582" spans="13:13">
      <c r="M582" s="120"/>
    </row>
    <row r="583" spans="13:13">
      <c r="M583" s="120"/>
    </row>
    <row r="584" spans="13:13">
      <c r="M584" s="120"/>
    </row>
    <row r="585" spans="13:13">
      <c r="M585" s="120"/>
    </row>
    <row r="586" spans="13:13">
      <c r="M586" s="120"/>
    </row>
    <row r="587" spans="13:13">
      <c r="M587" s="120"/>
    </row>
    <row r="588" spans="13:13">
      <c r="M588" s="120"/>
    </row>
    <row r="589" spans="13:13">
      <c r="M589" s="120"/>
    </row>
    <row r="590" spans="13:13">
      <c r="M590" s="120"/>
    </row>
    <row r="591" spans="13:13">
      <c r="M591" s="120"/>
    </row>
    <row r="592" spans="13:13">
      <c r="M592" s="120"/>
    </row>
    <row r="593" spans="13:13">
      <c r="M593" s="120"/>
    </row>
    <row r="594" spans="13:13">
      <c r="M594" s="120"/>
    </row>
    <row r="595" spans="13:13">
      <c r="M595" s="120"/>
    </row>
    <row r="596" spans="13:13">
      <c r="M596" s="120"/>
    </row>
    <row r="597" spans="13:13">
      <c r="M597" s="120"/>
    </row>
    <row r="598" spans="13:13">
      <c r="M598" s="120"/>
    </row>
    <row r="599" spans="13:13">
      <c r="M599" s="120"/>
    </row>
    <row r="600" spans="13:13">
      <c r="M600" s="120"/>
    </row>
    <row r="601" spans="13:13">
      <c r="M601" s="120"/>
    </row>
    <row r="602" spans="13:13">
      <c r="M602" s="120"/>
    </row>
    <row r="603" spans="13:13">
      <c r="M603" s="120"/>
    </row>
    <row r="604" spans="13:13">
      <c r="M604" s="120"/>
    </row>
    <row r="605" spans="13:13">
      <c r="M605" s="120"/>
    </row>
    <row r="606" spans="13:13">
      <c r="M606" s="120"/>
    </row>
    <row r="607" spans="13:13">
      <c r="M607" s="120"/>
    </row>
    <row r="608" spans="13:13">
      <c r="M608" s="120"/>
    </row>
    <row r="609" spans="13:13">
      <c r="M609" s="120"/>
    </row>
    <row r="610" spans="13:13">
      <c r="M610" s="120"/>
    </row>
    <row r="611" spans="13:13">
      <c r="M611" s="120"/>
    </row>
    <row r="612" spans="13:13">
      <c r="M612" s="120"/>
    </row>
    <row r="613" spans="13:13">
      <c r="M613" s="120"/>
    </row>
    <row r="614" spans="13:13">
      <c r="M614" s="120"/>
    </row>
    <row r="615" spans="13:13">
      <c r="M615" s="120"/>
    </row>
    <row r="616" spans="13:13">
      <c r="M616" s="120"/>
    </row>
    <row r="617" spans="13:13">
      <c r="M617" s="120"/>
    </row>
    <row r="618" spans="13:13">
      <c r="M618" s="120"/>
    </row>
    <row r="619" spans="13:13">
      <c r="M619" s="120"/>
    </row>
    <row r="620" spans="13:13">
      <c r="M620" s="120"/>
    </row>
    <row r="621" spans="13:13">
      <c r="M621" s="120"/>
    </row>
    <row r="622" spans="13:13">
      <c r="M622" s="120"/>
    </row>
    <row r="623" spans="13:13">
      <c r="M623" s="120"/>
    </row>
    <row r="624" spans="13:13">
      <c r="M624" s="120"/>
    </row>
    <row r="625" spans="13:13">
      <c r="M625" s="120"/>
    </row>
    <row r="626" spans="13:13">
      <c r="M626" s="120"/>
    </row>
    <row r="627" spans="13:13">
      <c r="M627" s="120"/>
    </row>
    <row r="628" spans="13:13">
      <c r="M628" s="120"/>
    </row>
    <row r="629" spans="13:13">
      <c r="M629" s="120"/>
    </row>
    <row r="630" spans="13:13">
      <c r="M630" s="120"/>
    </row>
    <row r="631" spans="13:13">
      <c r="M631" s="120"/>
    </row>
    <row r="632" spans="13:13">
      <c r="M632" s="120"/>
    </row>
    <row r="633" spans="13:13">
      <c r="M633" s="120"/>
    </row>
    <row r="634" spans="13:13">
      <c r="M634" s="120"/>
    </row>
    <row r="635" spans="13:13">
      <c r="M635" s="120"/>
    </row>
    <row r="636" spans="13:13">
      <c r="M636" s="120"/>
    </row>
    <row r="637" spans="13:13">
      <c r="M637" s="120"/>
    </row>
    <row r="638" spans="13:13">
      <c r="M638" s="120"/>
    </row>
    <row r="639" spans="13:13">
      <c r="M639" s="120"/>
    </row>
    <row r="640" spans="13:13">
      <c r="M640" s="120"/>
    </row>
    <row r="641" spans="13:13">
      <c r="M641" s="120"/>
    </row>
    <row r="642" spans="13:13">
      <c r="M642" s="120"/>
    </row>
    <row r="643" spans="13:13">
      <c r="M643" s="120"/>
    </row>
    <row r="644" spans="13:13">
      <c r="M644" s="120"/>
    </row>
    <row r="645" spans="13:13">
      <c r="M645" s="120"/>
    </row>
    <row r="646" spans="13:13">
      <c r="M646" s="120"/>
    </row>
    <row r="647" spans="13:13">
      <c r="M647" s="120"/>
    </row>
    <row r="648" spans="13:13">
      <c r="M648" s="120"/>
    </row>
    <row r="649" spans="13:13">
      <c r="M649" s="120"/>
    </row>
    <row r="650" spans="13:13">
      <c r="M650" s="120"/>
    </row>
    <row r="651" spans="13:13">
      <c r="M651" s="120"/>
    </row>
    <row r="652" spans="13:13">
      <c r="M652" s="120"/>
    </row>
    <row r="653" spans="13:13">
      <c r="M653" s="120"/>
    </row>
    <row r="654" spans="13:13">
      <c r="M654" s="120"/>
    </row>
    <row r="655" spans="13:13">
      <c r="M655" s="120"/>
    </row>
    <row r="656" spans="13:13">
      <c r="M656" s="120"/>
    </row>
    <row r="657" spans="13:13">
      <c r="M657" s="120"/>
    </row>
    <row r="658" spans="13:13">
      <c r="M658" s="120"/>
    </row>
    <row r="659" spans="13:13">
      <c r="M659" s="120"/>
    </row>
    <row r="660" spans="13:13">
      <c r="M660" s="120"/>
    </row>
    <row r="661" spans="13:13">
      <c r="M661" s="120"/>
    </row>
    <row r="662" spans="13:13">
      <c r="M662" s="120"/>
    </row>
    <row r="663" spans="13:13">
      <c r="M663" s="120"/>
    </row>
    <row r="664" spans="13:13">
      <c r="M664" s="120"/>
    </row>
    <row r="665" spans="13:13">
      <c r="M665" s="120"/>
    </row>
    <row r="666" spans="13:13">
      <c r="M666" s="120"/>
    </row>
    <row r="667" spans="13:13">
      <c r="M667" s="120"/>
    </row>
  </sheetData>
  <mergeCells count="23">
    <mergeCell ref="C1:G1"/>
    <mergeCell ref="H37:J37"/>
    <mergeCell ref="H4:J4"/>
    <mergeCell ref="H5:J5"/>
    <mergeCell ref="H15:J15"/>
    <mergeCell ref="H16:J16"/>
    <mergeCell ref="H25:J25"/>
    <mergeCell ref="H26:J26"/>
    <mergeCell ref="H1:N2"/>
    <mergeCell ref="H38:J38"/>
    <mergeCell ref="H48:J48"/>
    <mergeCell ref="H49:J49"/>
    <mergeCell ref="H82:J82"/>
    <mergeCell ref="H83:J83"/>
    <mergeCell ref="H70:J70"/>
    <mergeCell ref="H71:J71"/>
    <mergeCell ref="H59:J59"/>
    <mergeCell ref="H60:J60"/>
    <mergeCell ref="A125:G125"/>
    <mergeCell ref="H93:J93"/>
    <mergeCell ref="H94:J94"/>
    <mergeCell ref="H104:J104"/>
    <mergeCell ref="H105:J105"/>
  </mergeCells>
  <pageMargins left="0.7" right="0.7" top="0.75" bottom="0.75" header="0.3" footer="0.3"/>
  <pageSetup paperSize="119" orientation="landscape" horizontalDpi="1200" verticalDpi="1200" r:id="rId1"/>
  <headerFooter>
    <oddHeader>&amp;LAppendix E-2: Incremental Cost Calculation&amp;RClean Energy Implementation Plan</oddHeader>
    <oddFooter>&amp;LDECEMBER 17, 2021&amp;C&amp;P of &amp;N&amp;RPuget Sound Energy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tabSelected="1" view="pageLayout" zoomScaleNormal="100" workbookViewId="0">
      <selection activeCell="E17" sqref="E17"/>
    </sheetView>
  </sheetViews>
  <sheetFormatPr defaultColWidth="8.7109375" defaultRowHeight="12.75"/>
  <cols>
    <col min="1" max="1" width="27" style="120" customWidth="1"/>
    <col min="2" max="2" width="16.85546875" style="120" customWidth="1"/>
    <col min="3" max="4" width="15.5703125" style="120" bestFit="1" customWidth="1"/>
    <col min="5" max="5" width="15.85546875" style="120" customWidth="1"/>
    <col min="6" max="6" width="1.5703125" style="194" customWidth="1"/>
    <col min="7" max="7" width="15.5703125" style="120" customWidth="1"/>
    <col min="8" max="8" width="15.85546875" style="120" customWidth="1"/>
    <col min="9" max="9" width="15.140625" style="120" customWidth="1"/>
    <col min="10" max="10" width="15.42578125" style="120" customWidth="1"/>
    <col min="11" max="12" width="14.5703125" style="137" bestFit="1" customWidth="1"/>
    <col min="13" max="17" width="13.140625" style="137" bestFit="1" customWidth="1"/>
    <col min="18" max="21" width="14.5703125" style="137" bestFit="1" customWidth="1"/>
    <col min="22" max="16384" width="8.7109375" style="156"/>
  </cols>
  <sheetData>
    <row r="1" spans="1:21" ht="28.7" customHeight="1">
      <c r="B1" s="798" t="s">
        <v>725</v>
      </c>
      <c r="C1" s="798"/>
      <c r="D1" s="798"/>
      <c r="E1" s="798"/>
      <c r="G1" s="798" t="s">
        <v>726</v>
      </c>
      <c r="H1" s="798"/>
      <c r="I1" s="798"/>
      <c r="J1" s="798"/>
      <c r="K1" s="140"/>
      <c r="L1" s="140"/>
      <c r="M1" s="140"/>
      <c r="N1" s="140"/>
      <c r="O1" s="140"/>
      <c r="P1" s="140"/>
      <c r="Q1" s="140"/>
      <c r="R1" s="140"/>
      <c r="S1" s="140"/>
      <c r="T1" s="140"/>
      <c r="U1" s="140"/>
    </row>
    <row r="2" spans="1:21">
      <c r="B2" s="140">
        <v>2022</v>
      </c>
      <c r="C2" s="140">
        <v>2023</v>
      </c>
      <c r="D2" s="140">
        <v>2024</v>
      </c>
      <c r="E2" s="140">
        <v>2025</v>
      </c>
      <c r="G2" s="140">
        <v>2022</v>
      </c>
      <c r="H2" s="140">
        <v>2023</v>
      </c>
      <c r="I2" s="140">
        <v>2024</v>
      </c>
      <c r="J2" s="140">
        <v>2025</v>
      </c>
      <c r="K2" s="140"/>
      <c r="L2" s="140"/>
      <c r="M2" s="140"/>
      <c r="N2" s="140"/>
      <c r="O2" s="140"/>
      <c r="P2" s="140"/>
      <c r="Q2" s="140"/>
      <c r="R2" s="140"/>
      <c r="S2" s="140"/>
      <c r="T2" s="140"/>
      <c r="U2" s="140"/>
    </row>
    <row r="3" spans="1:21">
      <c r="K3" s="140"/>
      <c r="L3" s="140"/>
      <c r="M3" s="140"/>
      <c r="N3" s="140"/>
      <c r="O3" s="140"/>
      <c r="P3" s="140"/>
      <c r="Q3" s="140"/>
      <c r="R3" s="140"/>
      <c r="S3" s="140"/>
      <c r="T3" s="140"/>
      <c r="U3" s="140"/>
    </row>
    <row r="4" spans="1:21">
      <c r="A4" s="156" t="s">
        <v>141</v>
      </c>
      <c r="B4" s="161">
        <f>SUM('IRP No-CETA Costs'!C2:C6)*1000</f>
        <v>561730745.3918457</v>
      </c>
      <c r="C4" s="716">
        <f>SUM('IRP No-CETA Costs'!D2:D6)*1000</f>
        <v>588958682.80029297</v>
      </c>
      <c r="D4" s="716">
        <f>SUM('IRP No-CETA Costs'!E2:E6)*1000</f>
        <v>586771395.5078125</v>
      </c>
      <c r="E4" s="716">
        <f>SUM('IRP No-CETA Costs'!F2:F6)*1000</f>
        <v>585728232.54394531</v>
      </c>
      <c r="F4" s="164"/>
      <c r="G4" s="161">
        <f>SUM('CEIP With-CETA Costs'!C2:C6)*1000</f>
        <v>562142339.59197998</v>
      </c>
      <c r="H4" s="716">
        <f>SUM('CEIP With-CETA Costs'!D2:D6)*1000</f>
        <v>600124124.78351593</v>
      </c>
      <c r="I4" s="716">
        <f>SUM('CEIP With-CETA Costs'!E2:E6)*1000</f>
        <v>661577282.92703629</v>
      </c>
      <c r="J4" s="716">
        <f>SUM('CEIP With-CETA Costs'!F2:F6)*1000</f>
        <v>700185769.41156387</v>
      </c>
      <c r="K4" s="161"/>
      <c r="L4" s="161"/>
      <c r="M4" s="161"/>
      <c r="N4" s="161"/>
      <c r="O4" s="161"/>
      <c r="P4" s="161"/>
      <c r="Q4" s="161"/>
      <c r="R4" s="161"/>
      <c r="S4" s="161"/>
      <c r="T4" s="161"/>
      <c r="U4" s="161"/>
    </row>
    <row r="5" spans="1:21">
      <c r="A5" s="156" t="s">
        <v>142</v>
      </c>
      <c r="B5" s="161">
        <f>'1. Energy Efficiency'!L29</f>
        <v>64352473.545366868</v>
      </c>
      <c r="C5" s="161">
        <f>'1. Energy Efficiency'!M29</f>
        <v>64352473.545366868</v>
      </c>
      <c r="D5" s="161">
        <f>'1. Energy Efficiency'!N29</f>
        <v>64352473.545366868</v>
      </c>
      <c r="E5" s="161">
        <f>'1. Energy Efficiency'!O29</f>
        <v>64352473.545366868</v>
      </c>
      <c r="F5" s="164"/>
      <c r="G5" s="163">
        <f>'1. Energy Efficiency'!P29</f>
        <v>101922316.01083736</v>
      </c>
      <c r="H5" s="163">
        <f>'1. Energy Efficiency'!Q29</f>
        <v>101922316.01083736</v>
      </c>
      <c r="I5" s="163">
        <f>'1. Energy Efficiency'!R29</f>
        <v>101922316.01083736</v>
      </c>
      <c r="J5" s="163">
        <f>'1. Energy Efficiency'!S29</f>
        <v>101922316.01083736</v>
      </c>
      <c r="K5" s="161"/>
      <c r="L5" s="161"/>
      <c r="M5" s="161"/>
      <c r="N5" s="161"/>
      <c r="O5" s="161"/>
      <c r="P5" s="161"/>
      <c r="Q5" s="161"/>
      <c r="R5" s="161"/>
      <c r="S5" s="161"/>
      <c r="T5" s="161"/>
      <c r="U5" s="161"/>
    </row>
    <row r="6" spans="1:21">
      <c r="A6" s="156" t="s">
        <v>9</v>
      </c>
      <c r="B6" s="163">
        <f>'2. Demand Response'!D121</f>
        <v>99542.060990168931</v>
      </c>
      <c r="C6" s="163">
        <f>'2. Demand Response'!E121</f>
        <v>296295.57550658175</v>
      </c>
      <c r="D6" s="163">
        <f>'2. Demand Response'!F121</f>
        <v>364670.68872201006</v>
      </c>
      <c r="E6" s="163">
        <f>'2. Demand Response'!G121</f>
        <v>914580.94773179316</v>
      </c>
      <c r="F6" s="164"/>
      <c r="G6" s="163">
        <f>'2. Demand Response'!D122</f>
        <v>341995.96422881761</v>
      </c>
      <c r="H6" s="163">
        <f>'2. Demand Response'!E122</f>
        <v>1017980.6408882141</v>
      </c>
      <c r="I6" s="163">
        <f>'2. Demand Response'!F122</f>
        <v>1252896.5401649475</v>
      </c>
      <c r="J6" s="163">
        <f>'2. Demand Response'!G122</f>
        <v>3142219.3791600498</v>
      </c>
      <c r="K6" s="161"/>
      <c r="L6" s="161"/>
      <c r="M6" s="161"/>
      <c r="N6" s="161"/>
      <c r="O6" s="161"/>
      <c r="P6" s="161"/>
      <c r="Q6" s="161"/>
      <c r="R6" s="161"/>
      <c r="S6" s="161"/>
      <c r="T6" s="161"/>
      <c r="U6" s="161"/>
    </row>
    <row r="7" spans="1:21" ht="13.5" thickBot="1">
      <c r="A7" s="195" t="s">
        <v>15</v>
      </c>
      <c r="B7" s="196">
        <f t="shared" ref="B7:J7" si="0">B4+B5+B6</f>
        <v>626182760.9982028</v>
      </c>
      <c r="C7" s="196">
        <f t="shared" si="0"/>
        <v>653607451.92116642</v>
      </c>
      <c r="D7" s="196">
        <f t="shared" si="0"/>
        <v>651488539.7419014</v>
      </c>
      <c r="E7" s="196">
        <f t="shared" si="0"/>
        <v>650995287.03704405</v>
      </c>
      <c r="F7" s="197">
        <f t="shared" si="0"/>
        <v>0</v>
      </c>
      <c r="G7" s="196">
        <f t="shared" si="0"/>
        <v>664406651.56704617</v>
      </c>
      <c r="H7" s="196">
        <f t="shared" si="0"/>
        <v>703064421.43524146</v>
      </c>
      <c r="I7" s="196">
        <f t="shared" si="0"/>
        <v>764752495.47803855</v>
      </c>
      <c r="J7" s="196">
        <f t="shared" si="0"/>
        <v>805250304.80156124</v>
      </c>
      <c r="K7" s="175"/>
      <c r="L7" s="175"/>
      <c r="M7" s="175"/>
      <c r="N7" s="175"/>
      <c r="O7" s="175"/>
      <c r="P7" s="175"/>
      <c r="Q7" s="175"/>
      <c r="R7" s="175"/>
      <c r="S7" s="175"/>
      <c r="T7" s="175"/>
      <c r="U7" s="175"/>
    </row>
    <row r="8" spans="1:21" ht="13.5" thickTop="1">
      <c r="B8" s="159"/>
      <c r="C8" s="159"/>
      <c r="D8" s="159"/>
      <c r="E8" s="159"/>
      <c r="G8" s="159"/>
      <c r="H8" s="159"/>
      <c r="I8" s="159"/>
      <c r="J8" s="159"/>
    </row>
    <row r="9" spans="1:21">
      <c r="G9" s="159"/>
      <c r="H9" s="159"/>
      <c r="I9" s="159"/>
      <c r="J9" s="159"/>
    </row>
    <row r="10" spans="1:21">
      <c r="G10" s="159"/>
      <c r="H10" s="159"/>
      <c r="I10" s="159"/>
      <c r="J10" s="159"/>
    </row>
    <row r="11" spans="1:21">
      <c r="G11" s="169"/>
      <c r="H11" s="169"/>
      <c r="I11" s="169"/>
      <c r="J11" s="169"/>
    </row>
    <row r="12" spans="1:21">
      <c r="A12" s="796" t="s">
        <v>636</v>
      </c>
      <c r="B12" s="797"/>
      <c r="C12" s="797"/>
      <c r="D12" s="797"/>
      <c r="E12" s="797"/>
      <c r="G12" s="198"/>
      <c r="H12" s="198"/>
      <c r="I12" s="198"/>
      <c r="J12" s="198"/>
    </row>
    <row r="13" spans="1:21">
      <c r="A13" s="156" t="s">
        <v>141</v>
      </c>
      <c r="B13" s="159">
        <f t="shared" ref="B13:E15" si="1">G4-B4</f>
        <v>411594.20013427734</v>
      </c>
      <c r="C13" s="159">
        <f t="shared" si="1"/>
        <v>11165441.983222961</v>
      </c>
      <c r="D13" s="159">
        <f t="shared" si="1"/>
        <v>74805887.419223785</v>
      </c>
      <c r="E13" s="159">
        <f t="shared" si="1"/>
        <v>114457536.86761856</v>
      </c>
      <c r="G13" s="163"/>
      <c r="H13" s="163"/>
      <c r="I13" s="163"/>
      <c r="J13" s="163"/>
    </row>
    <row r="14" spans="1:21">
      <c r="A14" s="156" t="s">
        <v>142</v>
      </c>
      <c r="B14" s="159">
        <f t="shared" si="1"/>
        <v>37569842.465470493</v>
      </c>
      <c r="C14" s="159">
        <f t="shared" si="1"/>
        <v>37569842.465470493</v>
      </c>
      <c r="D14" s="159">
        <f t="shared" si="1"/>
        <v>37569842.465470493</v>
      </c>
      <c r="E14" s="159">
        <f t="shared" si="1"/>
        <v>37569842.465470493</v>
      </c>
      <c r="G14" s="163"/>
      <c r="H14" s="163"/>
      <c r="I14" s="163"/>
      <c r="J14" s="163"/>
    </row>
    <row r="15" spans="1:21">
      <c r="A15" s="156" t="s">
        <v>9</v>
      </c>
      <c r="B15" s="159">
        <f t="shared" si="1"/>
        <v>242453.90323864867</v>
      </c>
      <c r="C15" s="159">
        <f t="shared" si="1"/>
        <v>721685.06538163242</v>
      </c>
      <c r="D15" s="159">
        <f t="shared" si="1"/>
        <v>888225.85144293751</v>
      </c>
      <c r="E15" s="159">
        <f t="shared" si="1"/>
        <v>2227638.4314282564</v>
      </c>
      <c r="G15" s="163"/>
      <c r="H15" s="163"/>
      <c r="I15" s="163"/>
      <c r="J15" s="163"/>
    </row>
    <row r="16" spans="1:21" s="137" customFormat="1" ht="13.5" thickBot="1">
      <c r="A16" s="195" t="s">
        <v>15</v>
      </c>
      <c r="B16" s="196">
        <f>SUM(B13:B15)</f>
        <v>38223890.568843417</v>
      </c>
      <c r="C16" s="196">
        <f t="shared" ref="C16:E16" si="2">SUM(C13:C15)</f>
        <v>49456969.514075086</v>
      </c>
      <c r="D16" s="196">
        <f t="shared" si="2"/>
        <v>113263955.73613721</v>
      </c>
      <c r="E16" s="196">
        <f t="shared" si="2"/>
        <v>154255017.76451731</v>
      </c>
      <c r="F16" s="194"/>
      <c r="G16" s="159"/>
      <c r="H16" s="159"/>
      <c r="I16" s="159"/>
      <c r="J16" s="159"/>
    </row>
    <row r="17" spans="1:10" ht="13.5" thickTop="1">
      <c r="G17" s="159"/>
      <c r="H17" s="159"/>
      <c r="I17" s="159"/>
      <c r="J17" s="159"/>
    </row>
    <row r="18" spans="1:10">
      <c r="G18" s="159"/>
      <c r="H18" s="159"/>
      <c r="I18" s="159"/>
      <c r="J18" s="159"/>
    </row>
    <row r="19" spans="1:10">
      <c r="G19" s="169"/>
      <c r="H19" s="169"/>
      <c r="I19" s="169"/>
      <c r="J19" s="169"/>
    </row>
    <row r="20" spans="1:10">
      <c r="G20" s="169"/>
      <c r="H20" s="169"/>
      <c r="I20" s="169"/>
      <c r="J20" s="169"/>
    </row>
    <row r="21" spans="1:10">
      <c r="B21" s="140"/>
      <c r="C21" s="140"/>
      <c r="D21" s="140"/>
      <c r="E21" s="140"/>
      <c r="G21" s="169"/>
      <c r="H21" s="169"/>
      <c r="I21" s="169"/>
      <c r="J21" s="169"/>
    </row>
    <row r="22" spans="1:10">
      <c r="A22" s="156"/>
      <c r="B22" s="163"/>
      <c r="C22" s="163"/>
      <c r="D22" s="163"/>
      <c r="E22" s="163"/>
      <c r="G22" s="163"/>
      <c r="H22" s="163"/>
      <c r="I22" s="156"/>
      <c r="J22" s="156"/>
    </row>
    <row r="23" spans="1:10">
      <c r="A23" s="156"/>
      <c r="B23" s="163"/>
      <c r="C23" s="163"/>
      <c r="D23" s="163"/>
      <c r="E23" s="163"/>
      <c r="G23" s="163"/>
      <c r="H23" s="163"/>
      <c r="I23" s="156"/>
      <c r="J23" s="156"/>
    </row>
    <row r="24" spans="1:10">
      <c r="B24" s="159"/>
      <c r="C24" s="159"/>
      <c r="D24" s="159"/>
      <c r="E24" s="159"/>
    </row>
    <row r="25" spans="1:10">
      <c r="B25" s="159"/>
      <c r="G25" s="159"/>
    </row>
    <row r="26" spans="1:10">
      <c r="G26" s="159"/>
      <c r="H26" s="156"/>
    </row>
  </sheetData>
  <mergeCells count="3">
    <mergeCell ref="A12:E12"/>
    <mergeCell ref="B1:E1"/>
    <mergeCell ref="G1:J1"/>
  </mergeCells>
  <pageMargins left="0.7" right="0.7" top="0.75" bottom="0.75" header="0.3" footer="0.3"/>
  <pageSetup paperSize="119" orientation="landscape" horizontalDpi="1200" verticalDpi="1200" r:id="rId1"/>
  <headerFooter>
    <oddHeader>&amp;LAppendix E-2: Incremental Cost Calculation&amp;RClean Energy Implementation Plan</oddHeader>
    <oddFooter>&amp;LDECEMBER 17, 2021&amp;C&amp;P of &amp;N&amp;RPuget Sound Energy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07"/>
  <sheetViews>
    <sheetView topLeftCell="A40" workbookViewId="0">
      <selection activeCell="K123" sqref="K123"/>
    </sheetView>
  </sheetViews>
  <sheetFormatPr defaultColWidth="9.140625" defaultRowHeight="15"/>
  <cols>
    <col min="1" max="1" width="18.5703125" style="54" customWidth="1"/>
    <col min="2" max="2" width="66.140625" style="54" bestFit="1" customWidth="1"/>
    <col min="3" max="4" width="11.5703125" style="54" bestFit="1" customWidth="1"/>
    <col min="5" max="5" width="16" style="54" bestFit="1" customWidth="1"/>
    <col min="6" max="6" width="15.28515625" style="54" bestFit="1" customWidth="1"/>
    <col min="7" max="13" width="16.28515625" style="54" bestFit="1" customWidth="1"/>
    <col min="14" max="14" width="36.5703125" style="54" customWidth="1"/>
    <col min="15" max="15" width="17.85546875" style="54" customWidth="1"/>
    <col min="16" max="16" width="16.85546875" style="54" customWidth="1"/>
    <col min="17" max="17" width="18.42578125" style="54" customWidth="1"/>
    <col min="18" max="16384" width="9.140625" style="54"/>
  </cols>
  <sheetData>
    <row r="3" spans="1:17" s="88" customFormat="1">
      <c r="A3" s="104" t="s">
        <v>0</v>
      </c>
    </row>
    <row r="5" spans="1:17">
      <c r="A5" s="54">
        <v>2019</v>
      </c>
      <c r="C5" s="54">
        <v>2020</v>
      </c>
      <c r="D5" s="54">
        <f>C5+1</f>
        <v>2021</v>
      </c>
      <c r="E5" s="54">
        <f t="shared" ref="E5:M5" si="0">D5+1</f>
        <v>2022</v>
      </c>
      <c r="F5" s="54">
        <f t="shared" si="0"/>
        <v>2023</v>
      </c>
      <c r="G5" s="54">
        <f t="shared" si="0"/>
        <v>2024</v>
      </c>
      <c r="H5" s="54">
        <f t="shared" si="0"/>
        <v>2025</v>
      </c>
      <c r="I5" s="54">
        <f t="shared" si="0"/>
        <v>2026</v>
      </c>
      <c r="J5" s="54">
        <f t="shared" si="0"/>
        <v>2027</v>
      </c>
      <c r="K5" s="54">
        <f t="shared" si="0"/>
        <v>2028</v>
      </c>
      <c r="L5" s="54">
        <f t="shared" si="0"/>
        <v>2029</v>
      </c>
      <c r="M5" s="54">
        <f t="shared" si="0"/>
        <v>2030</v>
      </c>
      <c r="O5" s="54" t="s">
        <v>177</v>
      </c>
      <c r="P5" s="54" t="s">
        <v>178</v>
      </c>
      <c r="Q5" s="54" t="s">
        <v>132</v>
      </c>
    </row>
    <row r="6" spans="1:17">
      <c r="A6" s="55">
        <v>2127052953.75</v>
      </c>
      <c r="B6" s="54" t="s">
        <v>133</v>
      </c>
      <c r="C6" s="55">
        <f>A6/1000*1.025</f>
        <v>2180229.2775937496</v>
      </c>
      <c r="D6" s="55">
        <f>C6*1.025</f>
        <v>2234735.009533593</v>
      </c>
      <c r="E6" s="55">
        <f t="shared" ref="E6:M6" si="1">D6*1.025</f>
        <v>2290603.3847719324</v>
      </c>
      <c r="F6" s="55">
        <f t="shared" si="1"/>
        <v>2347868.4693912305</v>
      </c>
      <c r="G6" s="55">
        <f t="shared" si="1"/>
        <v>2406565.1811260111</v>
      </c>
      <c r="H6" s="55">
        <f t="shared" si="1"/>
        <v>2466729.310654161</v>
      </c>
      <c r="I6" s="55">
        <f t="shared" si="1"/>
        <v>2528397.543420515</v>
      </c>
      <c r="J6" s="55">
        <f t="shared" si="1"/>
        <v>2591607.4820060278</v>
      </c>
      <c r="K6" s="55">
        <f t="shared" si="1"/>
        <v>2656397.6690561781</v>
      </c>
      <c r="L6" s="55">
        <f t="shared" si="1"/>
        <v>2722807.6107825823</v>
      </c>
      <c r="M6" s="55">
        <f t="shared" si="1"/>
        <v>2790877.8010521466</v>
      </c>
    </row>
    <row r="7" spans="1:17">
      <c r="A7" s="55"/>
      <c r="B7" s="54" t="s">
        <v>134</v>
      </c>
      <c r="C7" s="86">
        <v>0</v>
      </c>
      <c r="D7" s="86">
        <v>0</v>
      </c>
      <c r="E7" s="86">
        <v>0</v>
      </c>
      <c r="F7" s="86">
        <v>0</v>
      </c>
      <c r="G7" s="86">
        <v>0</v>
      </c>
      <c r="H7" s="86">
        <v>0</v>
      </c>
      <c r="I7" s="86">
        <v>0</v>
      </c>
      <c r="J7" s="86">
        <v>0</v>
      </c>
      <c r="K7" s="86">
        <v>0</v>
      </c>
      <c r="L7" s="86">
        <v>0</v>
      </c>
      <c r="M7" s="86">
        <v>0</v>
      </c>
    </row>
    <row r="8" spans="1:17">
      <c r="A8" s="55"/>
      <c r="B8" s="54" t="s">
        <v>135</v>
      </c>
      <c r="C8" s="55">
        <f>C6*(1+C7)</f>
        <v>2180229.2775937496</v>
      </c>
      <c r="D8" s="55">
        <f t="shared" ref="D8:M8" si="2">D6*(1+D7)</f>
        <v>2234735.009533593</v>
      </c>
      <c r="E8" s="55">
        <f t="shared" si="2"/>
        <v>2290603.3847719324</v>
      </c>
      <c r="F8" s="55">
        <f t="shared" si="2"/>
        <v>2347868.4693912305</v>
      </c>
      <c r="G8" s="55">
        <f t="shared" si="2"/>
        <v>2406565.1811260111</v>
      </c>
      <c r="H8" s="55">
        <f t="shared" si="2"/>
        <v>2466729.310654161</v>
      </c>
      <c r="I8" s="55">
        <f t="shared" si="2"/>
        <v>2528397.543420515</v>
      </c>
      <c r="J8" s="55">
        <f t="shared" si="2"/>
        <v>2591607.4820060278</v>
      </c>
      <c r="K8" s="55">
        <f t="shared" si="2"/>
        <v>2656397.6690561781</v>
      </c>
      <c r="L8" s="55">
        <f t="shared" si="2"/>
        <v>2722807.6107825823</v>
      </c>
      <c r="M8" s="55">
        <f t="shared" si="2"/>
        <v>2790877.8010521466</v>
      </c>
    </row>
    <row r="9" spans="1:17">
      <c r="A9" s="55"/>
      <c r="C9" s="55"/>
      <c r="D9" s="106" t="s">
        <v>188</v>
      </c>
      <c r="E9" s="89">
        <f>E8/1000</f>
        <v>2290.6033847719323</v>
      </c>
      <c r="F9" s="89">
        <f t="shared" ref="F9:M9" si="3">F8/1000</f>
        <v>2347.8684693912305</v>
      </c>
      <c r="G9" s="89">
        <f t="shared" si="3"/>
        <v>2406.5651811260109</v>
      </c>
      <c r="H9" s="89">
        <f t="shared" si="3"/>
        <v>2466.7293106541611</v>
      </c>
      <c r="I9" s="89">
        <f t="shared" si="3"/>
        <v>2528.3975434205149</v>
      </c>
      <c r="J9" s="89">
        <f t="shared" si="3"/>
        <v>2591.607482006028</v>
      </c>
      <c r="K9" s="89">
        <f t="shared" si="3"/>
        <v>2656.3976690561781</v>
      </c>
      <c r="L9" s="89">
        <f t="shared" si="3"/>
        <v>2722.8076107825823</v>
      </c>
      <c r="M9" s="89">
        <f t="shared" si="3"/>
        <v>2790.8778010521464</v>
      </c>
    </row>
    <row r="10" spans="1:17">
      <c r="A10" s="55"/>
      <c r="C10" s="55"/>
      <c r="D10" s="55"/>
      <c r="E10" s="55"/>
      <c r="F10" s="55"/>
      <c r="G10" s="55"/>
      <c r="H10" s="55"/>
      <c r="I10" s="55"/>
      <c r="J10" s="55"/>
      <c r="K10" s="55"/>
      <c r="L10" s="55"/>
      <c r="M10" s="55"/>
    </row>
    <row r="11" spans="1:17">
      <c r="B11" s="54" t="s">
        <v>137</v>
      </c>
      <c r="C11" s="55"/>
      <c r="D11" s="55"/>
      <c r="E11" s="55">
        <f>D8*0.02</f>
        <v>44694.700190671858</v>
      </c>
      <c r="F11" s="55">
        <f>E11+((F8+E11)*0.02)</f>
        <v>92545.963582309894</v>
      </c>
      <c r="G11" s="55">
        <f t="shared" ref="G11:M11" si="4">F11+((G8+F11)*0.02)</f>
        <v>142528.18647647632</v>
      </c>
      <c r="H11" s="55">
        <f t="shared" si="4"/>
        <v>194713.33641908906</v>
      </c>
      <c r="I11" s="55">
        <f t="shared" si="4"/>
        <v>249175.55401588115</v>
      </c>
      <c r="J11" s="55">
        <f t="shared" si="4"/>
        <v>305991.21473631932</v>
      </c>
      <c r="K11" s="55">
        <f t="shared" si="4"/>
        <v>365238.99241216929</v>
      </c>
      <c r="L11" s="55">
        <f t="shared" si="4"/>
        <v>426999.92447606433</v>
      </c>
      <c r="M11" s="55">
        <f t="shared" si="4"/>
        <v>491357.47898662853</v>
      </c>
    </row>
    <row r="12" spans="1:17">
      <c r="B12" s="54" t="s">
        <v>153</v>
      </c>
      <c r="C12" s="55"/>
      <c r="D12" s="55"/>
      <c r="E12" s="91">
        <f>E11*1000</f>
        <v>44694700.190671861</v>
      </c>
      <c r="F12" s="91">
        <f t="shared" ref="F12:M12" si="5">F11*1000</f>
        <v>92545963.582309902</v>
      </c>
      <c r="G12" s="91">
        <f t="shared" si="5"/>
        <v>142528186.47647631</v>
      </c>
      <c r="H12" s="91">
        <f t="shared" si="5"/>
        <v>194713336.41908905</v>
      </c>
      <c r="I12" s="91">
        <f t="shared" si="5"/>
        <v>249175554.01588115</v>
      </c>
      <c r="J12" s="91">
        <f t="shared" si="5"/>
        <v>305991214.7363193</v>
      </c>
      <c r="K12" s="91">
        <f t="shared" si="5"/>
        <v>365238992.41216928</v>
      </c>
      <c r="L12" s="91">
        <f t="shared" si="5"/>
        <v>426999924.47606432</v>
      </c>
      <c r="M12" s="91">
        <f t="shared" si="5"/>
        <v>491357478.98662853</v>
      </c>
      <c r="O12" s="55">
        <f>SUM(E12:H12)</f>
        <v>474482186.66854715</v>
      </c>
      <c r="P12" s="55">
        <f>SUM(I12:L12)</f>
        <v>1347405685.6404343</v>
      </c>
      <c r="Q12" s="55">
        <f>SUM(E12:M12)</f>
        <v>2313245351.29561</v>
      </c>
    </row>
    <row r="13" spans="1:17">
      <c r="D13" s="106" t="s">
        <v>188</v>
      </c>
      <c r="E13" s="89">
        <f>E12/1000</f>
        <v>44694.700190671858</v>
      </c>
      <c r="F13" s="89">
        <f t="shared" ref="F13:M13" si="6">F12/1000</f>
        <v>92545.963582309909</v>
      </c>
      <c r="G13" s="89">
        <f t="shared" si="6"/>
        <v>142528.18647647632</v>
      </c>
      <c r="H13" s="89">
        <f t="shared" si="6"/>
        <v>194713.33641908906</v>
      </c>
      <c r="I13" s="89">
        <f t="shared" si="6"/>
        <v>249175.55401588115</v>
      </c>
      <c r="J13" s="89">
        <f t="shared" si="6"/>
        <v>305991.21473631932</v>
      </c>
      <c r="K13" s="89">
        <f t="shared" si="6"/>
        <v>365238.99241216929</v>
      </c>
      <c r="L13" s="89">
        <f t="shared" si="6"/>
        <v>426999.92447606433</v>
      </c>
      <c r="M13" s="89">
        <f t="shared" si="6"/>
        <v>491357.47898662853</v>
      </c>
    </row>
    <row r="14" spans="1:17">
      <c r="D14" s="106"/>
      <c r="E14" s="89"/>
      <c r="F14" s="89"/>
      <c r="G14" s="89"/>
      <c r="H14" s="89"/>
      <c r="I14" s="89"/>
      <c r="J14" s="89"/>
      <c r="K14" s="89"/>
      <c r="L14" s="89"/>
      <c r="M14" s="89"/>
    </row>
    <row r="15" spans="1:17">
      <c r="B15" s="10" t="s">
        <v>0</v>
      </c>
      <c r="O15" s="55"/>
      <c r="P15" s="55"/>
      <c r="Q15" s="55"/>
    </row>
    <row r="16" spans="1:17">
      <c r="B16" s="54" t="s">
        <v>138</v>
      </c>
      <c r="E16" s="55" t="e">
        <f>#REF!</f>
        <v>#REF!</v>
      </c>
      <c r="F16" s="55" t="e">
        <f>#REF!</f>
        <v>#REF!</v>
      </c>
      <c r="G16" s="55" t="e">
        <f>#REF!</f>
        <v>#REF!</v>
      </c>
      <c r="H16" s="55" t="e">
        <f>#REF!</f>
        <v>#REF!</v>
      </c>
      <c r="I16" s="55" t="e">
        <f>#REF!</f>
        <v>#REF!</v>
      </c>
      <c r="J16" s="55" t="e">
        <f>#REF!</f>
        <v>#REF!</v>
      </c>
      <c r="K16" s="55" t="e">
        <f>#REF!</f>
        <v>#REF!</v>
      </c>
      <c r="L16" s="55" t="e">
        <f>#REF!</f>
        <v>#REF!</v>
      </c>
      <c r="M16" s="55" t="e">
        <f>#REF!</f>
        <v>#REF!</v>
      </c>
      <c r="O16" s="55"/>
      <c r="P16" s="55"/>
      <c r="Q16" s="55"/>
    </row>
    <row r="17" spans="2:17">
      <c r="B17" s="54" t="s">
        <v>139</v>
      </c>
      <c r="E17" s="55" t="e">
        <f>#REF!</f>
        <v>#REF!</v>
      </c>
      <c r="F17" s="55" t="e">
        <f>#REF!</f>
        <v>#REF!</v>
      </c>
      <c r="G17" s="55" t="e">
        <f>#REF!</f>
        <v>#REF!</v>
      </c>
      <c r="H17" s="55" t="e">
        <f>#REF!</f>
        <v>#REF!</v>
      </c>
      <c r="I17" s="55" t="e">
        <f>#REF!</f>
        <v>#REF!</v>
      </c>
      <c r="J17" s="55" t="e">
        <f>#REF!</f>
        <v>#REF!</v>
      </c>
      <c r="K17" s="55" t="e">
        <f>#REF!</f>
        <v>#REF!</v>
      </c>
      <c r="L17" s="55" t="e">
        <f>#REF!</f>
        <v>#REF!</v>
      </c>
      <c r="M17" s="55" t="e">
        <f>#REF!</f>
        <v>#REF!</v>
      </c>
      <c r="O17" s="55"/>
      <c r="P17" s="55"/>
      <c r="Q17" s="55"/>
    </row>
    <row r="18" spans="2:17">
      <c r="B18" s="54" t="s">
        <v>140</v>
      </c>
      <c r="E18" s="55" t="e">
        <f>#REF!</f>
        <v>#REF!</v>
      </c>
      <c r="F18" s="55" t="e">
        <f>#REF!</f>
        <v>#REF!</v>
      </c>
      <c r="G18" s="55" t="e">
        <f>#REF!</f>
        <v>#REF!</v>
      </c>
      <c r="H18" s="55" t="e">
        <f>#REF!</f>
        <v>#REF!</v>
      </c>
      <c r="I18" s="55" t="e">
        <f>#REF!</f>
        <v>#REF!</v>
      </c>
      <c r="J18" s="55" t="e">
        <f>#REF!</f>
        <v>#REF!</v>
      </c>
      <c r="K18" s="55" t="e">
        <f>#REF!</f>
        <v>#REF!</v>
      </c>
      <c r="L18" s="55" t="e">
        <f>#REF!</f>
        <v>#REF!</v>
      </c>
      <c r="M18" s="55" t="e">
        <f>#REF!</f>
        <v>#REF!</v>
      </c>
      <c r="O18" s="55"/>
      <c r="P18" s="55"/>
      <c r="Q18" s="55"/>
    </row>
    <row r="19" spans="2:17">
      <c r="B19" s="54" t="s">
        <v>187</v>
      </c>
      <c r="M19" s="55">
        <v>65674741.433110543</v>
      </c>
      <c r="O19" s="55"/>
      <c r="P19" s="55"/>
      <c r="Q19" s="55"/>
    </row>
    <row r="20" spans="2:17">
      <c r="O20" s="55"/>
      <c r="P20" s="55"/>
      <c r="Q20" s="55"/>
    </row>
    <row r="21" spans="2:17">
      <c r="O21" s="55"/>
      <c r="P21" s="55"/>
      <c r="Q21" s="55"/>
    </row>
    <row r="22" spans="2:17">
      <c r="B22" s="54" t="s">
        <v>154</v>
      </c>
      <c r="E22" s="55" t="e">
        <f>#REF!*1000</f>
        <v>#REF!</v>
      </c>
      <c r="F22" s="55" t="e">
        <f>#REF!*1000</f>
        <v>#REF!</v>
      </c>
      <c r="G22" s="55" t="e">
        <f>#REF!*1000</f>
        <v>#REF!</v>
      </c>
      <c r="H22" s="55" t="e">
        <f>#REF!*1000</f>
        <v>#REF!</v>
      </c>
      <c r="I22" s="92" t="e">
        <f>H22</f>
        <v>#REF!</v>
      </c>
      <c r="J22" s="92" t="e">
        <f t="shared" ref="J22:M22" si="7">I22</f>
        <v>#REF!</v>
      </c>
      <c r="K22" s="92" t="e">
        <f t="shared" si="7"/>
        <v>#REF!</v>
      </c>
      <c r="L22" s="92" t="e">
        <f t="shared" si="7"/>
        <v>#REF!</v>
      </c>
      <c r="M22" s="92" t="e">
        <f t="shared" si="7"/>
        <v>#REF!</v>
      </c>
      <c r="O22" s="55"/>
      <c r="P22" s="55"/>
      <c r="Q22" s="55"/>
    </row>
    <row r="23" spans="2:17">
      <c r="B23" s="54" t="s">
        <v>155</v>
      </c>
      <c r="O23" s="55"/>
      <c r="P23" s="55"/>
      <c r="Q23" s="55"/>
    </row>
    <row r="24" spans="2:17">
      <c r="B24" s="54" t="s">
        <v>156</v>
      </c>
      <c r="E24" s="55">
        <f>'Supporting - Education'!B11</f>
        <v>6392432.5</v>
      </c>
      <c r="F24" s="55">
        <f>'Supporting - Education'!C11</f>
        <v>9541537.5</v>
      </c>
      <c r="G24" s="55">
        <f>'Supporting - Education'!D11</f>
        <v>9779112.5</v>
      </c>
      <c r="H24" s="55">
        <f>'Supporting - Education'!E11</f>
        <v>10195182.5</v>
      </c>
      <c r="I24" s="93">
        <f>H24</f>
        <v>10195182.5</v>
      </c>
      <c r="J24" s="93">
        <f>I24</f>
        <v>10195182.5</v>
      </c>
      <c r="K24" s="93">
        <f>J24</f>
        <v>10195182.5</v>
      </c>
      <c r="L24" s="93">
        <f>K24</f>
        <v>10195182.5</v>
      </c>
      <c r="M24" s="93">
        <f>L24</f>
        <v>10195182.5</v>
      </c>
      <c r="O24" s="55"/>
      <c r="P24" s="55"/>
      <c r="Q24" s="55"/>
    </row>
    <row r="25" spans="2:17">
      <c r="B25" s="54" t="s">
        <v>157</v>
      </c>
      <c r="E25" s="55">
        <f>'Supporting Administration'!H21</f>
        <v>1761850</v>
      </c>
      <c r="F25" s="55">
        <f>'Supporting Administration'!I21</f>
        <v>1798396.25</v>
      </c>
      <c r="G25" s="55">
        <f>'Supporting Administration'!J21</f>
        <v>1835856.15625</v>
      </c>
      <c r="H25" s="55">
        <f>'Supporting Administration'!K21</f>
        <v>1874252.5601562497</v>
      </c>
      <c r="I25" s="93">
        <f>H25</f>
        <v>1874252.5601562497</v>
      </c>
      <c r="J25" s="93">
        <f t="shared" ref="J25:M25" si="8">I25</f>
        <v>1874252.5601562497</v>
      </c>
      <c r="K25" s="93">
        <f t="shared" si="8"/>
        <v>1874252.5601562497</v>
      </c>
      <c r="L25" s="93">
        <f t="shared" si="8"/>
        <v>1874252.5601562497</v>
      </c>
      <c r="M25" s="93">
        <f t="shared" si="8"/>
        <v>1874252.5601562497</v>
      </c>
      <c r="O25" s="55"/>
      <c r="P25" s="55"/>
      <c r="Q25" s="55"/>
    </row>
    <row r="26" spans="2:17">
      <c r="O26" s="55"/>
      <c r="P26" s="55"/>
      <c r="Q26" s="55"/>
    </row>
    <row r="27" spans="2:17">
      <c r="B27" s="54" t="s">
        <v>176</v>
      </c>
      <c r="E27" s="53" t="e">
        <f>SUM(E16:E25)</f>
        <v>#REF!</v>
      </c>
      <c r="F27" s="53" t="e">
        <f t="shared" ref="F27:M27" si="9">SUM(F16:F25)</f>
        <v>#REF!</v>
      </c>
      <c r="G27" s="53" t="e">
        <f t="shared" si="9"/>
        <v>#REF!</v>
      </c>
      <c r="H27" s="53" t="e">
        <f t="shared" si="9"/>
        <v>#REF!</v>
      </c>
      <c r="I27" s="53" t="e">
        <f t="shared" si="9"/>
        <v>#REF!</v>
      </c>
      <c r="J27" s="53" t="e">
        <f t="shared" si="9"/>
        <v>#REF!</v>
      </c>
      <c r="K27" s="53" t="e">
        <f t="shared" si="9"/>
        <v>#REF!</v>
      </c>
      <c r="L27" s="53" t="e">
        <f t="shared" si="9"/>
        <v>#REF!</v>
      </c>
      <c r="M27" s="53" t="e">
        <f t="shared" si="9"/>
        <v>#REF!</v>
      </c>
      <c r="O27" s="55" t="e">
        <f>SUM(E27:H27)</f>
        <v>#REF!</v>
      </c>
      <c r="P27" s="55" t="e">
        <f>SUM(I27:L27)</f>
        <v>#REF!</v>
      </c>
      <c r="Q27" s="55" t="e">
        <f>SUM(E27:M27)</f>
        <v>#REF!</v>
      </c>
    </row>
    <row r="28" spans="2:17">
      <c r="D28" s="106" t="s">
        <v>188</v>
      </c>
      <c r="E28" s="89" t="e">
        <f>E27/1000</f>
        <v>#REF!</v>
      </c>
      <c r="F28" s="89" t="e">
        <f t="shared" ref="F28:M28" si="10">F27/1000</f>
        <v>#REF!</v>
      </c>
      <c r="G28" s="89" t="e">
        <f t="shared" si="10"/>
        <v>#REF!</v>
      </c>
      <c r="H28" s="89" t="e">
        <f t="shared" si="10"/>
        <v>#REF!</v>
      </c>
      <c r="I28" s="89" t="e">
        <f t="shared" si="10"/>
        <v>#REF!</v>
      </c>
      <c r="J28" s="89" t="e">
        <f t="shared" si="10"/>
        <v>#REF!</v>
      </c>
      <c r="K28" s="89" t="e">
        <f t="shared" si="10"/>
        <v>#REF!</v>
      </c>
      <c r="L28" s="89" t="e">
        <f t="shared" si="10"/>
        <v>#REF!</v>
      </c>
      <c r="M28" s="89" t="e">
        <f t="shared" si="10"/>
        <v>#REF!</v>
      </c>
      <c r="O28" s="55"/>
      <c r="P28" s="55"/>
      <c r="Q28" s="55"/>
    </row>
    <row r="29" spans="2:17" ht="6.75" customHeight="1"/>
    <row r="30" spans="2:17">
      <c r="O30" s="53" t="e">
        <f>O27-O12</f>
        <v>#REF!</v>
      </c>
      <c r="P30" s="53" t="e">
        <f>P27-P12</f>
        <v>#REF!</v>
      </c>
      <c r="Q30" s="53" t="e">
        <f>Q27-Q12</f>
        <v>#REF!</v>
      </c>
    </row>
    <row r="31" spans="2:17">
      <c r="O31" s="94" t="e">
        <f>O30/O12</f>
        <v>#REF!</v>
      </c>
      <c r="P31" s="94" t="e">
        <f>P30/P12</f>
        <v>#REF!</v>
      </c>
      <c r="Q31" s="94" t="e">
        <f>Q30/Q12</f>
        <v>#REF!</v>
      </c>
    </row>
    <row r="39" spans="1:17" s="88" customFormat="1">
      <c r="A39" s="104" t="s">
        <v>136</v>
      </c>
    </row>
    <row r="41" spans="1:17">
      <c r="A41" s="54">
        <v>2019</v>
      </c>
      <c r="C41" s="54">
        <v>2020</v>
      </c>
      <c r="D41" s="54">
        <f>C41+1</f>
        <v>2021</v>
      </c>
      <c r="E41" s="54">
        <f t="shared" ref="E41:M41" si="11">D41+1</f>
        <v>2022</v>
      </c>
      <c r="F41" s="54">
        <f t="shared" si="11"/>
        <v>2023</v>
      </c>
      <c r="G41" s="54">
        <f t="shared" si="11"/>
        <v>2024</v>
      </c>
      <c r="H41" s="54">
        <f t="shared" si="11"/>
        <v>2025</v>
      </c>
      <c r="I41" s="54">
        <f t="shared" si="11"/>
        <v>2026</v>
      </c>
      <c r="J41" s="54">
        <f t="shared" si="11"/>
        <v>2027</v>
      </c>
      <c r="K41" s="54">
        <f t="shared" si="11"/>
        <v>2028</v>
      </c>
      <c r="L41" s="54">
        <f t="shared" si="11"/>
        <v>2029</v>
      </c>
      <c r="M41" s="54">
        <f t="shared" si="11"/>
        <v>2030</v>
      </c>
      <c r="O41" s="54" t="s">
        <v>177</v>
      </c>
      <c r="P41" s="54" t="s">
        <v>178</v>
      </c>
      <c r="Q41" s="54" t="s">
        <v>132</v>
      </c>
    </row>
    <row r="42" spans="1:17">
      <c r="A42" s="55">
        <v>2127052953.75</v>
      </c>
      <c r="B42" s="54" t="s">
        <v>133</v>
      </c>
      <c r="C42" s="55">
        <f>A42/1000*1.025</f>
        <v>2180229.2775937496</v>
      </c>
      <c r="D42" s="55">
        <f>C42*1.025</f>
        <v>2234735.009533593</v>
      </c>
      <c r="E42" s="55">
        <f t="shared" ref="E42:M42" si="12">D42*1.025</f>
        <v>2290603.3847719324</v>
      </c>
      <c r="F42" s="55">
        <f t="shared" si="12"/>
        <v>2347868.4693912305</v>
      </c>
      <c r="G42" s="55">
        <f t="shared" si="12"/>
        <v>2406565.1811260111</v>
      </c>
      <c r="H42" s="55">
        <f t="shared" si="12"/>
        <v>2466729.310654161</v>
      </c>
      <c r="I42" s="55">
        <f t="shared" si="12"/>
        <v>2528397.543420515</v>
      </c>
      <c r="J42" s="55">
        <f t="shared" si="12"/>
        <v>2591607.4820060278</v>
      </c>
      <c r="K42" s="55">
        <f t="shared" si="12"/>
        <v>2656397.6690561781</v>
      </c>
      <c r="L42" s="55">
        <f t="shared" si="12"/>
        <v>2722807.6107825823</v>
      </c>
      <c r="M42" s="55">
        <f t="shared" si="12"/>
        <v>2790877.8010521466</v>
      </c>
    </row>
    <row r="43" spans="1:17">
      <c r="A43" s="55"/>
      <c r="B43" s="54" t="s">
        <v>134</v>
      </c>
      <c r="C43" s="86">
        <v>8.3229256498498967E-4</v>
      </c>
      <c r="D43" s="86">
        <v>2.2116414275339838E-3</v>
      </c>
      <c r="E43" s="86">
        <v>3.628302799205005E-3</v>
      </c>
      <c r="F43" s="86">
        <v>5.0027650536231443E-3</v>
      </c>
      <c r="G43" s="86">
        <v>6.3433979592901662E-3</v>
      </c>
      <c r="H43" s="86">
        <v>7.7011821313547049E-3</v>
      </c>
      <c r="I43" s="86">
        <v>9.0295768743427762E-3</v>
      </c>
      <c r="J43" s="86">
        <v>1.0349497908191429E-2</v>
      </c>
      <c r="K43" s="86">
        <v>1.1636283914006925E-2</v>
      </c>
      <c r="L43" s="86">
        <v>1.2827272365579134E-2</v>
      </c>
      <c r="M43" s="86">
        <v>1.2892769118407721E-2</v>
      </c>
    </row>
    <row r="44" spans="1:17">
      <c r="A44" s="55"/>
      <c r="B44" s="54" t="s">
        <v>135</v>
      </c>
      <c r="C44" s="55">
        <f>C42*(1+C43)</f>
        <v>2182043.8662114535</v>
      </c>
      <c r="D44" s="55">
        <f t="shared" ref="D44:M44" si="13">D42*(1+D43)</f>
        <v>2239677.4420602378</v>
      </c>
      <c r="E44" s="55">
        <f t="shared" si="13"/>
        <v>2298914.387444769</v>
      </c>
      <c r="F44" s="55">
        <f t="shared" si="13"/>
        <v>2359614.3037204044</v>
      </c>
      <c r="G44" s="55">
        <f t="shared" si="13"/>
        <v>2421830.9817848648</v>
      </c>
      <c r="H44" s="55">
        <f t="shared" si="13"/>
        <v>2485726.0423442596</v>
      </c>
      <c r="I44" s="55">
        <f t="shared" si="13"/>
        <v>2551227.9034077297</v>
      </c>
      <c r="J44" s="55">
        <f t="shared" si="13"/>
        <v>2618429.3182199025</v>
      </c>
      <c r="K44" s="55">
        <f t="shared" si="13"/>
        <v>2687308.2665218222</v>
      </c>
      <c r="L44" s="55">
        <f t="shared" si="13"/>
        <v>2757733.8056051624</v>
      </c>
      <c r="M44" s="55">
        <f t="shared" si="13"/>
        <v>2826859.9441788015</v>
      </c>
    </row>
    <row r="45" spans="1:17">
      <c r="A45" s="55"/>
      <c r="C45" s="55"/>
      <c r="D45" s="55"/>
      <c r="E45" s="55"/>
      <c r="F45" s="55"/>
      <c r="G45" s="55"/>
      <c r="H45" s="55"/>
      <c r="I45" s="55"/>
      <c r="J45" s="55"/>
      <c r="K45" s="55"/>
      <c r="L45" s="55"/>
      <c r="M45" s="55"/>
    </row>
    <row r="46" spans="1:17">
      <c r="A46" s="55"/>
      <c r="C46" s="55"/>
      <c r="D46" s="55"/>
      <c r="E46" s="55"/>
      <c r="F46" s="55"/>
      <c r="G46" s="55"/>
      <c r="H46" s="55"/>
      <c r="I46" s="55"/>
      <c r="J46" s="55"/>
      <c r="K46" s="55"/>
      <c r="L46" s="55"/>
      <c r="M46" s="55"/>
    </row>
    <row r="47" spans="1:17">
      <c r="B47" s="54" t="s">
        <v>137</v>
      </c>
      <c r="C47" s="55"/>
      <c r="D47" s="55"/>
      <c r="E47" s="55">
        <f>D44*0.02</f>
        <v>44793.548841204756</v>
      </c>
      <c r="F47" s="55">
        <f>E47+((F44+E47)*0.02)</f>
        <v>92881.705892436934</v>
      </c>
      <c r="G47" s="55">
        <f t="shared" ref="G47:M47" si="14">F47+((G44+F47)*0.02)</f>
        <v>143175.95964598298</v>
      </c>
      <c r="H47" s="55">
        <f t="shared" si="14"/>
        <v>195753.99968578783</v>
      </c>
      <c r="I47" s="55">
        <f t="shared" si="14"/>
        <v>250693.63774765818</v>
      </c>
      <c r="J47" s="55">
        <f t="shared" si="14"/>
        <v>308076.09686700942</v>
      </c>
      <c r="K47" s="55">
        <f t="shared" si="14"/>
        <v>367983.78413478605</v>
      </c>
      <c r="L47" s="55">
        <f t="shared" si="14"/>
        <v>430498.13592958503</v>
      </c>
      <c r="M47" s="55">
        <f t="shared" si="14"/>
        <v>495645.29753175273</v>
      </c>
    </row>
    <row r="48" spans="1:17">
      <c r="B48" s="54" t="s">
        <v>153</v>
      </c>
      <c r="C48" s="55"/>
      <c r="D48" s="55"/>
      <c r="E48" s="91">
        <f>E47*1000</f>
        <v>44793548.841204755</v>
      </c>
      <c r="F48" s="91">
        <f t="shared" ref="F48:M48" si="15">F47*1000</f>
        <v>92881705.892436936</v>
      </c>
      <c r="G48" s="91">
        <f t="shared" si="15"/>
        <v>143175959.64598298</v>
      </c>
      <c r="H48" s="91">
        <f t="shared" si="15"/>
        <v>195753999.68578783</v>
      </c>
      <c r="I48" s="91">
        <f t="shared" si="15"/>
        <v>250693637.74765819</v>
      </c>
      <c r="J48" s="91">
        <f t="shared" si="15"/>
        <v>308076096.8670094</v>
      </c>
      <c r="K48" s="91">
        <f t="shared" si="15"/>
        <v>367983784.13478607</v>
      </c>
      <c r="L48" s="91">
        <f t="shared" si="15"/>
        <v>430498135.92958504</v>
      </c>
      <c r="M48" s="91">
        <f t="shared" si="15"/>
        <v>495645297.53175271</v>
      </c>
      <c r="O48" s="55">
        <f>SUM(E48:H48)</f>
        <v>476605214.06541252</v>
      </c>
      <c r="P48" s="55">
        <f>SUM(I48:L48)</f>
        <v>1357251654.6790388</v>
      </c>
      <c r="Q48" s="55">
        <f>SUM(E48:M48)</f>
        <v>2329502166.2762041</v>
      </c>
    </row>
    <row r="49" spans="2:17">
      <c r="O49" s="55"/>
      <c r="P49" s="55"/>
      <c r="Q49" s="55"/>
    </row>
    <row r="50" spans="2:17">
      <c r="B50" s="10" t="s">
        <v>136</v>
      </c>
      <c r="O50" s="55"/>
      <c r="P50" s="55"/>
      <c r="Q50" s="55"/>
    </row>
    <row r="51" spans="2:17">
      <c r="B51" s="54" t="s">
        <v>138</v>
      </c>
      <c r="E51" s="55" t="e">
        <f>#REF!</f>
        <v>#REF!</v>
      </c>
      <c r="F51" s="55" t="e">
        <f>#REF!</f>
        <v>#REF!</v>
      </c>
      <c r="G51" s="55" t="e">
        <f>#REF!</f>
        <v>#REF!</v>
      </c>
      <c r="H51" s="55" t="e">
        <f>#REF!</f>
        <v>#REF!</v>
      </c>
      <c r="I51" s="55" t="e">
        <f>#REF!</f>
        <v>#REF!</v>
      </c>
      <c r="J51" s="55" t="e">
        <f>#REF!</f>
        <v>#REF!</v>
      </c>
      <c r="K51" s="55" t="e">
        <f>#REF!</f>
        <v>#REF!</v>
      </c>
      <c r="L51" s="55" t="e">
        <f>#REF!</f>
        <v>#REF!</v>
      </c>
      <c r="M51" s="55" t="e">
        <f>#REF!</f>
        <v>#REF!</v>
      </c>
      <c r="O51" s="55"/>
      <c r="P51" s="55"/>
      <c r="Q51" s="55"/>
    </row>
    <row r="52" spans="2:17">
      <c r="B52" s="54" t="s">
        <v>139</v>
      </c>
      <c r="E52" s="55" t="e">
        <f>#REF!</f>
        <v>#REF!</v>
      </c>
      <c r="F52" s="55" t="e">
        <f>#REF!</f>
        <v>#REF!</v>
      </c>
      <c r="G52" s="55" t="e">
        <f>#REF!</f>
        <v>#REF!</v>
      </c>
      <c r="H52" s="55" t="e">
        <f>#REF!</f>
        <v>#REF!</v>
      </c>
      <c r="I52" s="55" t="e">
        <f>#REF!</f>
        <v>#REF!</v>
      </c>
      <c r="J52" s="55" t="e">
        <f>#REF!</f>
        <v>#REF!</v>
      </c>
      <c r="K52" s="55" t="e">
        <f>#REF!</f>
        <v>#REF!</v>
      </c>
      <c r="L52" s="55" t="e">
        <f>#REF!</f>
        <v>#REF!</v>
      </c>
      <c r="M52" s="55" t="e">
        <f>#REF!</f>
        <v>#REF!</v>
      </c>
      <c r="O52" s="55"/>
      <c r="P52" s="55"/>
      <c r="Q52" s="55"/>
    </row>
    <row r="53" spans="2:17">
      <c r="B53" s="54" t="s">
        <v>140</v>
      </c>
      <c r="E53" s="55" t="e">
        <f>#REF!</f>
        <v>#REF!</v>
      </c>
      <c r="F53" s="55" t="e">
        <f>#REF!</f>
        <v>#REF!</v>
      </c>
      <c r="G53" s="55" t="e">
        <f>#REF!</f>
        <v>#REF!</v>
      </c>
      <c r="H53" s="55" t="e">
        <f>#REF!</f>
        <v>#REF!</v>
      </c>
      <c r="I53" s="55" t="e">
        <f>#REF!</f>
        <v>#REF!</v>
      </c>
      <c r="J53" s="55" t="e">
        <f>#REF!</f>
        <v>#REF!</v>
      </c>
      <c r="K53" s="55" t="e">
        <f>#REF!</f>
        <v>#REF!</v>
      </c>
      <c r="L53" s="55" t="e">
        <f>#REF!</f>
        <v>#REF!</v>
      </c>
      <c r="M53" s="55" t="e">
        <f>#REF!</f>
        <v>#REF!</v>
      </c>
      <c r="O53" s="55"/>
      <c r="P53" s="55"/>
      <c r="Q53" s="55"/>
    </row>
    <row r="54" spans="2:17">
      <c r="B54" s="54" t="s">
        <v>187</v>
      </c>
      <c r="E54" s="55"/>
      <c r="F54" s="55"/>
      <c r="G54" s="55"/>
      <c r="H54" s="55"/>
      <c r="I54" s="55"/>
      <c r="J54" s="55"/>
      <c r="K54" s="55"/>
      <c r="L54" s="55"/>
      <c r="M54" s="55">
        <f>M19</f>
        <v>65674741.433110543</v>
      </c>
      <c r="O54" s="55"/>
      <c r="P54" s="55"/>
      <c r="Q54" s="55"/>
    </row>
    <row r="55" spans="2:17">
      <c r="O55" s="55"/>
      <c r="P55" s="55"/>
      <c r="Q55" s="55"/>
    </row>
    <row r="56" spans="2:17">
      <c r="B56" s="54" t="s">
        <v>154</v>
      </c>
      <c r="E56" s="55" t="e">
        <f>#REF!*1000</f>
        <v>#REF!</v>
      </c>
      <c r="F56" s="55" t="e">
        <f>#REF!*1000</f>
        <v>#REF!</v>
      </c>
      <c r="G56" s="55" t="e">
        <f>#REF!*1000</f>
        <v>#REF!</v>
      </c>
      <c r="H56" s="55" t="e">
        <f>#REF!*1000</f>
        <v>#REF!</v>
      </c>
      <c r="I56" s="92" t="e">
        <f>H56</f>
        <v>#REF!</v>
      </c>
      <c r="J56" s="92" t="e">
        <f t="shared" ref="J56:M56" si="16">I56</f>
        <v>#REF!</v>
      </c>
      <c r="K56" s="92" t="e">
        <f t="shared" si="16"/>
        <v>#REF!</v>
      </c>
      <c r="L56" s="92" t="e">
        <f t="shared" si="16"/>
        <v>#REF!</v>
      </c>
      <c r="M56" s="92" t="e">
        <f t="shared" si="16"/>
        <v>#REF!</v>
      </c>
      <c r="O56" s="55"/>
      <c r="P56" s="55"/>
      <c r="Q56" s="55"/>
    </row>
    <row r="57" spans="2:17">
      <c r="B57" s="54" t="s">
        <v>155</v>
      </c>
      <c r="O57" s="55"/>
      <c r="P57" s="55"/>
      <c r="Q57" s="55"/>
    </row>
    <row r="58" spans="2:17">
      <c r="B58" s="54" t="s">
        <v>156</v>
      </c>
      <c r="E58" s="55">
        <f>'Supporting - Education'!B11</f>
        <v>6392432.5</v>
      </c>
      <c r="F58" s="55">
        <f>'Supporting - Education'!C11</f>
        <v>9541537.5</v>
      </c>
      <c r="G58" s="55">
        <f>'Supporting - Education'!D11</f>
        <v>9779112.5</v>
      </c>
      <c r="H58" s="55">
        <f>'Supporting - Education'!E11</f>
        <v>10195182.5</v>
      </c>
      <c r="I58" s="93">
        <f>H58</f>
        <v>10195182.5</v>
      </c>
      <c r="J58" s="93">
        <f>I58</f>
        <v>10195182.5</v>
      </c>
      <c r="K58" s="93">
        <f>J58</f>
        <v>10195182.5</v>
      </c>
      <c r="L58" s="93">
        <f>K58</f>
        <v>10195182.5</v>
      </c>
      <c r="M58" s="93">
        <f>L58</f>
        <v>10195182.5</v>
      </c>
      <c r="O58" s="55"/>
      <c r="P58" s="55"/>
      <c r="Q58" s="55"/>
    </row>
    <row r="59" spans="2:17">
      <c r="B59" s="54" t="s">
        <v>157</v>
      </c>
      <c r="E59" s="55">
        <f>'Supporting Administration'!H21</f>
        <v>1761850</v>
      </c>
      <c r="F59" s="55">
        <f>'Supporting Administration'!I21</f>
        <v>1798396.25</v>
      </c>
      <c r="G59" s="55">
        <f>'Supporting Administration'!J21</f>
        <v>1835856.15625</v>
      </c>
      <c r="H59" s="55">
        <f>'Supporting Administration'!K21</f>
        <v>1874252.5601562497</v>
      </c>
      <c r="I59" s="93">
        <f>H59</f>
        <v>1874252.5601562497</v>
      </c>
      <c r="J59" s="93">
        <f t="shared" ref="J59:M59" si="17">I59</f>
        <v>1874252.5601562497</v>
      </c>
      <c r="K59" s="93">
        <f t="shared" si="17"/>
        <v>1874252.5601562497</v>
      </c>
      <c r="L59" s="93">
        <f t="shared" si="17"/>
        <v>1874252.5601562497</v>
      </c>
      <c r="M59" s="93">
        <f t="shared" si="17"/>
        <v>1874252.5601562497</v>
      </c>
      <c r="O59" s="55"/>
      <c r="P59" s="55"/>
      <c r="Q59" s="55"/>
    </row>
    <row r="60" spans="2:17">
      <c r="O60" s="55"/>
      <c r="P60" s="55"/>
      <c r="Q60" s="55"/>
    </row>
    <row r="61" spans="2:17">
      <c r="B61" s="54" t="s">
        <v>176</v>
      </c>
      <c r="E61" s="53" t="e">
        <f>SUM(E51:E59)</f>
        <v>#REF!</v>
      </c>
      <c r="F61" s="53" t="e">
        <f t="shared" ref="F61:M61" si="18">SUM(F51:F59)</f>
        <v>#REF!</v>
      </c>
      <c r="G61" s="53" t="e">
        <f t="shared" si="18"/>
        <v>#REF!</v>
      </c>
      <c r="H61" s="53" t="e">
        <f t="shared" si="18"/>
        <v>#REF!</v>
      </c>
      <c r="I61" s="53" t="e">
        <f t="shared" si="18"/>
        <v>#REF!</v>
      </c>
      <c r="J61" s="53" t="e">
        <f t="shared" si="18"/>
        <v>#REF!</v>
      </c>
      <c r="K61" s="53" t="e">
        <f t="shared" si="18"/>
        <v>#REF!</v>
      </c>
      <c r="L61" s="53" t="e">
        <f t="shared" si="18"/>
        <v>#REF!</v>
      </c>
      <c r="M61" s="53" t="e">
        <f t="shared" si="18"/>
        <v>#REF!</v>
      </c>
      <c r="O61" s="55" t="e">
        <f>SUM(E61:H61)</f>
        <v>#REF!</v>
      </c>
      <c r="P61" s="55" t="e">
        <f>SUM(I61:L61)</f>
        <v>#REF!</v>
      </c>
      <c r="Q61" s="55" t="e">
        <f>SUM(E61:M61)</f>
        <v>#REF!</v>
      </c>
    </row>
    <row r="62" spans="2:17" ht="20.25" customHeight="1">
      <c r="D62" s="106" t="s">
        <v>188</v>
      </c>
      <c r="E62" s="89" t="e">
        <f>E61/1000</f>
        <v>#REF!</v>
      </c>
      <c r="F62" s="89" t="e">
        <f t="shared" ref="F62:M62" si="19">F61/1000</f>
        <v>#REF!</v>
      </c>
      <c r="G62" s="89" t="e">
        <f t="shared" si="19"/>
        <v>#REF!</v>
      </c>
      <c r="H62" s="89" t="e">
        <f t="shared" si="19"/>
        <v>#REF!</v>
      </c>
      <c r="I62" s="89" t="e">
        <f t="shared" si="19"/>
        <v>#REF!</v>
      </c>
      <c r="J62" s="89" t="e">
        <f t="shared" si="19"/>
        <v>#REF!</v>
      </c>
      <c r="K62" s="89" t="e">
        <f t="shared" si="19"/>
        <v>#REF!</v>
      </c>
      <c r="L62" s="89" t="e">
        <f t="shared" si="19"/>
        <v>#REF!</v>
      </c>
      <c r="M62" s="89" t="e">
        <f t="shared" si="19"/>
        <v>#REF!</v>
      </c>
    </row>
    <row r="63" spans="2:17" ht="20.25" customHeight="1">
      <c r="D63" s="54" t="s">
        <v>189</v>
      </c>
      <c r="E63" s="107" t="e">
        <f t="shared" ref="E63:M63" si="20">E62-E47</f>
        <v>#REF!</v>
      </c>
      <c r="F63" s="107" t="e">
        <f t="shared" si="20"/>
        <v>#REF!</v>
      </c>
      <c r="G63" s="107" t="e">
        <f t="shared" si="20"/>
        <v>#REF!</v>
      </c>
      <c r="H63" s="107" t="e">
        <f t="shared" si="20"/>
        <v>#REF!</v>
      </c>
      <c r="I63" s="107" t="e">
        <f t="shared" si="20"/>
        <v>#REF!</v>
      </c>
      <c r="J63" s="107" t="e">
        <f t="shared" si="20"/>
        <v>#REF!</v>
      </c>
      <c r="K63" s="107" t="e">
        <f t="shared" si="20"/>
        <v>#REF!</v>
      </c>
      <c r="L63" s="107" t="e">
        <f t="shared" si="20"/>
        <v>#REF!</v>
      </c>
      <c r="M63" s="107" t="e">
        <f t="shared" si="20"/>
        <v>#REF!</v>
      </c>
      <c r="O63" s="53" t="e">
        <f>O61-O48</f>
        <v>#REF!</v>
      </c>
      <c r="P63" s="53" t="e">
        <f>P61-P48</f>
        <v>#REF!</v>
      </c>
      <c r="Q63" s="53" t="e">
        <f>Q61-Q48</f>
        <v>#REF!</v>
      </c>
    </row>
    <row r="64" spans="2:17">
      <c r="F64" s="53"/>
      <c r="O64" s="94" t="e">
        <f>O63/O48</f>
        <v>#REF!</v>
      </c>
      <c r="P64" s="94" t="e">
        <f>P63/P48</f>
        <v>#REF!</v>
      </c>
      <c r="Q64" s="94" t="e">
        <f>Q63/Q48</f>
        <v>#REF!</v>
      </c>
    </row>
    <row r="65" spans="1:17">
      <c r="F65" s="87"/>
      <c r="O65" s="94"/>
      <c r="P65" s="94"/>
      <c r="Q65" s="94"/>
    </row>
    <row r="66" spans="1:17">
      <c r="O66" s="94"/>
      <c r="P66" s="94"/>
      <c r="Q66" s="94"/>
    </row>
    <row r="68" spans="1:17" s="88" customFormat="1">
      <c r="A68" s="104" t="s">
        <v>1</v>
      </c>
    </row>
    <row r="70" spans="1:17">
      <c r="A70" s="54">
        <v>2019</v>
      </c>
      <c r="C70" s="54">
        <v>2020</v>
      </c>
      <c r="D70" s="54">
        <f>C70+1</f>
        <v>2021</v>
      </c>
      <c r="E70" s="54">
        <f t="shared" ref="E70:M70" si="21">D70+1</f>
        <v>2022</v>
      </c>
      <c r="F70" s="54">
        <f t="shared" si="21"/>
        <v>2023</v>
      </c>
      <c r="G70" s="54">
        <f t="shared" si="21"/>
        <v>2024</v>
      </c>
      <c r="H70" s="54">
        <f t="shared" si="21"/>
        <v>2025</v>
      </c>
      <c r="I70" s="54">
        <f t="shared" si="21"/>
        <v>2026</v>
      </c>
      <c r="J70" s="54">
        <f t="shared" si="21"/>
        <v>2027</v>
      </c>
      <c r="K70" s="54">
        <f t="shared" si="21"/>
        <v>2028</v>
      </c>
      <c r="L70" s="54">
        <f t="shared" si="21"/>
        <v>2029</v>
      </c>
      <c r="M70" s="54">
        <f t="shared" si="21"/>
        <v>2030</v>
      </c>
      <c r="O70" s="54" t="s">
        <v>177</v>
      </c>
      <c r="P70" s="54" t="s">
        <v>178</v>
      </c>
      <c r="Q70" s="54" t="s">
        <v>132</v>
      </c>
    </row>
    <row r="71" spans="1:17">
      <c r="A71" s="55">
        <v>2127052953.75</v>
      </c>
      <c r="B71" s="54" t="s">
        <v>133</v>
      </c>
      <c r="C71" s="55">
        <f>A71/1000*1.025</f>
        <v>2180229.2775937496</v>
      </c>
      <c r="D71" s="55">
        <f>C71*1.025</f>
        <v>2234735.009533593</v>
      </c>
      <c r="E71" s="55">
        <f t="shared" ref="E71:M71" si="22">D71*1.025</f>
        <v>2290603.3847719324</v>
      </c>
      <c r="F71" s="55">
        <f t="shared" si="22"/>
        <v>2347868.4693912305</v>
      </c>
      <c r="G71" s="55">
        <f t="shared" si="22"/>
        <v>2406565.1811260111</v>
      </c>
      <c r="H71" s="55">
        <f t="shared" si="22"/>
        <v>2466729.310654161</v>
      </c>
      <c r="I71" s="55">
        <f t="shared" si="22"/>
        <v>2528397.543420515</v>
      </c>
      <c r="J71" s="55">
        <f t="shared" si="22"/>
        <v>2591607.4820060278</v>
      </c>
      <c r="K71" s="55">
        <f t="shared" si="22"/>
        <v>2656397.6690561781</v>
      </c>
      <c r="L71" s="55">
        <f t="shared" si="22"/>
        <v>2722807.6107825823</v>
      </c>
      <c r="M71" s="55">
        <f t="shared" si="22"/>
        <v>2790877.8010521466</v>
      </c>
    </row>
    <row r="72" spans="1:17">
      <c r="A72" s="55"/>
      <c r="B72" s="54" t="s">
        <v>134</v>
      </c>
      <c r="C72" s="86">
        <v>8.3229256498498967E-4</v>
      </c>
      <c r="D72" s="86">
        <v>2.2116414275339838E-3</v>
      </c>
      <c r="E72" s="86">
        <v>3.628302799205005E-3</v>
      </c>
      <c r="F72" s="86">
        <v>5.0027650536231443E-3</v>
      </c>
      <c r="G72" s="86">
        <v>6.3433979592901662E-3</v>
      </c>
      <c r="H72" s="86">
        <v>7.7011821313547049E-3</v>
      </c>
      <c r="I72" s="86">
        <v>9.0295768743427762E-3</v>
      </c>
      <c r="J72" s="86">
        <v>1.0349497908191429E-2</v>
      </c>
      <c r="K72" s="86">
        <v>1.1636283914006925E-2</v>
      </c>
      <c r="L72" s="86">
        <v>1.2827272365579134E-2</v>
      </c>
      <c r="M72" s="86">
        <v>1.2892769118407721E-2</v>
      </c>
    </row>
    <row r="73" spans="1:17">
      <c r="A73" s="55"/>
      <c r="B73" s="54" t="s">
        <v>135</v>
      </c>
      <c r="C73" s="55">
        <f>C71*(1+C72)</f>
        <v>2182043.8662114535</v>
      </c>
      <c r="D73" s="55">
        <f t="shared" ref="D73:M73" si="23">D71*(1+D72)</f>
        <v>2239677.4420602378</v>
      </c>
      <c r="E73" s="55">
        <f t="shared" si="23"/>
        <v>2298914.387444769</v>
      </c>
      <c r="F73" s="55">
        <f t="shared" si="23"/>
        <v>2359614.3037204044</v>
      </c>
      <c r="G73" s="55">
        <f t="shared" si="23"/>
        <v>2421830.9817848648</v>
      </c>
      <c r="H73" s="55">
        <f t="shared" si="23"/>
        <v>2485726.0423442596</v>
      </c>
      <c r="I73" s="55">
        <f t="shared" si="23"/>
        <v>2551227.9034077297</v>
      </c>
      <c r="J73" s="55">
        <f t="shared" si="23"/>
        <v>2618429.3182199025</v>
      </c>
      <c r="K73" s="55">
        <f t="shared" si="23"/>
        <v>2687308.2665218222</v>
      </c>
      <c r="L73" s="55">
        <f t="shared" si="23"/>
        <v>2757733.8056051624</v>
      </c>
      <c r="M73" s="55">
        <f t="shared" si="23"/>
        <v>2826859.9441788015</v>
      </c>
    </row>
    <row r="74" spans="1:17">
      <c r="A74" s="55"/>
      <c r="C74" s="55"/>
      <c r="D74" s="55"/>
      <c r="E74" s="55"/>
      <c r="F74" s="55"/>
      <c r="G74" s="55"/>
      <c r="H74" s="55"/>
      <c r="I74" s="55"/>
      <c r="J74" s="55"/>
      <c r="K74" s="55"/>
      <c r="L74" s="55"/>
      <c r="M74" s="55"/>
    </row>
    <row r="75" spans="1:17">
      <c r="A75" s="55"/>
      <c r="C75" s="55"/>
      <c r="D75" s="55"/>
      <c r="E75" s="55"/>
      <c r="F75" s="55"/>
      <c r="G75" s="55"/>
      <c r="H75" s="55"/>
      <c r="I75" s="55"/>
      <c r="J75" s="55"/>
      <c r="K75" s="55"/>
      <c r="L75" s="55"/>
      <c r="M75" s="55"/>
    </row>
    <row r="76" spans="1:17">
      <c r="B76" s="54" t="s">
        <v>137</v>
      </c>
      <c r="C76" s="55"/>
      <c r="D76" s="55"/>
      <c r="E76" s="55">
        <f>D73*0.02</f>
        <v>44793.548841204756</v>
      </c>
      <c r="F76" s="55">
        <f>E76+((F73+E76)*0.02)</f>
        <v>92881.705892436934</v>
      </c>
      <c r="G76" s="55">
        <f t="shared" ref="G76:M76" si="24">F76+((G73+F76)*0.02)</f>
        <v>143175.95964598298</v>
      </c>
      <c r="H76" s="55">
        <f t="shared" si="24"/>
        <v>195753.99968578783</v>
      </c>
      <c r="I76" s="55">
        <f t="shared" si="24"/>
        <v>250693.63774765818</v>
      </c>
      <c r="J76" s="55">
        <f t="shared" si="24"/>
        <v>308076.09686700942</v>
      </c>
      <c r="K76" s="55">
        <f t="shared" si="24"/>
        <v>367983.78413478605</v>
      </c>
      <c r="L76" s="55">
        <f t="shared" si="24"/>
        <v>430498.13592958503</v>
      </c>
      <c r="M76" s="55">
        <f t="shared" si="24"/>
        <v>495645.29753175273</v>
      </c>
    </row>
    <row r="77" spans="1:17">
      <c r="B77" s="54" t="s">
        <v>153</v>
      </c>
      <c r="C77" s="55"/>
      <c r="D77" s="55"/>
      <c r="E77" s="91">
        <f>E76*1000</f>
        <v>44793548.841204755</v>
      </c>
      <c r="F77" s="91">
        <f t="shared" ref="F77:M77" si="25">F76*1000</f>
        <v>92881705.892436936</v>
      </c>
      <c r="G77" s="91">
        <f t="shared" si="25"/>
        <v>143175959.64598298</v>
      </c>
      <c r="H77" s="91">
        <f t="shared" si="25"/>
        <v>195753999.68578783</v>
      </c>
      <c r="I77" s="91">
        <f t="shared" si="25"/>
        <v>250693637.74765819</v>
      </c>
      <c r="J77" s="91">
        <f t="shared" si="25"/>
        <v>308076096.8670094</v>
      </c>
      <c r="K77" s="91">
        <f t="shared" si="25"/>
        <v>367983784.13478607</v>
      </c>
      <c r="L77" s="91">
        <f t="shared" si="25"/>
        <v>430498135.92958504</v>
      </c>
      <c r="M77" s="91">
        <f t="shared" si="25"/>
        <v>495645297.53175271</v>
      </c>
      <c r="O77" s="55">
        <f>SUM(E77:H77)</f>
        <v>476605214.06541252</v>
      </c>
      <c r="P77" s="55">
        <f>SUM(I77:L77)</f>
        <v>1357251654.6790388</v>
      </c>
      <c r="Q77" s="55">
        <f>SUM(E77:M77)</f>
        <v>2329502166.2762041</v>
      </c>
    </row>
    <row r="79" spans="1:17">
      <c r="B79" s="10" t="s">
        <v>1</v>
      </c>
      <c r="O79" s="55"/>
      <c r="P79" s="55"/>
      <c r="Q79" s="55"/>
    </row>
    <row r="80" spans="1:17">
      <c r="B80" s="54" t="s">
        <v>138</v>
      </c>
      <c r="E80" s="55" t="e">
        <f>#REF!</f>
        <v>#REF!</v>
      </c>
      <c r="F80" s="55" t="e">
        <f>#REF!</f>
        <v>#REF!</v>
      </c>
      <c r="G80" s="55" t="e">
        <f>#REF!</f>
        <v>#REF!</v>
      </c>
      <c r="H80" s="55" t="e">
        <f>#REF!</f>
        <v>#REF!</v>
      </c>
      <c r="I80" s="55" t="e">
        <f>#REF!</f>
        <v>#REF!</v>
      </c>
      <c r="J80" s="55" t="e">
        <f>#REF!</f>
        <v>#REF!</v>
      </c>
      <c r="K80" s="55" t="e">
        <f>#REF!</f>
        <v>#REF!</v>
      </c>
      <c r="L80" s="55" t="e">
        <f>#REF!</f>
        <v>#REF!</v>
      </c>
      <c r="M80" s="55" t="e">
        <f>#REF!</f>
        <v>#REF!</v>
      </c>
      <c r="O80" s="55"/>
      <c r="P80" s="55"/>
      <c r="Q80" s="55"/>
    </row>
    <row r="81" spans="2:17">
      <c r="B81" s="54" t="s">
        <v>139</v>
      </c>
      <c r="E81" s="55" t="e">
        <f>#REF!</f>
        <v>#REF!</v>
      </c>
      <c r="F81" s="55" t="e">
        <f>#REF!</f>
        <v>#REF!</v>
      </c>
      <c r="G81" s="55" t="e">
        <f>#REF!</f>
        <v>#REF!</v>
      </c>
      <c r="H81" s="55" t="e">
        <f>#REF!</f>
        <v>#REF!</v>
      </c>
      <c r="I81" s="55" t="e">
        <f>#REF!</f>
        <v>#REF!</v>
      </c>
      <c r="J81" s="55" t="e">
        <f>#REF!</f>
        <v>#REF!</v>
      </c>
      <c r="K81" s="55" t="e">
        <f>#REF!</f>
        <v>#REF!</v>
      </c>
      <c r="L81" s="55" t="e">
        <f>#REF!</f>
        <v>#REF!</v>
      </c>
      <c r="M81" s="55" t="e">
        <f>#REF!</f>
        <v>#REF!</v>
      </c>
      <c r="O81" s="55"/>
      <c r="P81" s="55"/>
      <c r="Q81" s="55"/>
    </row>
    <row r="82" spans="2:17">
      <c r="B82" s="54" t="s">
        <v>140</v>
      </c>
      <c r="E82" s="55" t="e">
        <f>#REF!</f>
        <v>#REF!</v>
      </c>
      <c r="F82" s="55" t="e">
        <f>#REF!</f>
        <v>#REF!</v>
      </c>
      <c r="G82" s="55" t="e">
        <f>#REF!</f>
        <v>#REF!</v>
      </c>
      <c r="H82" s="55" t="e">
        <f>#REF!</f>
        <v>#REF!</v>
      </c>
      <c r="I82" s="55" t="e">
        <f>#REF!</f>
        <v>#REF!</v>
      </c>
      <c r="J82" s="55" t="e">
        <f>#REF!</f>
        <v>#REF!</v>
      </c>
      <c r="K82" s="55" t="e">
        <f>#REF!</f>
        <v>#REF!</v>
      </c>
      <c r="L82" s="55" t="e">
        <f>#REF!</f>
        <v>#REF!</v>
      </c>
      <c r="M82" s="55" t="e">
        <f>#REF!</f>
        <v>#REF!</v>
      </c>
      <c r="O82" s="55"/>
      <c r="P82" s="55"/>
      <c r="Q82" s="55"/>
    </row>
    <row r="83" spans="2:17">
      <c r="B83" s="54" t="s">
        <v>187</v>
      </c>
      <c r="E83" s="55"/>
      <c r="F83" s="55"/>
      <c r="G83" s="55"/>
      <c r="H83" s="55"/>
      <c r="I83" s="55"/>
      <c r="J83" s="55"/>
      <c r="K83" s="55"/>
      <c r="L83" s="55"/>
      <c r="M83" s="55">
        <f>M19</f>
        <v>65674741.433110543</v>
      </c>
      <c r="O83" s="55"/>
      <c r="P83" s="55"/>
      <c r="Q83" s="55"/>
    </row>
    <row r="84" spans="2:17">
      <c r="O84" s="55"/>
      <c r="P84" s="55"/>
      <c r="Q84" s="55"/>
    </row>
    <row r="85" spans="2:17">
      <c r="B85" s="54" t="s">
        <v>154</v>
      </c>
      <c r="E85" s="55" t="e">
        <f>#REF!</f>
        <v>#REF!</v>
      </c>
      <c r="F85" s="55" t="e">
        <f>#REF!</f>
        <v>#REF!</v>
      </c>
      <c r="G85" s="55" t="e">
        <f>#REF!</f>
        <v>#REF!</v>
      </c>
      <c r="H85" s="55" t="e">
        <f>#REF!</f>
        <v>#REF!</v>
      </c>
      <c r="I85" s="92" t="e">
        <f>H85</f>
        <v>#REF!</v>
      </c>
      <c r="J85" s="92" t="e">
        <f t="shared" ref="J85:M85" si="26">I85</f>
        <v>#REF!</v>
      </c>
      <c r="K85" s="92" t="e">
        <f t="shared" si="26"/>
        <v>#REF!</v>
      </c>
      <c r="L85" s="92" t="e">
        <f t="shared" si="26"/>
        <v>#REF!</v>
      </c>
      <c r="M85" s="92" t="e">
        <f t="shared" si="26"/>
        <v>#REF!</v>
      </c>
      <c r="O85" s="55"/>
      <c r="P85" s="55"/>
      <c r="Q85" s="55"/>
    </row>
    <row r="86" spans="2:17">
      <c r="B86" s="54" t="s">
        <v>155</v>
      </c>
      <c r="O86" s="55"/>
      <c r="P86" s="55"/>
      <c r="Q86" s="55"/>
    </row>
    <row r="87" spans="2:17">
      <c r="B87" s="54" t="s">
        <v>156</v>
      </c>
      <c r="E87" s="55">
        <f>'Supporting - Education'!B11</f>
        <v>6392432.5</v>
      </c>
      <c r="F87" s="55">
        <f>'Supporting - Education'!C11</f>
        <v>9541537.5</v>
      </c>
      <c r="G87" s="55">
        <f>'Supporting - Education'!D11</f>
        <v>9779112.5</v>
      </c>
      <c r="H87" s="55">
        <f>'Supporting - Education'!E11</f>
        <v>10195182.5</v>
      </c>
      <c r="I87" s="93">
        <f>H87</f>
        <v>10195182.5</v>
      </c>
      <c r="J87" s="93">
        <f>I87</f>
        <v>10195182.5</v>
      </c>
      <c r="K87" s="93">
        <f>J87</f>
        <v>10195182.5</v>
      </c>
      <c r="L87" s="93">
        <f>K87</f>
        <v>10195182.5</v>
      </c>
      <c r="M87" s="93">
        <f>L87</f>
        <v>10195182.5</v>
      </c>
      <c r="O87" s="55"/>
      <c r="P87" s="55"/>
      <c r="Q87" s="55"/>
    </row>
    <row r="88" spans="2:17">
      <c r="B88" s="54" t="s">
        <v>157</v>
      </c>
      <c r="E88" s="55">
        <f>'Supporting Administration'!H21</f>
        <v>1761850</v>
      </c>
      <c r="F88" s="55">
        <f>'Supporting Administration'!I21</f>
        <v>1798396.25</v>
      </c>
      <c r="G88" s="55">
        <f>'Supporting Administration'!J21</f>
        <v>1835856.15625</v>
      </c>
      <c r="H88" s="55">
        <f>'Supporting Administration'!K21</f>
        <v>1874252.5601562497</v>
      </c>
      <c r="I88" s="93">
        <f>H88</f>
        <v>1874252.5601562497</v>
      </c>
      <c r="J88" s="93">
        <f t="shared" ref="J88:M88" si="27">I88</f>
        <v>1874252.5601562497</v>
      </c>
      <c r="K88" s="93">
        <f t="shared" si="27"/>
        <v>1874252.5601562497</v>
      </c>
      <c r="L88" s="93">
        <f t="shared" si="27"/>
        <v>1874252.5601562497</v>
      </c>
      <c r="M88" s="93">
        <f t="shared" si="27"/>
        <v>1874252.5601562497</v>
      </c>
      <c r="O88" s="55"/>
      <c r="P88" s="55"/>
      <c r="Q88" s="55"/>
    </row>
    <row r="89" spans="2:17">
      <c r="O89" s="55"/>
      <c r="P89" s="55"/>
      <c r="Q89" s="55"/>
    </row>
    <row r="90" spans="2:17">
      <c r="B90" s="54" t="s">
        <v>176</v>
      </c>
      <c r="E90" s="53" t="e">
        <f>SUM(E80:E88)</f>
        <v>#REF!</v>
      </c>
      <c r="F90" s="53" t="e">
        <f t="shared" ref="F90:L90" si="28">SUM(F80:F88)</f>
        <v>#REF!</v>
      </c>
      <c r="G90" s="53" t="e">
        <f t="shared" si="28"/>
        <v>#REF!</v>
      </c>
      <c r="H90" s="53" t="e">
        <f t="shared" si="28"/>
        <v>#REF!</v>
      </c>
      <c r="I90" s="53" t="e">
        <f t="shared" si="28"/>
        <v>#REF!</v>
      </c>
      <c r="J90" s="53" t="e">
        <f t="shared" si="28"/>
        <v>#REF!</v>
      </c>
      <c r="K90" s="53" t="e">
        <f t="shared" si="28"/>
        <v>#REF!</v>
      </c>
      <c r="L90" s="53" t="e">
        <f t="shared" si="28"/>
        <v>#REF!</v>
      </c>
      <c r="M90" s="53" t="e">
        <f>SUM(M80:M88)</f>
        <v>#REF!</v>
      </c>
      <c r="O90" s="55" t="e">
        <f>SUM(E90:H90)</f>
        <v>#REF!</v>
      </c>
      <c r="P90" s="55" t="e">
        <f>SUM(I90:L90)</f>
        <v>#REF!</v>
      </c>
      <c r="Q90" s="55" t="e">
        <f>SUM(E90:M90)</f>
        <v>#REF!</v>
      </c>
    </row>
    <row r="91" spans="2:17">
      <c r="D91" s="106" t="s">
        <v>188</v>
      </c>
      <c r="E91" s="89" t="e">
        <f>E90/1000</f>
        <v>#REF!</v>
      </c>
      <c r="F91" s="89" t="e">
        <f t="shared" ref="F91:M91" si="29">F90/1000</f>
        <v>#REF!</v>
      </c>
      <c r="G91" s="89" t="e">
        <f t="shared" si="29"/>
        <v>#REF!</v>
      </c>
      <c r="H91" s="89" t="e">
        <f t="shared" si="29"/>
        <v>#REF!</v>
      </c>
      <c r="I91" s="89" t="e">
        <f t="shared" si="29"/>
        <v>#REF!</v>
      </c>
      <c r="J91" s="89" t="e">
        <f t="shared" si="29"/>
        <v>#REF!</v>
      </c>
      <c r="K91" s="89" t="e">
        <f t="shared" si="29"/>
        <v>#REF!</v>
      </c>
      <c r="L91" s="89" t="e">
        <f t="shared" si="29"/>
        <v>#REF!</v>
      </c>
      <c r="M91" s="89" t="e">
        <f t="shared" si="29"/>
        <v>#REF!</v>
      </c>
    </row>
    <row r="92" spans="2:17">
      <c r="O92" s="53" t="e">
        <f>O90-O77</f>
        <v>#REF!</v>
      </c>
      <c r="P92" s="53" t="e">
        <f>P90-P77</f>
        <v>#REF!</v>
      </c>
      <c r="Q92" s="53" t="e">
        <f>Q90-Q77</f>
        <v>#REF!</v>
      </c>
    </row>
    <row r="93" spans="2:17">
      <c r="O93" s="94" t="e">
        <f>O92/O77</f>
        <v>#REF!</v>
      </c>
      <c r="P93" s="94" t="e">
        <f>P92/P77</f>
        <v>#REF!</v>
      </c>
      <c r="Q93" s="94" t="e">
        <f>Q92/Q77</f>
        <v>#REF!</v>
      </c>
    </row>
    <row r="96" spans="2:17">
      <c r="N96" s="105">
        <v>0</v>
      </c>
    </row>
    <row r="97" spans="14:17" ht="30.75" thickBot="1">
      <c r="O97" s="96" t="s">
        <v>183</v>
      </c>
      <c r="P97" s="96" t="s">
        <v>184</v>
      </c>
      <c r="Q97" s="96" t="s">
        <v>185</v>
      </c>
    </row>
    <row r="98" spans="14:17" ht="15.75" thickBot="1">
      <c r="N98" s="97" t="s">
        <v>179</v>
      </c>
      <c r="O98" s="98">
        <f>O48/1000</f>
        <v>476605.21406541253</v>
      </c>
      <c r="P98" s="98">
        <f>P48/1000</f>
        <v>1357251.6546790388</v>
      </c>
      <c r="Q98" s="98">
        <f>Q48/1000</f>
        <v>2329502.1662762039</v>
      </c>
    </row>
    <row r="99" spans="14:17" ht="3" customHeight="1" thickBot="1">
      <c r="O99" s="53"/>
      <c r="P99" s="53"/>
      <c r="Q99" s="53"/>
    </row>
    <row r="100" spans="14:17">
      <c r="N100" s="99" t="s">
        <v>180</v>
      </c>
      <c r="O100" s="100" t="e">
        <f>O61/1000</f>
        <v>#REF!</v>
      </c>
      <c r="P100" s="100" t="e">
        <f>P61/1000</f>
        <v>#REF!</v>
      </c>
      <c r="Q100" s="100" t="e">
        <f>Q61/1000</f>
        <v>#REF!</v>
      </c>
    </row>
    <row r="101" spans="14:17" ht="15.75" thickBot="1">
      <c r="N101" s="101" t="s">
        <v>182</v>
      </c>
      <c r="O101" s="102" t="e">
        <f>O64</f>
        <v>#REF!</v>
      </c>
      <c r="P101" s="102" t="e">
        <f>P64</f>
        <v>#REF!</v>
      </c>
      <c r="Q101" s="102" t="e">
        <f>Q64</f>
        <v>#REF!</v>
      </c>
    </row>
    <row r="102" spans="14:17" ht="3.75" customHeight="1" thickBot="1">
      <c r="N102" s="95"/>
      <c r="O102" s="94"/>
      <c r="P102" s="94"/>
      <c r="Q102" s="94"/>
    </row>
    <row r="103" spans="14:17">
      <c r="N103" s="99" t="s">
        <v>181</v>
      </c>
      <c r="O103" s="100" t="e">
        <f>O90/1000</f>
        <v>#REF!</v>
      </c>
      <c r="P103" s="100" t="e">
        <f>P90/1000</f>
        <v>#REF!</v>
      </c>
      <c r="Q103" s="100" t="e">
        <f>Q90/1000</f>
        <v>#REF!</v>
      </c>
    </row>
    <row r="104" spans="14:17" ht="15.75" thickBot="1">
      <c r="N104" s="101" t="s">
        <v>182</v>
      </c>
      <c r="O104" s="103" t="e">
        <f>O93</f>
        <v>#REF!</v>
      </c>
      <c r="P104" s="103" t="e">
        <f>P93</f>
        <v>#REF!</v>
      </c>
      <c r="Q104" s="103" t="e">
        <f>Q93</f>
        <v>#REF!</v>
      </c>
    </row>
    <row r="105" spans="14:17" ht="5.25" customHeight="1" thickBot="1"/>
    <row r="106" spans="14:17">
      <c r="N106" s="99" t="s">
        <v>186</v>
      </c>
      <c r="O106" s="100" t="e">
        <f>O27</f>
        <v>#REF!</v>
      </c>
      <c r="P106" s="100" t="e">
        <f>P27</f>
        <v>#REF!</v>
      </c>
      <c r="Q106" s="100" t="e">
        <f>Q27</f>
        <v>#REF!</v>
      </c>
    </row>
    <row r="107" spans="14:17" ht="15.75" thickBot="1">
      <c r="N107" s="101" t="s">
        <v>182</v>
      </c>
      <c r="O107" s="103" t="e">
        <f>O31</f>
        <v>#REF!</v>
      </c>
      <c r="P107" s="103" t="e">
        <f>P31</f>
        <v>#REF!</v>
      </c>
      <c r="Q107" s="103" t="e">
        <f>Q31</f>
        <v>#REF!</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W53"/>
  <sheetViews>
    <sheetView workbookViewId="0">
      <selection activeCell="J20" sqref="J20"/>
    </sheetView>
  </sheetViews>
  <sheetFormatPr defaultRowHeight="15"/>
  <cols>
    <col min="1" max="1" width="40.5703125" customWidth="1"/>
    <col min="2" max="2" width="15.85546875" customWidth="1"/>
    <col min="3" max="3" width="16.7109375" customWidth="1"/>
    <col min="4" max="5" width="14.85546875" bestFit="1" customWidth="1"/>
    <col min="15" max="15" width="107.5703125" bestFit="1" customWidth="1"/>
  </cols>
  <sheetData>
    <row r="4" spans="1:23">
      <c r="A4" t="s">
        <v>33</v>
      </c>
      <c r="O4" t="s">
        <v>34</v>
      </c>
    </row>
    <row r="5" spans="1:23">
      <c r="A5" s="1" t="s">
        <v>2</v>
      </c>
      <c r="O5" s="1" t="s">
        <v>2</v>
      </c>
    </row>
    <row r="6" spans="1:23">
      <c r="A6" s="2">
        <v>44316</v>
      </c>
      <c r="O6" s="2">
        <v>44316</v>
      </c>
    </row>
    <row r="7" spans="1:23">
      <c r="C7" s="799" t="s">
        <v>3</v>
      </c>
      <c r="D7" s="800"/>
      <c r="E7" s="800"/>
      <c r="F7" s="801"/>
      <c r="Q7" s="799" t="s">
        <v>3</v>
      </c>
      <c r="R7" s="800"/>
      <c r="S7" s="800"/>
      <c r="T7" s="801"/>
    </row>
    <row r="8" spans="1:23">
      <c r="C8" s="3"/>
      <c r="D8" s="4"/>
      <c r="E8" s="4"/>
      <c r="F8" s="5"/>
      <c r="Q8" s="3"/>
      <c r="R8" s="4"/>
      <c r="S8" s="4"/>
      <c r="T8" s="5"/>
    </row>
    <row r="9" spans="1:23">
      <c r="C9" s="6">
        <v>2022</v>
      </c>
      <c r="D9" s="7">
        <v>2023</v>
      </c>
      <c r="E9" s="7">
        <v>2024</v>
      </c>
      <c r="F9" s="8">
        <v>2025</v>
      </c>
      <c r="G9" s="9">
        <v>2026</v>
      </c>
      <c r="I9" s="9" t="s">
        <v>4</v>
      </c>
      <c r="Q9" s="6">
        <v>2022</v>
      </c>
      <c r="R9" s="7">
        <v>2023</v>
      </c>
      <c r="S9" s="7">
        <v>2024</v>
      </c>
      <c r="T9" s="8">
        <v>2025</v>
      </c>
      <c r="U9" s="9">
        <v>2026</v>
      </c>
      <c r="W9" s="9" t="s">
        <v>4</v>
      </c>
    </row>
    <row r="10" spans="1:23">
      <c r="A10" s="10" t="s">
        <v>5</v>
      </c>
      <c r="C10" s="3"/>
      <c r="D10" s="4"/>
      <c r="E10" s="4"/>
      <c r="F10" s="5"/>
      <c r="O10" s="10" t="s">
        <v>5</v>
      </c>
      <c r="Q10" s="3"/>
      <c r="R10" s="4"/>
      <c r="S10" s="4"/>
      <c r="T10" s="5"/>
    </row>
    <row r="11" spans="1:23">
      <c r="A11" t="s">
        <v>6</v>
      </c>
      <c r="C11" s="11">
        <v>0</v>
      </c>
      <c r="D11" s="12">
        <v>4.8</v>
      </c>
      <c r="E11" s="12">
        <v>7.2000000000000011</v>
      </c>
      <c r="F11" s="13">
        <v>13.600000000000001</v>
      </c>
      <c r="G11" s="14">
        <v>25</v>
      </c>
      <c r="I11" t="s">
        <v>7</v>
      </c>
      <c r="O11" t="s">
        <v>6</v>
      </c>
      <c r="Q11" s="11">
        <v>3.4634261957826169</v>
      </c>
      <c r="R11" s="12">
        <v>4.0074549974284253</v>
      </c>
      <c r="S11" s="12">
        <v>8.2032016115206599</v>
      </c>
      <c r="T11" s="13">
        <v>9.460522887022119</v>
      </c>
      <c r="U11" s="14">
        <v>25</v>
      </c>
      <c r="W11" t="s">
        <v>7</v>
      </c>
    </row>
    <row r="12" spans="1:23">
      <c r="A12" t="s">
        <v>8</v>
      </c>
      <c r="C12" s="11">
        <v>0</v>
      </c>
      <c r="D12" s="12">
        <v>25.389999999999997</v>
      </c>
      <c r="E12" s="12">
        <v>27.408999999999999</v>
      </c>
      <c r="F12" s="13">
        <v>26.577999999999996</v>
      </c>
      <c r="G12" s="14">
        <v>30</v>
      </c>
      <c r="I12" t="s">
        <v>7</v>
      </c>
      <c r="O12" t="s">
        <v>8</v>
      </c>
      <c r="Q12" s="11">
        <v>12.089</v>
      </c>
      <c r="R12" s="12">
        <v>17.055</v>
      </c>
      <c r="S12" s="12">
        <v>22.776999999999997</v>
      </c>
      <c r="T12" s="13">
        <v>28.564999999999998</v>
      </c>
      <c r="U12" s="14">
        <v>30</v>
      </c>
      <c r="W12" t="s">
        <v>7</v>
      </c>
    </row>
    <row r="13" spans="1:23">
      <c r="A13" t="s">
        <v>9</v>
      </c>
      <c r="C13" s="3"/>
      <c r="D13" s="4">
        <v>5</v>
      </c>
      <c r="E13" s="4">
        <v>6</v>
      </c>
      <c r="F13" s="5">
        <v>18</v>
      </c>
      <c r="G13">
        <v>27</v>
      </c>
      <c r="I13" t="s">
        <v>10</v>
      </c>
      <c r="O13" t="s">
        <v>9</v>
      </c>
      <c r="Q13" s="3"/>
      <c r="R13" s="4">
        <v>5</v>
      </c>
      <c r="S13" s="4">
        <v>6</v>
      </c>
      <c r="T13" s="5">
        <v>18</v>
      </c>
      <c r="U13">
        <v>27</v>
      </c>
      <c r="W13" t="s">
        <v>10</v>
      </c>
    </row>
    <row r="14" spans="1:23">
      <c r="C14" s="3"/>
      <c r="D14" s="4"/>
      <c r="E14" s="4"/>
      <c r="F14" s="5"/>
      <c r="Q14" s="3"/>
      <c r="R14" s="4"/>
      <c r="S14" s="4"/>
      <c r="T14" s="5"/>
    </row>
    <row r="15" spans="1:23">
      <c r="C15" s="3"/>
      <c r="D15" s="4"/>
      <c r="E15" s="4"/>
      <c r="F15" s="5"/>
      <c r="Q15" s="3"/>
      <c r="R15" s="4"/>
      <c r="S15" s="4"/>
      <c r="T15" s="5"/>
    </row>
    <row r="16" spans="1:23">
      <c r="A16" s="15" t="s">
        <v>11</v>
      </c>
      <c r="B16" s="16"/>
      <c r="C16" s="17"/>
      <c r="D16" s="18"/>
      <c r="E16" s="18"/>
      <c r="F16" s="19"/>
      <c r="G16" s="16"/>
      <c r="H16" s="16"/>
      <c r="I16" s="16"/>
      <c r="O16" s="15" t="s">
        <v>11</v>
      </c>
      <c r="P16" s="16"/>
      <c r="Q16" s="17"/>
      <c r="R16" s="18"/>
      <c r="S16" s="18"/>
      <c r="T16" s="19"/>
      <c r="U16" s="16"/>
      <c r="V16" s="16"/>
      <c r="W16" s="16"/>
    </row>
    <row r="17" spans="1:23">
      <c r="A17" s="10"/>
      <c r="B17" t="s">
        <v>12</v>
      </c>
      <c r="C17" s="3" t="s">
        <v>13</v>
      </c>
      <c r="D17" s="4"/>
      <c r="E17" s="4"/>
      <c r="F17" s="5"/>
      <c r="O17" s="10"/>
      <c r="P17" t="s">
        <v>12</v>
      </c>
      <c r="Q17" s="3" t="s">
        <v>13</v>
      </c>
      <c r="R17" s="4"/>
      <c r="S17" s="4"/>
      <c r="T17" s="5"/>
    </row>
    <row r="18" spans="1:23">
      <c r="A18" t="s">
        <v>6</v>
      </c>
      <c r="B18" s="20">
        <v>1934</v>
      </c>
      <c r="C18" s="21">
        <v>1.1085935595150571E-2</v>
      </c>
      <c r="D18" s="22">
        <v>2.4854730565468555</v>
      </c>
      <c r="E18" s="22">
        <v>7.814465120525167</v>
      </c>
      <c r="F18" s="23">
        <v>20.176999626582898</v>
      </c>
      <c r="G18" s="24">
        <f t="shared" ref="C18:G20" si="0">$B18*1000*G11/1000000</f>
        <v>48.35</v>
      </c>
      <c r="I18" t="s">
        <v>7</v>
      </c>
      <c r="O18" t="s">
        <v>6</v>
      </c>
      <c r="P18" s="20">
        <v>1934</v>
      </c>
      <c r="Q18" s="21">
        <v>2.1319451540892982</v>
      </c>
      <c r="R18" s="22">
        <v>3.5552513985789362</v>
      </c>
      <c r="S18" s="22">
        <v>10.723894894960448</v>
      </c>
      <c r="T18" s="23">
        <v>16.572663190628163</v>
      </c>
      <c r="U18" s="24">
        <f t="shared" ref="Q18:U20" si="1">$B18*1000*U11/1000000</f>
        <v>48.35</v>
      </c>
      <c r="W18" t="s">
        <v>7</v>
      </c>
    </row>
    <row r="19" spans="1:23">
      <c r="A19" t="s">
        <v>8</v>
      </c>
      <c r="B19" s="20">
        <v>3590</v>
      </c>
      <c r="C19" s="21">
        <v>0.10324291549006048</v>
      </c>
      <c r="D19" s="22">
        <v>3.3506553123174343</v>
      </c>
      <c r="E19" s="22">
        <v>6.4663756129360941</v>
      </c>
      <c r="F19" s="23">
        <v>8.1799766538726164</v>
      </c>
      <c r="G19" s="24">
        <f t="shared" si="0"/>
        <v>107.7</v>
      </c>
      <c r="I19" t="s">
        <v>7</v>
      </c>
      <c r="O19" t="s">
        <v>8</v>
      </c>
      <c r="P19" s="20">
        <v>3590</v>
      </c>
      <c r="Q19" s="21">
        <v>3.6923199060381218</v>
      </c>
      <c r="R19" s="22">
        <v>13.088251620089467</v>
      </c>
      <c r="S19" s="22">
        <v>24.165794749877801</v>
      </c>
      <c r="T19" s="23">
        <v>44.876805939070096</v>
      </c>
      <c r="U19" s="24">
        <f t="shared" si="1"/>
        <v>107.7</v>
      </c>
      <c r="W19" t="s">
        <v>7</v>
      </c>
    </row>
    <row r="20" spans="1:23">
      <c r="A20" t="s">
        <v>9</v>
      </c>
      <c r="B20" s="20">
        <v>500</v>
      </c>
      <c r="C20" s="25">
        <f t="shared" si="0"/>
        <v>0</v>
      </c>
      <c r="D20" s="26">
        <f t="shared" si="0"/>
        <v>2.5</v>
      </c>
      <c r="E20" s="26">
        <f t="shared" si="0"/>
        <v>3</v>
      </c>
      <c r="F20" s="27">
        <f t="shared" si="0"/>
        <v>9</v>
      </c>
      <c r="G20" s="20">
        <f t="shared" si="0"/>
        <v>13.5</v>
      </c>
      <c r="I20" t="s">
        <v>14</v>
      </c>
      <c r="O20" t="s">
        <v>9</v>
      </c>
      <c r="P20" s="20">
        <v>500</v>
      </c>
      <c r="Q20" s="25">
        <f t="shared" si="1"/>
        <v>0</v>
      </c>
      <c r="R20" s="26">
        <f t="shared" si="1"/>
        <v>2.5</v>
      </c>
      <c r="S20" s="26">
        <f t="shared" si="1"/>
        <v>3</v>
      </c>
      <c r="T20" s="27">
        <f t="shared" si="1"/>
        <v>9</v>
      </c>
      <c r="U20" s="20">
        <f t="shared" si="1"/>
        <v>13.5</v>
      </c>
      <c r="W20" t="s">
        <v>14</v>
      </c>
    </row>
    <row r="21" spans="1:23">
      <c r="A21" s="28" t="s">
        <v>15</v>
      </c>
      <c r="B21" s="29"/>
      <c r="C21" s="30">
        <f>SUM(C18:C20)</f>
        <v>0.11432885108521106</v>
      </c>
      <c r="D21" s="29">
        <f t="shared" ref="D21:G21" si="2">SUM(D18:D20)</f>
        <v>8.3361283688642906</v>
      </c>
      <c r="E21" s="29">
        <f t="shared" si="2"/>
        <v>17.280840733461261</v>
      </c>
      <c r="F21" s="31">
        <f t="shared" si="2"/>
        <v>37.356976280455513</v>
      </c>
      <c r="G21" s="29">
        <f t="shared" si="2"/>
        <v>169.55</v>
      </c>
      <c r="H21" s="28"/>
      <c r="I21" s="28"/>
      <c r="O21" s="28" t="s">
        <v>15</v>
      </c>
      <c r="P21" s="29"/>
      <c r="Q21" s="30">
        <f>SUM(Q18:Q20)</f>
        <v>5.82426506012742</v>
      </c>
      <c r="R21" s="29">
        <f t="shared" ref="R21:U21" si="3">SUM(R18:R20)</f>
        <v>19.143503018668405</v>
      </c>
      <c r="S21" s="29">
        <f t="shared" si="3"/>
        <v>37.889689644838249</v>
      </c>
      <c r="T21" s="31">
        <f t="shared" si="3"/>
        <v>70.449469129698258</v>
      </c>
      <c r="U21" s="29">
        <f t="shared" si="3"/>
        <v>169.55</v>
      </c>
      <c r="V21" s="28"/>
      <c r="W21" s="28"/>
    </row>
    <row r="22" spans="1:23">
      <c r="A22" s="10"/>
      <c r="C22" s="3"/>
      <c r="D22" s="4"/>
      <c r="E22" s="4"/>
      <c r="F22" s="5"/>
      <c r="O22" s="10"/>
      <c r="Q22" s="3"/>
      <c r="R22" s="4"/>
      <c r="S22" s="4"/>
      <c r="T22" s="5"/>
    </row>
    <row r="23" spans="1:23">
      <c r="A23" s="10" t="s">
        <v>16</v>
      </c>
      <c r="C23" s="3"/>
      <c r="D23" s="4"/>
      <c r="E23" s="4"/>
      <c r="F23" s="5"/>
      <c r="O23" s="10" t="s">
        <v>16</v>
      </c>
      <c r="Q23" s="3"/>
      <c r="R23" s="4"/>
      <c r="S23" s="4"/>
      <c r="T23" s="5"/>
    </row>
    <row r="24" spans="1:23">
      <c r="A24" s="32" t="s">
        <v>6</v>
      </c>
      <c r="B24" s="20"/>
      <c r="C24" s="25">
        <v>2</v>
      </c>
      <c r="D24" s="26">
        <v>2</v>
      </c>
      <c r="E24" s="26">
        <v>1</v>
      </c>
      <c r="F24" s="27"/>
      <c r="G24" s="20"/>
      <c r="I24" t="s">
        <v>17</v>
      </c>
      <c r="O24" s="32" t="s">
        <v>6</v>
      </c>
      <c r="P24" s="20"/>
      <c r="Q24" s="25">
        <v>2</v>
      </c>
      <c r="R24" s="26">
        <v>2</v>
      </c>
      <c r="S24" s="26">
        <v>1</v>
      </c>
      <c r="T24" s="27"/>
      <c r="U24" s="20"/>
      <c r="W24" t="s">
        <v>17</v>
      </c>
    </row>
    <row r="25" spans="1:23">
      <c r="A25" t="s">
        <v>8</v>
      </c>
      <c r="B25" s="20"/>
      <c r="C25" s="25"/>
      <c r="D25" s="26"/>
      <c r="E25" s="26"/>
      <c r="F25" s="27"/>
      <c r="G25" s="20"/>
      <c r="O25" t="s">
        <v>8</v>
      </c>
      <c r="P25" s="20"/>
      <c r="Q25" s="25"/>
      <c r="R25" s="26"/>
      <c r="S25" s="26"/>
      <c r="T25" s="27"/>
      <c r="U25" s="20"/>
    </row>
    <row r="26" spans="1:23">
      <c r="A26" t="s">
        <v>9</v>
      </c>
      <c r="B26" s="20"/>
      <c r="C26" s="25">
        <v>2</v>
      </c>
      <c r="D26" s="26">
        <v>2</v>
      </c>
      <c r="E26" s="26"/>
      <c r="F26" s="27"/>
      <c r="G26" s="20"/>
      <c r="I26" t="s">
        <v>18</v>
      </c>
      <c r="O26" t="s">
        <v>9</v>
      </c>
      <c r="P26" s="20"/>
      <c r="Q26" s="25">
        <v>2</v>
      </c>
      <c r="R26" s="26">
        <v>2</v>
      </c>
      <c r="S26" s="26"/>
      <c r="T26" s="27"/>
      <c r="U26" s="20"/>
      <c r="W26" t="s">
        <v>18</v>
      </c>
    </row>
    <row r="27" spans="1:23">
      <c r="C27" s="3"/>
      <c r="D27" s="4"/>
      <c r="E27" s="4"/>
      <c r="F27" s="5"/>
      <c r="Q27" s="3"/>
      <c r="R27" s="4"/>
      <c r="S27" s="4"/>
      <c r="T27" s="5"/>
    </row>
    <row r="28" spans="1:23" ht="15.75" thickBot="1">
      <c r="A28" s="10" t="s">
        <v>19</v>
      </c>
      <c r="C28" s="33">
        <f>SUM(C21:C26)*0.2</f>
        <v>0.82286577021704232</v>
      </c>
      <c r="D28" s="34">
        <f>SUM(D21:D26)*0.2</f>
        <v>2.4672256737728584</v>
      </c>
      <c r="E28" s="34">
        <f>SUM(E21:E26)*0.2</f>
        <v>3.6561681466922522</v>
      </c>
      <c r="F28" s="35">
        <f>SUM(F21:F26)*0.2</f>
        <v>7.4713952560911032</v>
      </c>
      <c r="G28" s="36">
        <f>SUM(G21:G26)*0.2</f>
        <v>33.910000000000004</v>
      </c>
      <c r="O28" s="10" t="s">
        <v>19</v>
      </c>
      <c r="Q28" s="33">
        <f>SUM(Q21:Q26)*0.2</f>
        <v>1.9648530120254841</v>
      </c>
      <c r="R28" s="34">
        <f>SUM(R21:R26)*0.2</f>
        <v>4.6287006037336811</v>
      </c>
      <c r="S28" s="34">
        <f>SUM(S21:S26)*0.2</f>
        <v>7.77793792896765</v>
      </c>
      <c r="T28" s="35">
        <f>SUM(T21:T26)*0.2</f>
        <v>14.089893825939653</v>
      </c>
      <c r="U28" s="36">
        <f>SUM(U21:U26)*0.2</f>
        <v>33.910000000000004</v>
      </c>
    </row>
    <row r="29" spans="1:23" ht="15.75" thickTop="1">
      <c r="A29" s="37" t="s">
        <v>20</v>
      </c>
      <c r="B29" s="38"/>
      <c r="C29" s="39">
        <f>SUM(C21:C28)</f>
        <v>4.9371946213022539</v>
      </c>
      <c r="D29" s="40">
        <f t="shared" ref="D29:G29" si="4">SUM(D21:D28)</f>
        <v>14.803354042637149</v>
      </c>
      <c r="E29" s="40">
        <f t="shared" si="4"/>
        <v>21.937008880153513</v>
      </c>
      <c r="F29" s="41">
        <f t="shared" si="4"/>
        <v>44.828371536546612</v>
      </c>
      <c r="G29" s="39">
        <f t="shared" si="4"/>
        <v>203.46</v>
      </c>
      <c r="H29" s="38"/>
      <c r="I29" s="38"/>
      <c r="O29" s="37" t="s">
        <v>20</v>
      </c>
      <c r="P29" s="38"/>
      <c r="Q29" s="39">
        <f>SUM(Q21:Q28)</f>
        <v>11.789118072152904</v>
      </c>
      <c r="R29" s="40">
        <f t="shared" ref="R29:U29" si="5">SUM(R21:R28)</f>
        <v>27.772203622402085</v>
      </c>
      <c r="S29" s="40">
        <f t="shared" si="5"/>
        <v>46.667627573805902</v>
      </c>
      <c r="T29" s="41">
        <f t="shared" si="5"/>
        <v>84.539362955637912</v>
      </c>
      <c r="U29" s="39">
        <f t="shared" si="5"/>
        <v>203.46</v>
      </c>
      <c r="V29" s="38"/>
      <c r="W29" s="38"/>
    </row>
    <row r="30" spans="1:23">
      <c r="C30" s="3"/>
      <c r="D30" s="4"/>
      <c r="E30" s="4"/>
      <c r="F30" s="5"/>
      <c r="Q30" s="3"/>
      <c r="R30" s="4"/>
      <c r="S30" s="4"/>
      <c r="T30" s="5"/>
    </row>
    <row r="31" spans="1:23">
      <c r="C31" s="3"/>
      <c r="D31" s="4"/>
      <c r="E31" s="4"/>
      <c r="F31" s="5"/>
      <c r="Q31" s="3"/>
      <c r="R31" s="4"/>
      <c r="S31" s="4"/>
      <c r="T31" s="5"/>
    </row>
    <row r="32" spans="1:23">
      <c r="C32" s="3"/>
      <c r="D32" s="4"/>
      <c r="E32" s="4"/>
      <c r="F32" s="5"/>
      <c r="Q32" s="3"/>
      <c r="R32" s="4"/>
      <c r="S32" s="4"/>
      <c r="T32" s="5"/>
    </row>
    <row r="33" spans="1:23">
      <c r="C33" s="3"/>
      <c r="D33" s="4"/>
      <c r="E33" s="4"/>
      <c r="F33" s="5"/>
      <c r="Q33" s="3"/>
      <c r="R33" s="4"/>
      <c r="S33" s="4"/>
      <c r="T33" s="5"/>
    </row>
    <row r="34" spans="1:23">
      <c r="A34" s="15" t="s">
        <v>21</v>
      </c>
      <c r="B34" s="16"/>
      <c r="C34" s="17"/>
      <c r="D34" s="18"/>
      <c r="E34" s="18"/>
      <c r="F34" s="19"/>
      <c r="G34" s="16"/>
      <c r="H34" s="16"/>
      <c r="I34" s="16"/>
      <c r="O34" s="15" t="s">
        <v>21</v>
      </c>
      <c r="P34" s="16"/>
      <c r="Q34" s="17"/>
      <c r="R34" s="18"/>
      <c r="S34" s="18"/>
      <c r="T34" s="19"/>
      <c r="U34" s="16"/>
      <c r="V34" s="16"/>
      <c r="W34" s="16"/>
    </row>
    <row r="35" spans="1:23">
      <c r="A35" s="10"/>
      <c r="C35" s="3"/>
      <c r="D35" s="4"/>
      <c r="E35" s="4"/>
      <c r="F35" s="5"/>
      <c r="O35" s="10"/>
      <c r="Q35" s="3"/>
      <c r="R35" s="4"/>
      <c r="S35" s="4"/>
      <c r="T35" s="5"/>
    </row>
    <row r="36" spans="1:23">
      <c r="A36" s="10" t="s">
        <v>22</v>
      </c>
      <c r="C36" s="3"/>
      <c r="D36" s="4"/>
      <c r="E36" s="4"/>
      <c r="F36" s="5"/>
      <c r="O36" s="10" t="s">
        <v>22</v>
      </c>
      <c r="Q36" s="3"/>
      <c r="R36" s="4"/>
      <c r="S36" s="4"/>
      <c r="T36" s="5"/>
    </row>
    <row r="37" spans="1:23">
      <c r="B37" t="s">
        <v>23</v>
      </c>
      <c r="C37" s="3" t="s">
        <v>13</v>
      </c>
      <c r="D37" s="4"/>
      <c r="E37" s="4"/>
      <c r="F37" s="5"/>
      <c r="I37" t="s">
        <v>24</v>
      </c>
      <c r="P37" t="s">
        <v>23</v>
      </c>
      <c r="Q37" s="3" t="s">
        <v>13</v>
      </c>
      <c r="R37" s="4"/>
      <c r="S37" s="4"/>
      <c r="T37" s="5"/>
      <c r="W37" t="s">
        <v>24</v>
      </c>
    </row>
    <row r="38" spans="1:23">
      <c r="A38" t="s">
        <v>6</v>
      </c>
      <c r="B38" s="42">
        <v>31.93</v>
      </c>
      <c r="C38" s="43">
        <v>0</v>
      </c>
      <c r="D38" s="44">
        <v>0.14531312249999997</v>
      </c>
      <c r="E38" s="44">
        <v>0.65758302221863918</v>
      </c>
      <c r="F38" s="45">
        <v>2.2573056852988644</v>
      </c>
      <c r="G38" s="43">
        <f t="shared" ref="G38:G40" si="6">G11*1000*$B38/1000000</f>
        <v>0.79825000000000002</v>
      </c>
      <c r="I38" t="s">
        <v>7</v>
      </c>
      <c r="O38" t="s">
        <v>6</v>
      </c>
      <c r="P38" s="42">
        <v>31.93</v>
      </c>
      <c r="Q38" s="43">
        <v>0.11233822162499998</v>
      </c>
      <c r="R38" s="44">
        <v>0.29690520665624992</v>
      </c>
      <c r="S38" s="44">
        <v>0.99698866596266866</v>
      </c>
      <c r="T38" s="45">
        <v>2.1641517550296876</v>
      </c>
      <c r="U38" s="43">
        <f t="shared" ref="U38:U40" si="7">U11*1000*$B38/1000000</f>
        <v>0.79825000000000002</v>
      </c>
      <c r="W38" t="s">
        <v>7</v>
      </c>
    </row>
    <row r="39" spans="1:23">
      <c r="A39" t="s">
        <v>8</v>
      </c>
      <c r="B39" s="42">
        <v>22.23</v>
      </c>
      <c r="C39" s="43">
        <v>0</v>
      </c>
      <c r="D39" s="44">
        <v>7.0526871834527194</v>
      </c>
      <c r="E39" s="44">
        <v>11.589352810362938</v>
      </c>
      <c r="F39" s="45">
        <v>15.890289780272733</v>
      </c>
      <c r="G39" s="43">
        <f t="shared" si="6"/>
        <v>0.66690000000000005</v>
      </c>
      <c r="I39" t="s">
        <v>7</v>
      </c>
      <c r="O39" t="s">
        <v>8</v>
      </c>
      <c r="P39" s="42">
        <v>22.23</v>
      </c>
      <c r="Q39" s="43">
        <v>3.9399940312006274</v>
      </c>
      <c r="R39" s="44">
        <v>7.2504726591134965</v>
      </c>
      <c r="S39" s="44">
        <v>11.105229302442401</v>
      </c>
      <c r="T39" s="45">
        <v>15.658596208005816</v>
      </c>
      <c r="U39" s="43">
        <f t="shared" si="7"/>
        <v>0.66690000000000005</v>
      </c>
      <c r="W39" t="s">
        <v>7</v>
      </c>
    </row>
    <row r="40" spans="1:23">
      <c r="A40" t="s">
        <v>9</v>
      </c>
      <c r="B40" s="42">
        <v>0</v>
      </c>
      <c r="C40" s="46">
        <f t="shared" ref="C40:F40" si="8">C13*1000*$B40/1000000</f>
        <v>0</v>
      </c>
      <c r="D40" s="47">
        <f t="shared" si="8"/>
        <v>0</v>
      </c>
      <c r="E40" s="47">
        <f t="shared" si="8"/>
        <v>0</v>
      </c>
      <c r="F40" s="48">
        <f t="shared" si="8"/>
        <v>0</v>
      </c>
      <c r="G40" s="46">
        <f t="shared" si="6"/>
        <v>0</v>
      </c>
      <c r="I40" t="s">
        <v>25</v>
      </c>
      <c r="O40" t="s">
        <v>9</v>
      </c>
      <c r="P40" s="42">
        <v>0</v>
      </c>
      <c r="Q40" s="46">
        <f t="shared" ref="Q40:T40" si="9">Q13*1000*$B40/1000000</f>
        <v>0</v>
      </c>
      <c r="R40" s="47">
        <f t="shared" si="9"/>
        <v>0</v>
      </c>
      <c r="S40" s="47">
        <f t="shared" si="9"/>
        <v>0</v>
      </c>
      <c r="T40" s="48">
        <f t="shared" si="9"/>
        <v>0</v>
      </c>
      <c r="U40" s="46">
        <f t="shared" si="7"/>
        <v>0</v>
      </c>
      <c r="W40" t="s">
        <v>25</v>
      </c>
    </row>
    <row r="41" spans="1:23">
      <c r="C41" s="3"/>
      <c r="D41" s="4"/>
      <c r="E41" s="4"/>
      <c r="F41" s="5"/>
      <c r="G41" s="3"/>
      <c r="Q41" s="3"/>
      <c r="R41" s="4"/>
      <c r="S41" s="4"/>
      <c r="T41" s="5"/>
      <c r="U41" s="3"/>
    </row>
    <row r="42" spans="1:23">
      <c r="A42" s="10" t="s">
        <v>26</v>
      </c>
      <c r="C42" s="3" t="s">
        <v>13</v>
      </c>
      <c r="D42" s="4"/>
      <c r="E42" s="4"/>
      <c r="F42" s="5"/>
      <c r="G42" s="3"/>
      <c r="I42" t="s">
        <v>27</v>
      </c>
      <c r="O42" s="10" t="s">
        <v>26</v>
      </c>
      <c r="Q42" s="3" t="s">
        <v>13</v>
      </c>
      <c r="R42" s="4"/>
      <c r="S42" s="4"/>
      <c r="T42" s="5"/>
      <c r="U42" s="3"/>
      <c r="W42" t="s">
        <v>27</v>
      </c>
    </row>
    <row r="43" spans="1:23">
      <c r="A43" t="s">
        <v>6</v>
      </c>
      <c r="C43" s="43">
        <v>0.29412153782554779</v>
      </c>
      <c r="D43" s="44">
        <v>0.61605208763952046</v>
      </c>
      <c r="E43" s="44">
        <v>0.21</v>
      </c>
      <c r="F43" s="45">
        <v>0</v>
      </c>
      <c r="G43" s="43"/>
      <c r="I43" t="s">
        <v>28</v>
      </c>
      <c r="O43" t="s">
        <v>6</v>
      </c>
      <c r="Q43" s="43">
        <v>0.42017362546506826</v>
      </c>
      <c r="R43" s="44">
        <v>0.48999999999999994</v>
      </c>
      <c r="S43" s="44">
        <v>0.21</v>
      </c>
      <c r="T43" s="45">
        <v>0</v>
      </c>
      <c r="U43" s="43"/>
      <c r="W43" t="s">
        <v>28</v>
      </c>
    </row>
    <row r="44" spans="1:23">
      <c r="A44" t="s">
        <v>8</v>
      </c>
      <c r="C44" s="43">
        <v>2.5753784823529413</v>
      </c>
      <c r="D44" s="44">
        <v>1.1037336352941176</v>
      </c>
      <c r="E44" s="44">
        <v>0</v>
      </c>
      <c r="F44" s="45">
        <v>0</v>
      </c>
      <c r="G44" s="43"/>
      <c r="I44" t="s">
        <v>28</v>
      </c>
      <c r="O44" t="s">
        <v>8</v>
      </c>
      <c r="Q44" s="43">
        <v>4.1791121176470583</v>
      </c>
      <c r="R44" s="44">
        <v>0</v>
      </c>
      <c r="S44" s="44">
        <v>0</v>
      </c>
      <c r="T44" s="45">
        <v>0</v>
      </c>
      <c r="U44" s="43"/>
      <c r="W44" t="s">
        <v>28</v>
      </c>
    </row>
    <row r="45" spans="1:23">
      <c r="A45" t="s">
        <v>9</v>
      </c>
      <c r="C45" s="46">
        <v>1</v>
      </c>
      <c r="D45" s="47">
        <v>1</v>
      </c>
      <c r="E45" s="47">
        <v>0.5</v>
      </c>
      <c r="F45" s="48">
        <v>0.5</v>
      </c>
      <c r="G45" s="46"/>
      <c r="I45" t="s">
        <v>28</v>
      </c>
      <c r="O45" t="s">
        <v>9</v>
      </c>
      <c r="Q45" s="46">
        <v>1</v>
      </c>
      <c r="R45" s="47">
        <v>1</v>
      </c>
      <c r="S45" s="47">
        <v>0.5</v>
      </c>
      <c r="T45" s="48">
        <v>0.5</v>
      </c>
      <c r="U45" s="46"/>
      <c r="W45" t="s">
        <v>28</v>
      </c>
    </row>
    <row r="46" spans="1:23" ht="15.75" thickBot="1">
      <c r="C46" s="3"/>
      <c r="D46" s="4"/>
      <c r="E46" s="4"/>
      <c r="F46" s="5"/>
      <c r="G46" s="3"/>
      <c r="Q46" s="3"/>
      <c r="R46" s="4"/>
      <c r="S46" s="4"/>
      <c r="T46" s="5"/>
      <c r="U46" s="3"/>
    </row>
    <row r="47" spans="1:23" ht="15.75" thickTop="1">
      <c r="A47" s="37" t="s">
        <v>29</v>
      </c>
      <c r="B47" s="38"/>
      <c r="C47" s="49">
        <f>SUM(C38:C40,C43:C45)</f>
        <v>3.869500020178489</v>
      </c>
      <c r="D47" s="50">
        <f>SUM(D38:D40,D43:D45)</f>
        <v>9.9177860288863577</v>
      </c>
      <c r="E47" s="50">
        <f>SUM(E38:E40,E43:E45)</f>
        <v>12.956935832581578</v>
      </c>
      <c r="F47" s="51">
        <f>SUM(F38:F40,F43:F45)</f>
        <v>18.647595465571598</v>
      </c>
      <c r="G47" s="49">
        <f>SUM(G38:G40,G43:G45)</f>
        <v>1.46515</v>
      </c>
      <c r="H47" s="38"/>
      <c r="I47" s="38"/>
      <c r="O47" s="37" t="s">
        <v>29</v>
      </c>
      <c r="P47" s="38"/>
      <c r="Q47" s="49">
        <f>SUM(Q38:Q40,Q43:Q45)</f>
        <v>9.6516179959377553</v>
      </c>
      <c r="R47" s="50">
        <f>SUM(R38:R40,R43:R45)</f>
        <v>9.0373778657697468</v>
      </c>
      <c r="S47" s="50">
        <f>SUM(S38:S40,S43:S45)</f>
        <v>12.81221796840507</v>
      </c>
      <c r="T47" s="51">
        <f>SUM(T38:T40,T43:T45)</f>
        <v>18.322747963035503</v>
      </c>
      <c r="U47" s="49">
        <f>SUM(U38:U40,U43:U45)</f>
        <v>1.46515</v>
      </c>
      <c r="V47" s="38"/>
      <c r="W47" s="38"/>
    </row>
    <row r="48" spans="1:23">
      <c r="C48" s="3"/>
      <c r="D48" s="4"/>
      <c r="E48" s="4"/>
      <c r="F48" s="5"/>
      <c r="G48" s="3"/>
      <c r="Q48" s="3"/>
      <c r="R48" s="4"/>
      <c r="S48" s="4"/>
      <c r="T48" s="5"/>
      <c r="U48" s="3"/>
    </row>
    <row r="49" spans="3:20">
      <c r="C49" s="3"/>
      <c r="D49" s="4"/>
      <c r="E49" s="4"/>
      <c r="F49" s="5"/>
      <c r="Q49" s="3"/>
      <c r="R49" s="4"/>
      <c r="S49" s="4"/>
      <c r="T49" s="5"/>
    </row>
    <row r="50" spans="3:20">
      <c r="C50" s="3"/>
      <c r="D50" s="4"/>
      <c r="E50" s="4"/>
      <c r="F50" s="5"/>
      <c r="Q50" s="3"/>
      <c r="R50" s="4"/>
      <c r="S50" s="4"/>
      <c r="T50" s="5"/>
    </row>
    <row r="51" spans="3:20">
      <c r="O51" s="10" t="s">
        <v>30</v>
      </c>
    </row>
    <row r="52" spans="3:20">
      <c r="O52" s="52" t="s">
        <v>31</v>
      </c>
    </row>
    <row r="53" spans="3:20">
      <c r="O53" t="s">
        <v>32</v>
      </c>
    </row>
  </sheetData>
  <mergeCells count="2">
    <mergeCell ref="C7:F7"/>
    <mergeCell ref="Q7:T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G5" sqref="G5"/>
    </sheetView>
  </sheetViews>
  <sheetFormatPr defaultRowHeight="15"/>
  <cols>
    <col min="1" max="1" width="21.85546875" bestFit="1" customWidth="1"/>
    <col min="3" max="3" width="9.85546875" bestFit="1" customWidth="1"/>
    <col min="4" max="6" width="9.7109375" bestFit="1" customWidth="1"/>
    <col min="7" max="7" width="12.5703125" bestFit="1" customWidth="1"/>
  </cols>
  <sheetData>
    <row r="1" spans="1:7">
      <c r="B1">
        <v>2022</v>
      </c>
      <c r="C1" s="54">
        <v>2023</v>
      </c>
      <c r="D1" s="54">
        <v>2024</v>
      </c>
      <c r="E1" s="54">
        <v>2025</v>
      </c>
      <c r="F1" s="54">
        <v>2026</v>
      </c>
    </row>
    <row r="2" spans="1:7">
      <c r="A2" t="s">
        <v>190</v>
      </c>
      <c r="B2" s="109">
        <v>3692148</v>
      </c>
      <c r="C2" s="109">
        <v>15757803</v>
      </c>
      <c r="D2" s="109">
        <v>17691117</v>
      </c>
      <c r="E2" s="109">
        <v>19154298</v>
      </c>
      <c r="F2" s="109">
        <v>22419612</v>
      </c>
      <c r="G2" s="108">
        <f>SUM(B2:F2)</f>
        <v>78714978</v>
      </c>
    </row>
    <row r="5" spans="1:7">
      <c r="G5" s="90"/>
    </row>
  </sheetData>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tabSelected="1" workbookViewId="0">
      <pane ySplit="5" topLeftCell="A6" activePane="bottomLeft" state="frozen"/>
      <selection activeCell="E17" sqref="E17"/>
      <selection pane="bottomLeft" activeCell="E17" sqref="E17"/>
    </sheetView>
  </sheetViews>
  <sheetFormatPr defaultColWidth="9.140625" defaultRowHeight="12.75"/>
  <cols>
    <col min="1" max="1" width="26.85546875" style="120" customWidth="1"/>
    <col min="2" max="2" width="15.85546875" style="120" customWidth="1"/>
    <col min="3" max="3" width="7.5703125" style="120" customWidth="1"/>
    <col min="4" max="4" width="5.7109375" style="120" customWidth="1"/>
    <col min="5" max="5" width="30.85546875" style="120" customWidth="1"/>
    <col min="6" max="6" width="10.28515625" style="120" bestFit="1" customWidth="1"/>
    <col min="7" max="7" width="12.28515625" style="120" bestFit="1" customWidth="1"/>
    <col min="8" max="8" width="11.5703125" style="120" bestFit="1" customWidth="1"/>
    <col min="9" max="10" width="11.85546875" style="120" bestFit="1" customWidth="1"/>
    <col min="11" max="12" width="11.85546875" style="156" bestFit="1" customWidth="1"/>
    <col min="13" max="13" width="11.5703125" style="120" bestFit="1" customWidth="1"/>
    <col min="14" max="14" width="13.28515625" style="120" bestFit="1" customWidth="1"/>
    <col min="15" max="16384" width="9.140625" style="120"/>
  </cols>
  <sheetData>
    <row r="1" spans="1:14" ht="14.45" customHeight="1">
      <c r="A1" s="802" t="s">
        <v>741</v>
      </c>
      <c r="B1" s="803"/>
      <c r="C1" s="804"/>
    </row>
    <row r="2" spans="1:14">
      <c r="A2" s="805"/>
      <c r="B2" s="806"/>
      <c r="C2" s="807"/>
    </row>
    <row r="3" spans="1:14" ht="13.5" thickBot="1">
      <c r="A3" s="808"/>
      <c r="B3" s="809"/>
      <c r="C3" s="810"/>
    </row>
    <row r="5" spans="1:14">
      <c r="A5" s="120">
        <v>2022</v>
      </c>
      <c r="F5" s="186">
        <v>2022</v>
      </c>
      <c r="G5" s="186">
        <v>2023</v>
      </c>
      <c r="H5" s="186">
        <v>2024</v>
      </c>
      <c r="I5" s="186">
        <v>2025</v>
      </c>
      <c r="J5" s="186">
        <v>2026</v>
      </c>
      <c r="K5" s="186">
        <v>2027</v>
      </c>
      <c r="L5" s="186">
        <v>2028</v>
      </c>
      <c r="M5" s="186">
        <v>2029</v>
      </c>
      <c r="N5" s="186"/>
    </row>
    <row r="6" spans="1:14">
      <c r="A6" s="120" t="s">
        <v>158</v>
      </c>
      <c r="B6" s="171">
        <f>'4C. Enablement and Grid Mod Bud'!P256/1000</f>
        <v>3901.25</v>
      </c>
      <c r="E6" s="120" t="s">
        <v>159</v>
      </c>
      <c r="F6" s="169"/>
      <c r="G6" s="169"/>
      <c r="H6" s="169"/>
      <c r="I6" s="169"/>
      <c r="J6" s="169"/>
      <c r="K6" s="200"/>
      <c r="L6" s="200"/>
    </row>
    <row r="7" spans="1:14">
      <c r="A7" s="120" t="s">
        <v>160</v>
      </c>
      <c r="B7" s="156">
        <v>5</v>
      </c>
      <c r="E7" s="201" t="s">
        <v>161</v>
      </c>
      <c r="F7" s="159">
        <f>B6</f>
        <v>3901.25</v>
      </c>
      <c r="G7" s="159">
        <f>B6+B13</f>
        <v>19057.254999999997</v>
      </c>
      <c r="H7" s="159">
        <f>B6+B13+B20</f>
        <v>27506.254999999997</v>
      </c>
      <c r="I7" s="159">
        <f>B6+B13+B20+B27</f>
        <v>33226.254999999997</v>
      </c>
      <c r="J7" s="159">
        <f>I7</f>
        <v>33226.254999999997</v>
      </c>
      <c r="K7" s="159">
        <f>J7-B6</f>
        <v>29325.004999999997</v>
      </c>
      <c r="L7" s="159">
        <f>K7-B13</f>
        <v>14168.999999999998</v>
      </c>
      <c r="M7" s="159">
        <f>L7-B20</f>
        <v>5719.9999999999982</v>
      </c>
      <c r="N7" s="159"/>
    </row>
    <row r="8" spans="1:14">
      <c r="A8" s="120" t="s">
        <v>162</v>
      </c>
      <c r="B8" s="202">
        <v>6.9696000000000008E-2</v>
      </c>
      <c r="E8" s="201" t="s">
        <v>163</v>
      </c>
      <c r="F8" s="175">
        <f>-F36</f>
        <v>-780.25</v>
      </c>
      <c r="G8" s="176">
        <f>-G36+F8</f>
        <v>-4591.7009999999991</v>
      </c>
      <c r="H8" s="175">
        <f>-H36+G8</f>
        <v>-10092.951999999997</v>
      </c>
      <c r="I8" s="176">
        <f>-I36+H8</f>
        <v>-16738.202999999998</v>
      </c>
      <c r="J8" s="175">
        <f>-J36+I8</f>
        <v>-23383.453999999998</v>
      </c>
      <c r="K8" s="175">
        <f>-SUM(G38:K40)</f>
        <v>-25347.204999999998</v>
      </c>
      <c r="L8" s="175">
        <f>-SUM(H39:L40)</f>
        <v>-13025</v>
      </c>
      <c r="M8" s="175">
        <f>-SUM(I40:M40)</f>
        <v>-5720</v>
      </c>
      <c r="N8" s="175"/>
    </row>
    <row r="9" spans="1:14">
      <c r="A9" s="120" t="s">
        <v>164</v>
      </c>
      <c r="B9" s="156">
        <v>0.21</v>
      </c>
      <c r="E9" s="201" t="s">
        <v>165</v>
      </c>
      <c r="F9" s="160">
        <v>0</v>
      </c>
      <c r="G9" s="160">
        <v>0</v>
      </c>
      <c r="H9" s="160">
        <v>0</v>
      </c>
      <c r="I9" s="160">
        <v>0</v>
      </c>
      <c r="J9" s="160">
        <v>0</v>
      </c>
      <c r="K9" s="160">
        <v>0</v>
      </c>
      <c r="L9" s="160">
        <v>0</v>
      </c>
      <c r="M9" s="160">
        <v>0</v>
      </c>
      <c r="N9" s="175"/>
    </row>
    <row r="10" spans="1:14">
      <c r="A10" s="120" t="s">
        <v>191</v>
      </c>
      <c r="B10" s="202">
        <v>4.7600000000000003E-2</v>
      </c>
      <c r="E10" s="168" t="s">
        <v>166</v>
      </c>
      <c r="F10" s="159">
        <f t="shared" ref="F10:M10" si="0">SUM(F7:F8)</f>
        <v>3121</v>
      </c>
      <c r="G10" s="159">
        <f t="shared" si="0"/>
        <v>14465.553999999998</v>
      </c>
      <c r="H10" s="159">
        <f t="shared" si="0"/>
        <v>17413.303</v>
      </c>
      <c r="I10" s="159">
        <f t="shared" si="0"/>
        <v>16488.052</v>
      </c>
      <c r="J10" s="159">
        <f t="shared" si="0"/>
        <v>9842.8009999999995</v>
      </c>
      <c r="K10" s="159">
        <f t="shared" si="0"/>
        <v>3977.7999999999993</v>
      </c>
      <c r="L10" s="159">
        <f t="shared" si="0"/>
        <v>1143.9999999999982</v>
      </c>
      <c r="M10" s="159">
        <f t="shared" si="0"/>
        <v>0</v>
      </c>
      <c r="N10" s="175"/>
    </row>
    <row r="11" spans="1:14">
      <c r="D11" s="140"/>
      <c r="E11" s="201"/>
      <c r="F11" s="159"/>
      <c r="G11" s="159"/>
      <c r="H11" s="159"/>
      <c r="I11" s="159"/>
      <c r="J11" s="159"/>
      <c r="K11" s="163"/>
      <c r="L11" s="163"/>
    </row>
    <row r="12" spans="1:14">
      <c r="A12" s="120">
        <v>2023</v>
      </c>
      <c r="D12" s="140"/>
      <c r="E12" s="140" t="s">
        <v>167</v>
      </c>
      <c r="F12" s="159">
        <f>F10</f>
        <v>3121</v>
      </c>
      <c r="G12" s="159">
        <f t="shared" ref="G12:M12" si="1">AVERAGE(F10:G10)</f>
        <v>8793.2769999999982</v>
      </c>
      <c r="H12" s="159">
        <f t="shared" si="1"/>
        <v>15939.428499999998</v>
      </c>
      <c r="I12" s="159">
        <f t="shared" si="1"/>
        <v>16950.677499999998</v>
      </c>
      <c r="J12" s="159">
        <f t="shared" si="1"/>
        <v>13165.4265</v>
      </c>
      <c r="K12" s="159">
        <f t="shared" si="1"/>
        <v>6910.3004999999994</v>
      </c>
      <c r="L12" s="159">
        <f t="shared" si="1"/>
        <v>2560.8999999999987</v>
      </c>
      <c r="M12" s="159">
        <f t="shared" si="1"/>
        <v>571.99999999999909</v>
      </c>
      <c r="N12" s="159"/>
    </row>
    <row r="13" spans="1:14">
      <c r="A13" s="120" t="s">
        <v>158</v>
      </c>
      <c r="B13" s="171">
        <f>'4C. Enablement and Grid Mod Bud'!Q256/1000</f>
        <v>15156.004999999999</v>
      </c>
      <c r="E13" s="140" t="s">
        <v>168</v>
      </c>
      <c r="F13" s="159">
        <f>F12*$B$8</f>
        <v>217.52121600000004</v>
      </c>
      <c r="G13" s="159">
        <f t="shared" ref="G13:M13" si="2">G12*$B$8</f>
        <v>612.8562337919999</v>
      </c>
      <c r="H13" s="159">
        <f t="shared" si="2"/>
        <v>1110.914408736</v>
      </c>
      <c r="I13" s="159">
        <f t="shared" si="2"/>
        <v>1181.39441904</v>
      </c>
      <c r="J13" s="159">
        <f t="shared" si="2"/>
        <v>917.57756534400005</v>
      </c>
      <c r="K13" s="159">
        <f t="shared" si="2"/>
        <v>481.620303648</v>
      </c>
      <c r="L13" s="159">
        <f t="shared" si="2"/>
        <v>178.48448639999992</v>
      </c>
      <c r="M13" s="159">
        <f t="shared" si="2"/>
        <v>39.866111999999944</v>
      </c>
      <c r="N13" s="159"/>
    </row>
    <row r="14" spans="1:14">
      <c r="A14" s="120" t="s">
        <v>160</v>
      </c>
      <c r="B14" s="156">
        <v>5</v>
      </c>
      <c r="E14" s="140" t="s">
        <v>169</v>
      </c>
      <c r="F14" s="169">
        <f>F13/(1-$B$9)-F13</f>
        <v>57.82209539240506</v>
      </c>
      <c r="G14" s="159">
        <f>G13/(1-$B$9)-G13</f>
        <v>162.91115075483538</v>
      </c>
      <c r="H14" s="159">
        <f>H13/(1-$B$9)-H13</f>
        <v>295.30636181589875</v>
      </c>
      <c r="I14" s="159">
        <f>I13/(1-$B$9)-I13</f>
        <v>314.0415544283544</v>
      </c>
      <c r="J14" s="159">
        <f>J13/(1-$B$9)-J13</f>
        <v>243.91302369903792</v>
      </c>
      <c r="K14" s="159">
        <f t="shared" ref="K14:L14" si="3">K13/(1-$B$9)-K13</f>
        <v>128.02565033681014</v>
      </c>
      <c r="L14" s="159">
        <f t="shared" si="3"/>
        <v>47.445243220253133</v>
      </c>
      <c r="M14" s="169">
        <f>M13/(1-$B$9)-M13</f>
        <v>10.597320911392387</v>
      </c>
      <c r="N14" s="159"/>
    </row>
    <row r="15" spans="1:14">
      <c r="A15" s="120" t="s">
        <v>162</v>
      </c>
      <c r="B15" s="202">
        <v>6.9696000000000008E-2</v>
      </c>
      <c r="E15" s="137" t="s">
        <v>170</v>
      </c>
      <c r="F15" s="163">
        <f>F13+F14</f>
        <v>275.3433113924051</v>
      </c>
      <c r="G15" s="163">
        <f>G13+G14</f>
        <v>775.76738454683527</v>
      </c>
      <c r="H15" s="163">
        <f t="shared" ref="H15:M15" si="4">H13+H14</f>
        <v>1406.2207705518988</v>
      </c>
      <c r="I15" s="163">
        <f t="shared" si="4"/>
        <v>1495.4359734683544</v>
      </c>
      <c r="J15" s="163">
        <f t="shared" si="4"/>
        <v>1161.490589043038</v>
      </c>
      <c r="K15" s="163">
        <f t="shared" si="4"/>
        <v>609.64595398481015</v>
      </c>
      <c r="L15" s="163">
        <f t="shared" si="4"/>
        <v>225.92972962025306</v>
      </c>
      <c r="M15" s="163">
        <f t="shared" si="4"/>
        <v>50.463432911392331</v>
      </c>
      <c r="N15" s="161"/>
    </row>
    <row r="16" spans="1:14">
      <c r="A16" s="120" t="s">
        <v>164</v>
      </c>
      <c r="B16" s="156">
        <v>0.21</v>
      </c>
      <c r="F16" s="159"/>
      <c r="G16" s="159"/>
      <c r="H16" s="159"/>
      <c r="I16" s="159"/>
      <c r="J16" s="159"/>
      <c r="K16" s="163"/>
      <c r="L16" s="163"/>
      <c r="N16" s="137"/>
    </row>
    <row r="17" spans="1:14">
      <c r="A17" s="120" t="s">
        <v>191</v>
      </c>
      <c r="B17" s="202">
        <v>4.7600000000000003E-2</v>
      </c>
      <c r="E17" s="120" t="s">
        <v>171</v>
      </c>
      <c r="F17" s="159"/>
      <c r="G17" s="159"/>
      <c r="H17" s="159"/>
      <c r="I17" s="159"/>
      <c r="J17" s="159"/>
      <c r="K17" s="163"/>
      <c r="L17" s="163"/>
      <c r="N17" s="137"/>
    </row>
    <row r="18" spans="1:14">
      <c r="B18" s="202"/>
      <c r="E18" s="201" t="s">
        <v>172</v>
      </c>
      <c r="F18" s="159">
        <f>F36</f>
        <v>780.25</v>
      </c>
      <c r="G18" s="159">
        <f>G36</f>
        <v>3811.4509999999996</v>
      </c>
      <c r="H18" s="159">
        <f t="shared" ref="H18:M18" si="5">H36</f>
        <v>5501.2509999999993</v>
      </c>
      <c r="I18" s="159">
        <f t="shared" si="5"/>
        <v>6645.2509999999993</v>
      </c>
      <c r="J18" s="159">
        <f t="shared" si="5"/>
        <v>6645.2509999999993</v>
      </c>
      <c r="K18" s="159">
        <f t="shared" si="5"/>
        <v>5865.0009999999993</v>
      </c>
      <c r="L18" s="159">
        <f t="shared" si="5"/>
        <v>2833.7999999999997</v>
      </c>
      <c r="M18" s="159">
        <f t="shared" si="5"/>
        <v>1143.9999999999995</v>
      </c>
      <c r="N18" s="161"/>
    </row>
    <row r="19" spans="1:14">
      <c r="A19" s="120">
        <v>2024</v>
      </c>
      <c r="E19" s="201" t="s">
        <v>540</v>
      </c>
      <c r="F19" s="159">
        <f>'4C. Enablement and Grid Mod Bud'!P257/1000</f>
        <v>2500.2849999999999</v>
      </c>
      <c r="G19" s="159">
        <f>'4C. Enablement and Grid Mod Bud'!Q257/1000</f>
        <v>3635.0720000000001</v>
      </c>
      <c r="H19" s="159">
        <f>'4C. Enablement and Grid Mod Bud'!R257/1000</f>
        <v>3488.3584999999998</v>
      </c>
      <c r="I19" s="159">
        <f>'4C. Enablement and Grid Mod Bud'!S257/1000</f>
        <v>3688.3584999999998</v>
      </c>
      <c r="J19" s="159">
        <f>I19</f>
        <v>3688.3584999999998</v>
      </c>
      <c r="K19" s="159">
        <f t="shared" ref="K19:M20" si="6">J19</f>
        <v>3688.3584999999998</v>
      </c>
      <c r="L19" s="159">
        <f t="shared" si="6"/>
        <v>3688.3584999999998</v>
      </c>
      <c r="M19" s="159">
        <f t="shared" si="6"/>
        <v>3688.3584999999998</v>
      </c>
      <c r="N19" s="657"/>
    </row>
    <row r="20" spans="1:14">
      <c r="A20" s="120" t="s">
        <v>158</v>
      </c>
      <c r="B20" s="171">
        <f>'4C. Enablement and Grid Mod Bud'!R256/1000</f>
        <v>8449</v>
      </c>
      <c r="E20" s="201" t="s">
        <v>192</v>
      </c>
      <c r="F20" s="169">
        <f>(F13/(1-$B$10))-F13</f>
        <v>10.871492945821075</v>
      </c>
      <c r="G20" s="169">
        <f t="shared" ref="G20:I20" si="7">(G13/(1-$B$10))-G13</f>
        <v>30.629941966084857</v>
      </c>
      <c r="H20" s="169">
        <f t="shared" si="7"/>
        <v>55.522391700791331</v>
      </c>
      <c r="I20" s="169">
        <f t="shared" si="7"/>
        <v>59.044912165375763</v>
      </c>
      <c r="J20" s="169">
        <f>I20</f>
        <v>59.044912165375763</v>
      </c>
      <c r="K20" s="169">
        <f t="shared" si="6"/>
        <v>59.044912165375763</v>
      </c>
      <c r="L20" s="169">
        <f t="shared" si="6"/>
        <v>59.044912165375763</v>
      </c>
      <c r="M20" s="169">
        <f t="shared" si="6"/>
        <v>59.044912165375763</v>
      </c>
      <c r="N20" s="648"/>
    </row>
    <row r="21" spans="1:14">
      <c r="A21" s="120" t="s">
        <v>160</v>
      </c>
      <c r="B21" s="156">
        <v>5</v>
      </c>
      <c r="E21" s="709" t="s">
        <v>173</v>
      </c>
      <c r="F21" s="163">
        <f t="shared" ref="F21:M21" si="8">SUM(F18:F20)</f>
        <v>3291.4064929458209</v>
      </c>
      <c r="G21" s="163">
        <f t="shared" si="8"/>
        <v>7477.1529419660837</v>
      </c>
      <c r="H21" s="163">
        <f t="shared" si="8"/>
        <v>9045.1318917007902</v>
      </c>
      <c r="I21" s="163">
        <f t="shared" si="8"/>
        <v>10392.654412165375</v>
      </c>
      <c r="J21" s="163">
        <f t="shared" si="8"/>
        <v>10392.654412165375</v>
      </c>
      <c r="K21" s="163">
        <f t="shared" si="8"/>
        <v>9612.4044121653751</v>
      </c>
      <c r="L21" s="163">
        <f t="shared" si="8"/>
        <v>6581.2034121653751</v>
      </c>
      <c r="M21" s="163">
        <f t="shared" si="8"/>
        <v>4891.4034121653749</v>
      </c>
      <c r="N21" s="161"/>
    </row>
    <row r="22" spans="1:14">
      <c r="A22" s="120" t="s">
        <v>162</v>
      </c>
      <c r="B22" s="202">
        <v>6.9696000000000008E-2</v>
      </c>
      <c r="F22" s="159"/>
      <c r="G22" s="159"/>
      <c r="H22" s="159"/>
      <c r="I22" s="159"/>
      <c r="J22" s="159"/>
      <c r="K22" s="163"/>
      <c r="L22" s="163"/>
      <c r="N22" s="137"/>
    </row>
    <row r="23" spans="1:14">
      <c r="A23" s="120" t="s">
        <v>164</v>
      </c>
      <c r="B23" s="156">
        <v>0.21</v>
      </c>
      <c r="F23" s="159"/>
      <c r="G23" s="159"/>
      <c r="H23" s="159"/>
      <c r="I23" s="159"/>
      <c r="J23" s="159"/>
      <c r="K23" s="163"/>
      <c r="L23" s="163"/>
      <c r="N23" s="137"/>
    </row>
    <row r="24" spans="1:14">
      <c r="A24" s="120" t="s">
        <v>191</v>
      </c>
      <c r="B24" s="202">
        <v>4.7600000000000003E-2</v>
      </c>
      <c r="E24" s="710" t="s">
        <v>174</v>
      </c>
      <c r="F24" s="711">
        <f>F15+F21</f>
        <v>3566.7498043382261</v>
      </c>
      <c r="G24" s="711">
        <f>G15+G21</f>
        <v>8252.9203265129181</v>
      </c>
      <c r="H24" s="711">
        <f t="shared" ref="H24:M24" si="9">H15+H21</f>
        <v>10451.35266225269</v>
      </c>
      <c r="I24" s="711">
        <f t="shared" si="9"/>
        <v>11888.09038563373</v>
      </c>
      <c r="J24" s="711">
        <f t="shared" si="9"/>
        <v>11554.145001208413</v>
      </c>
      <c r="K24" s="711">
        <f t="shared" si="9"/>
        <v>10222.050366150186</v>
      </c>
      <c r="L24" s="711">
        <f t="shared" si="9"/>
        <v>6807.1331417856281</v>
      </c>
      <c r="M24" s="711">
        <f t="shared" si="9"/>
        <v>4941.8668450767673</v>
      </c>
      <c r="N24" s="180"/>
    </row>
    <row r="25" spans="1:14">
      <c r="F25" s="159"/>
      <c r="G25" s="159"/>
      <c r="H25" s="159"/>
      <c r="I25" s="159"/>
      <c r="J25" s="159"/>
      <c r="K25" s="163"/>
      <c r="L25" s="163"/>
    </row>
    <row r="26" spans="1:14">
      <c r="A26" s="120">
        <v>2025</v>
      </c>
      <c r="F26" s="159">
        <v>558.21071614253583</v>
      </c>
      <c r="G26" s="159">
        <v>2754.2585638285673</v>
      </c>
      <c r="H26" s="159">
        <v>6984.8581933899059</v>
      </c>
      <c r="I26" s="159">
        <v>11899.14077200445</v>
      </c>
      <c r="J26" s="159"/>
      <c r="K26" s="163"/>
      <c r="L26" s="163"/>
    </row>
    <row r="27" spans="1:14">
      <c r="A27" s="120" t="s">
        <v>158</v>
      </c>
      <c r="B27" s="171">
        <f>'4C. Enablement and Grid Mod Bud'!S256/1000</f>
        <v>5720</v>
      </c>
      <c r="F27" s="159"/>
      <c r="G27" s="159"/>
      <c r="H27" s="159"/>
      <c r="I27" s="159"/>
      <c r="J27" s="159"/>
      <c r="K27" s="163"/>
      <c r="L27" s="163"/>
    </row>
    <row r="28" spans="1:14">
      <c r="A28" s="120" t="s">
        <v>160</v>
      </c>
      <c r="B28" s="156">
        <v>5</v>
      </c>
      <c r="F28" s="159">
        <f>F24+F26</f>
        <v>4124.9605204807622</v>
      </c>
      <c r="G28" s="159">
        <f t="shared" ref="G28:I28" si="10">G24+G26</f>
        <v>11007.178890341485</v>
      </c>
      <c r="H28" s="159">
        <f t="shared" si="10"/>
        <v>17436.210855642596</v>
      </c>
      <c r="I28" s="159">
        <f t="shared" si="10"/>
        <v>23787.23115763818</v>
      </c>
      <c r="J28" s="159"/>
      <c r="K28" s="163"/>
      <c r="L28" s="163"/>
    </row>
    <row r="29" spans="1:14">
      <c r="A29" s="120" t="s">
        <v>162</v>
      </c>
      <c r="B29" s="202">
        <v>6.9696000000000008E-2</v>
      </c>
    </row>
    <row r="30" spans="1:14">
      <c r="A30" s="120" t="s">
        <v>164</v>
      </c>
      <c r="B30" s="156">
        <v>0.21</v>
      </c>
      <c r="F30" s="159"/>
      <c r="G30" s="159"/>
      <c r="H30" s="159"/>
      <c r="I30" s="159"/>
      <c r="J30" s="159"/>
      <c r="K30" s="163"/>
      <c r="L30" s="163"/>
    </row>
    <row r="31" spans="1:14">
      <c r="A31" s="120" t="s">
        <v>191</v>
      </c>
      <c r="B31" s="202">
        <v>4.7600000000000003E-2</v>
      </c>
      <c r="E31" s="121"/>
      <c r="F31" s="159"/>
      <c r="G31" s="159"/>
      <c r="H31" s="159"/>
      <c r="I31" s="159"/>
      <c r="J31" s="159"/>
      <c r="K31" s="163"/>
      <c r="L31" s="163"/>
    </row>
    <row r="32" spans="1:14">
      <c r="F32" s="159"/>
      <c r="G32" s="204"/>
      <c r="H32" s="204"/>
      <c r="I32" s="204"/>
      <c r="J32" s="204"/>
      <c r="K32" s="205"/>
      <c r="L32" s="205"/>
    </row>
    <row r="33" spans="1:14">
      <c r="A33" s="120">
        <v>2026</v>
      </c>
      <c r="F33" s="159"/>
      <c r="G33" s="159"/>
      <c r="H33" s="159"/>
      <c r="I33" s="159"/>
      <c r="J33" s="159"/>
      <c r="K33" s="163"/>
      <c r="L33" s="163"/>
    </row>
    <row r="34" spans="1:14">
      <c r="A34" s="120" t="s">
        <v>158</v>
      </c>
      <c r="B34" s="171">
        <v>0</v>
      </c>
      <c r="F34" s="159"/>
      <c r="G34" s="159"/>
      <c r="H34" s="159"/>
      <c r="I34" s="159"/>
      <c r="J34" s="159"/>
      <c r="K34" s="163"/>
      <c r="L34" s="163"/>
    </row>
    <row r="35" spans="1:14">
      <c r="A35" s="120" t="s">
        <v>160</v>
      </c>
      <c r="B35" s="156">
        <v>5</v>
      </c>
      <c r="F35" s="159"/>
      <c r="G35" s="159"/>
      <c r="H35" s="159"/>
      <c r="I35" s="159"/>
      <c r="J35" s="159"/>
      <c r="K35" s="163"/>
      <c r="L35" s="163"/>
    </row>
    <row r="36" spans="1:14">
      <c r="A36" s="120" t="s">
        <v>162</v>
      </c>
      <c r="B36" s="202">
        <v>6.9696000000000008E-2</v>
      </c>
      <c r="E36" s="186" t="s">
        <v>175</v>
      </c>
      <c r="F36" s="189">
        <f>F7/B7</f>
        <v>780.25</v>
      </c>
      <c r="G36" s="188">
        <f>G7/B14</f>
        <v>3811.4509999999996</v>
      </c>
      <c r="H36" s="189">
        <f>H7/B21</f>
        <v>5501.2509999999993</v>
      </c>
      <c r="I36" s="188">
        <f>I7/B28</f>
        <v>6645.2509999999993</v>
      </c>
      <c r="J36" s="188">
        <f>J7/$B$35</f>
        <v>6645.2509999999993</v>
      </c>
      <c r="K36" s="188">
        <f>K7/$B$28</f>
        <v>5865.0009999999993</v>
      </c>
      <c r="L36" s="188">
        <f>L7/$B$28</f>
        <v>2833.7999999999997</v>
      </c>
      <c r="M36" s="160">
        <f>M7/$B$28</f>
        <v>1143.9999999999995</v>
      </c>
      <c r="N36" s="169"/>
    </row>
    <row r="37" spans="1:14">
      <c r="A37" s="120" t="s">
        <v>164</v>
      </c>
      <c r="B37" s="156">
        <v>0.21</v>
      </c>
      <c r="F37" s="169"/>
      <c r="G37" s="159">
        <f>F36</f>
        <v>780.25</v>
      </c>
      <c r="H37" s="159">
        <f t="shared" ref="H37:J38" si="11">G37</f>
        <v>780.25</v>
      </c>
      <c r="I37" s="159">
        <f t="shared" si="11"/>
        <v>780.25</v>
      </c>
      <c r="J37" s="159">
        <f t="shared" si="11"/>
        <v>780.25</v>
      </c>
      <c r="K37" s="163"/>
      <c r="L37" s="163"/>
    </row>
    <row r="38" spans="1:14">
      <c r="A38" s="120" t="s">
        <v>191</v>
      </c>
      <c r="B38" s="202">
        <v>4.7600000000000003E-2</v>
      </c>
      <c r="E38" s="121"/>
      <c r="F38" s="159"/>
      <c r="G38" s="169">
        <f>B13/5</f>
        <v>3031.201</v>
      </c>
      <c r="H38" s="159">
        <f t="shared" si="11"/>
        <v>3031.201</v>
      </c>
      <c r="I38" s="159">
        <f t="shared" si="11"/>
        <v>3031.201</v>
      </c>
      <c r="J38" s="159">
        <f t="shared" si="11"/>
        <v>3031.201</v>
      </c>
      <c r="K38" s="159">
        <f>J38</f>
        <v>3031.201</v>
      </c>
      <c r="L38" s="159"/>
    </row>
    <row r="39" spans="1:14">
      <c r="G39" s="204"/>
      <c r="H39" s="159">
        <f>B20/5</f>
        <v>1689.8</v>
      </c>
      <c r="I39" s="159">
        <f>H39</f>
        <v>1689.8</v>
      </c>
      <c r="J39" s="159">
        <f>I39</f>
        <v>1689.8</v>
      </c>
      <c r="K39" s="159">
        <f>J39</f>
        <v>1689.8</v>
      </c>
      <c r="L39" s="159">
        <f>K39</f>
        <v>1689.8</v>
      </c>
    </row>
    <row r="40" spans="1:14">
      <c r="G40" s="169"/>
      <c r="H40" s="169"/>
      <c r="I40" s="169">
        <f>B27/5</f>
        <v>1144</v>
      </c>
      <c r="J40" s="159">
        <f>I40</f>
        <v>1144</v>
      </c>
      <c r="K40" s="159">
        <f>J40</f>
        <v>1144</v>
      </c>
      <c r="L40" s="159">
        <f>K40</f>
        <v>1144</v>
      </c>
      <c r="M40" s="159">
        <f>L40</f>
        <v>1144</v>
      </c>
    </row>
    <row r="41" spans="1:14">
      <c r="G41" s="159"/>
      <c r="H41" s="159"/>
      <c r="I41" s="159"/>
      <c r="J41" s="159"/>
      <c r="K41" s="159"/>
      <c r="L41" s="159"/>
    </row>
    <row r="42" spans="1:14">
      <c r="G42" s="159"/>
      <c r="H42" s="159"/>
      <c r="I42" s="159"/>
      <c r="J42" s="159"/>
      <c r="K42" s="159"/>
      <c r="L42" s="159"/>
    </row>
    <row r="43" spans="1:14">
      <c r="E43" s="156"/>
      <c r="G43" s="159"/>
      <c r="H43" s="169"/>
      <c r="I43" s="159"/>
      <c r="J43" s="159"/>
      <c r="K43" s="159"/>
      <c r="L43" s="159"/>
    </row>
    <row r="44" spans="1:14">
      <c r="G44" s="159"/>
      <c r="H44" s="159"/>
      <c r="I44" s="159"/>
      <c r="J44" s="159"/>
      <c r="K44" s="159"/>
      <c r="L44" s="159"/>
    </row>
  </sheetData>
  <mergeCells count="1">
    <mergeCell ref="A1:C3"/>
  </mergeCells>
  <pageMargins left="0.7" right="0.7" top="0.75" bottom="0.75" header="0.3" footer="0.3"/>
  <pageSetup paperSize="119" orientation="landscape" horizontalDpi="1200" verticalDpi="1200" r:id="rId1"/>
  <headerFooter>
    <oddHeader>&amp;LAppendix E-2: Incremental Cost Calculation&amp;RClean Energy Implementation Plan</oddHeader>
    <oddFooter>&amp;LDECEMBER 17, 2021&amp;C&amp;P of &amp;N&amp;RPuget Sound Energy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tabSelected="1" workbookViewId="0">
      <selection activeCell="E17" sqref="E17"/>
    </sheetView>
  </sheetViews>
  <sheetFormatPr defaultColWidth="9.140625" defaultRowHeight="12.75"/>
  <cols>
    <col min="1" max="1" width="26.85546875" style="120" customWidth="1"/>
    <col min="2" max="2" width="20.140625" style="120" customWidth="1"/>
    <col min="3" max="3" width="7.5703125" style="120" customWidth="1"/>
    <col min="4" max="4" width="9.140625" style="120"/>
    <col min="5" max="5" width="29.85546875" style="120" customWidth="1"/>
    <col min="6" max="6" width="10.140625" style="120" bestFit="1" customWidth="1"/>
    <col min="7" max="7" width="11.140625" style="120" bestFit="1" customWidth="1"/>
    <col min="8" max="8" width="11.7109375" style="120" customWidth="1"/>
    <col min="9" max="10" width="11.7109375" style="120" bestFit="1" customWidth="1"/>
    <col min="11" max="12" width="11.7109375" style="156" bestFit="1" customWidth="1"/>
    <col min="13" max="13" width="10.140625" style="120" bestFit="1" customWidth="1"/>
    <col min="14" max="14" width="12.28515625" style="120" customWidth="1"/>
    <col min="15" max="16384" width="9.140625" style="120"/>
  </cols>
  <sheetData>
    <row r="1" spans="1:14" ht="14.45" customHeight="1">
      <c r="A1" s="802" t="s">
        <v>742</v>
      </c>
      <c r="B1" s="803"/>
      <c r="C1" s="804"/>
    </row>
    <row r="2" spans="1:14">
      <c r="A2" s="805"/>
      <c r="B2" s="806"/>
      <c r="C2" s="807"/>
    </row>
    <row r="3" spans="1:14" ht="13.5" thickBot="1">
      <c r="A3" s="808"/>
      <c r="B3" s="809"/>
      <c r="C3" s="810"/>
    </row>
    <row r="5" spans="1:14">
      <c r="A5" s="120">
        <v>2022</v>
      </c>
      <c r="F5" s="186">
        <v>2022</v>
      </c>
      <c r="G5" s="186">
        <v>2023</v>
      </c>
      <c r="H5" s="186">
        <v>2024</v>
      </c>
      <c r="I5" s="186">
        <v>2025</v>
      </c>
      <c r="J5" s="186">
        <v>2026</v>
      </c>
      <c r="K5" s="186">
        <v>2027</v>
      </c>
      <c r="L5" s="186">
        <v>2028</v>
      </c>
      <c r="M5" s="186">
        <v>2029</v>
      </c>
      <c r="N5" s="186">
        <v>2030</v>
      </c>
    </row>
    <row r="6" spans="1:14">
      <c r="A6" s="120" t="s">
        <v>158</v>
      </c>
      <c r="B6" s="171">
        <f>'4C. Enablement and Grid Mod Bud'!P302/1000</f>
        <v>4317.5</v>
      </c>
      <c r="E6" s="120" t="s">
        <v>159</v>
      </c>
      <c r="F6" s="169"/>
      <c r="G6" s="169"/>
      <c r="H6" s="169"/>
      <c r="I6" s="169"/>
      <c r="J6" s="169"/>
      <c r="K6" s="200"/>
      <c r="L6" s="200"/>
    </row>
    <row r="7" spans="1:14">
      <c r="A7" s="120" t="s">
        <v>160</v>
      </c>
      <c r="B7" s="156">
        <v>35</v>
      </c>
      <c r="E7" s="201" t="s">
        <v>161</v>
      </c>
      <c r="F7" s="159">
        <f>B6</f>
        <v>4317.5</v>
      </c>
      <c r="G7" s="159">
        <f>B6+B13</f>
        <v>32085</v>
      </c>
      <c r="H7" s="159">
        <f>B6+B13+B20</f>
        <v>70332.499999999738</v>
      </c>
      <c r="I7" s="159">
        <f>B6+B13+B20+B27</f>
        <v>116079.99999999948</v>
      </c>
      <c r="J7" s="159">
        <f>I7</f>
        <v>116079.99999999948</v>
      </c>
      <c r="K7" s="163">
        <f>J7</f>
        <v>116079.99999999948</v>
      </c>
      <c r="L7" s="163">
        <f>K7</f>
        <v>116079.99999999948</v>
      </c>
      <c r="M7" s="159">
        <f>L7</f>
        <v>116079.99999999948</v>
      </c>
      <c r="N7" s="159">
        <f>M7</f>
        <v>116079.99999999948</v>
      </c>
    </row>
    <row r="8" spans="1:14">
      <c r="A8" s="120" t="s">
        <v>162</v>
      </c>
      <c r="B8" s="202">
        <v>6.9696000000000008E-2</v>
      </c>
      <c r="E8" s="201" t="s">
        <v>163</v>
      </c>
      <c r="F8" s="160">
        <f>-F35</f>
        <v>-123.35714285714286</v>
      </c>
      <c r="G8" s="185">
        <f>-G35+F8</f>
        <v>-1040.0714285714284</v>
      </c>
      <c r="H8" s="160">
        <f t="shared" ref="H8:N8" si="0">-H35+G8</f>
        <v>-3049.5714285714212</v>
      </c>
      <c r="I8" s="160">
        <f t="shared" si="0"/>
        <v>-6366.1428571428351</v>
      </c>
      <c r="J8" s="160">
        <f t="shared" si="0"/>
        <v>-9682.714285714248</v>
      </c>
      <c r="K8" s="160">
        <f t="shared" si="0"/>
        <v>-12999.285714285661</v>
      </c>
      <c r="L8" s="160">
        <f t="shared" si="0"/>
        <v>-16315.857142857074</v>
      </c>
      <c r="M8" s="160">
        <f t="shared" si="0"/>
        <v>-19632.428571428489</v>
      </c>
      <c r="N8" s="160">
        <f t="shared" si="0"/>
        <v>-22948.999999999902</v>
      </c>
    </row>
    <row r="9" spans="1:14">
      <c r="A9" s="120" t="s">
        <v>164</v>
      </c>
      <c r="B9" s="156">
        <v>0.21</v>
      </c>
      <c r="E9" s="168" t="s">
        <v>166</v>
      </c>
      <c r="F9" s="159">
        <f>SUM(F7:F8)</f>
        <v>4194.1428571428569</v>
      </c>
      <c r="G9" s="159">
        <f>SUM(G7:G8)</f>
        <v>31044.928571428572</v>
      </c>
      <c r="H9" s="159">
        <f>SUM(H7:H8)</f>
        <v>67282.928571428318</v>
      </c>
      <c r="I9" s="159">
        <f t="shared" ref="I9:L9" si="1">SUM(I7:I8)</f>
        <v>109713.85714285664</v>
      </c>
      <c r="J9" s="159">
        <f t="shared" si="1"/>
        <v>106397.28571428523</v>
      </c>
      <c r="K9" s="159">
        <f t="shared" si="1"/>
        <v>103080.71428571381</v>
      </c>
      <c r="L9" s="159">
        <f t="shared" si="1"/>
        <v>99764.142857142404</v>
      </c>
      <c r="M9" s="159">
        <f>SUM(M7:M8)</f>
        <v>96447.571428570984</v>
      </c>
      <c r="N9" s="159">
        <f>SUM(N7:N8)</f>
        <v>93130.999999999578</v>
      </c>
    </row>
    <row r="10" spans="1:14">
      <c r="A10" s="120" t="s">
        <v>191</v>
      </c>
      <c r="B10" s="202">
        <v>4.7600000000000003E-2</v>
      </c>
      <c r="E10" s="201"/>
      <c r="F10" s="159"/>
      <c r="G10" s="159"/>
      <c r="H10" s="159"/>
      <c r="I10" s="159"/>
      <c r="J10" s="159"/>
      <c r="K10" s="163"/>
      <c r="L10" s="163"/>
    </row>
    <row r="11" spans="1:14">
      <c r="D11" s="140"/>
      <c r="E11" s="140" t="s">
        <v>167</v>
      </c>
      <c r="F11" s="159">
        <f>F9</f>
        <v>4194.1428571428569</v>
      </c>
      <c r="G11" s="159">
        <f t="shared" ref="G11:N11" si="2">AVERAGE(F9:G9)</f>
        <v>17619.535714285714</v>
      </c>
      <c r="H11" s="159">
        <f t="shared" si="2"/>
        <v>49163.928571428449</v>
      </c>
      <c r="I11" s="159">
        <f t="shared" si="2"/>
        <v>88498.392857142477</v>
      </c>
      <c r="J11" s="159">
        <f t="shared" si="2"/>
        <v>108055.57142857093</v>
      </c>
      <c r="K11" s="159">
        <f t="shared" si="2"/>
        <v>104738.99999999952</v>
      </c>
      <c r="L11" s="159">
        <f t="shared" si="2"/>
        <v>101422.42857142811</v>
      </c>
      <c r="M11" s="159">
        <f t="shared" si="2"/>
        <v>98105.857142856694</v>
      </c>
      <c r="N11" s="159">
        <f t="shared" si="2"/>
        <v>94789.285714285274</v>
      </c>
    </row>
    <row r="12" spans="1:14">
      <c r="A12" s="120">
        <v>2023</v>
      </c>
      <c r="D12" s="140"/>
      <c r="E12" s="140" t="s">
        <v>168</v>
      </c>
      <c r="F12" s="159">
        <f>F11*$B$8</f>
        <v>292.31498057142858</v>
      </c>
      <c r="G12" s="159">
        <f t="shared" ref="G12:M12" si="3">G11*$B$8</f>
        <v>1228.0111611428572</v>
      </c>
      <c r="H12" s="159">
        <f t="shared" si="3"/>
        <v>3426.5291657142775</v>
      </c>
      <c r="I12" s="159">
        <f t="shared" si="3"/>
        <v>6167.9839885714027</v>
      </c>
      <c r="J12" s="159">
        <f t="shared" si="3"/>
        <v>7531.0411062856801</v>
      </c>
      <c r="K12" s="159">
        <f t="shared" si="3"/>
        <v>7299.8893439999674</v>
      </c>
      <c r="L12" s="159">
        <f t="shared" si="3"/>
        <v>7068.7375817142547</v>
      </c>
      <c r="M12" s="159">
        <f t="shared" si="3"/>
        <v>6837.5858194285411</v>
      </c>
      <c r="N12" s="159">
        <f>N11*$B$8</f>
        <v>6606.4340571428274</v>
      </c>
    </row>
    <row r="13" spans="1:14">
      <c r="A13" s="120" t="s">
        <v>158</v>
      </c>
      <c r="B13" s="171">
        <f>'4C. Enablement and Grid Mod Bud'!Q302/1000</f>
        <v>27767.5</v>
      </c>
      <c r="E13" s="140" t="s">
        <v>169</v>
      </c>
      <c r="F13" s="159">
        <f>F12/(1-$B$9)-F12</f>
        <v>77.703982177215153</v>
      </c>
      <c r="G13" s="159">
        <f>G12/(1-$B$9)-G12</f>
        <v>326.43334663291125</v>
      </c>
      <c r="H13" s="159">
        <f>H12/(1-$B$9)-H12</f>
        <v>910.84952506328909</v>
      </c>
      <c r="I13" s="159">
        <f>I12/(1-$B$9)-I12</f>
        <v>1639.5906805063223</v>
      </c>
      <c r="J13" s="159">
        <f>J12/(1-$B$9)-J12</f>
        <v>2001.9223193923954</v>
      </c>
      <c r="K13" s="159">
        <f t="shared" ref="K13:N13" si="4">K12/(1-$B$9)-K12</f>
        <v>1940.4769142278392</v>
      </c>
      <c r="L13" s="159">
        <f t="shared" si="4"/>
        <v>1879.031509063283</v>
      </c>
      <c r="M13" s="169">
        <f>M12/(1-$B$9)-M12</f>
        <v>1817.5861038987259</v>
      </c>
      <c r="N13" s="159">
        <f t="shared" si="4"/>
        <v>1756.1406987341688</v>
      </c>
    </row>
    <row r="14" spans="1:14">
      <c r="A14" s="120" t="s">
        <v>160</v>
      </c>
      <c r="B14" s="156">
        <v>35</v>
      </c>
      <c r="E14" s="137" t="s">
        <v>170</v>
      </c>
      <c r="F14" s="163">
        <f>F12+F13</f>
        <v>370.01896274864373</v>
      </c>
      <c r="G14" s="163">
        <f>G12+G13</f>
        <v>1554.4445077757684</v>
      </c>
      <c r="H14" s="163">
        <f t="shared" ref="H14:J14" si="5">H12+H13</f>
        <v>4337.3786907775666</v>
      </c>
      <c r="I14" s="163">
        <f t="shared" si="5"/>
        <v>7807.574669077725</v>
      </c>
      <c r="J14" s="163">
        <f t="shared" si="5"/>
        <v>9532.9634256780755</v>
      </c>
      <c r="K14" s="163">
        <f t="shared" ref="K14:N14" si="6">K12+K13</f>
        <v>9240.3662582278066</v>
      </c>
      <c r="L14" s="163">
        <f t="shared" si="6"/>
        <v>8947.7690907775377</v>
      </c>
      <c r="M14" s="163">
        <f t="shared" si="6"/>
        <v>8655.171923327267</v>
      </c>
      <c r="N14" s="163">
        <f t="shared" si="6"/>
        <v>8362.5747558769963</v>
      </c>
    </row>
    <row r="15" spans="1:14">
      <c r="A15" s="120" t="s">
        <v>162</v>
      </c>
      <c r="B15" s="202">
        <v>6.9696000000000008E-2</v>
      </c>
      <c r="F15" s="159"/>
      <c r="G15" s="159"/>
      <c r="H15" s="159"/>
      <c r="I15" s="159"/>
      <c r="J15" s="159"/>
      <c r="K15" s="163"/>
      <c r="L15" s="163"/>
    </row>
    <row r="16" spans="1:14">
      <c r="A16" s="120" t="s">
        <v>164</v>
      </c>
      <c r="B16" s="156">
        <v>0.21</v>
      </c>
      <c r="E16" s="120" t="s">
        <v>171</v>
      </c>
      <c r="F16" s="159"/>
      <c r="G16" s="159"/>
      <c r="H16" s="159"/>
      <c r="I16" s="159"/>
      <c r="J16" s="159"/>
      <c r="K16" s="163"/>
      <c r="L16" s="163"/>
    </row>
    <row r="17" spans="1:14">
      <c r="A17" s="120" t="s">
        <v>191</v>
      </c>
      <c r="B17" s="202">
        <v>4.7600000000000003E-2</v>
      </c>
      <c r="E17" s="201" t="s">
        <v>172</v>
      </c>
      <c r="F17" s="159">
        <f t="shared" ref="F17:N17" si="7">F35</f>
        <v>123.35714285714286</v>
      </c>
      <c r="G17" s="159">
        <f t="shared" si="7"/>
        <v>916.71428571428567</v>
      </c>
      <c r="H17" s="159">
        <f t="shared" si="7"/>
        <v>2009.4999999999925</v>
      </c>
      <c r="I17" s="159">
        <f t="shared" si="7"/>
        <v>3316.5714285714134</v>
      </c>
      <c r="J17" s="159">
        <f t="shared" si="7"/>
        <v>3316.5714285714134</v>
      </c>
      <c r="K17" s="159">
        <f t="shared" si="7"/>
        <v>3316.5714285714134</v>
      </c>
      <c r="L17" s="159">
        <f t="shared" si="7"/>
        <v>3316.5714285714134</v>
      </c>
      <c r="M17" s="159">
        <f t="shared" si="7"/>
        <v>3316.5714285714134</v>
      </c>
      <c r="N17" s="159">
        <f t="shared" si="7"/>
        <v>3316.5714285714134</v>
      </c>
    </row>
    <row r="18" spans="1:14">
      <c r="B18" s="202"/>
      <c r="E18" s="201" t="s">
        <v>540</v>
      </c>
      <c r="F18" s="159">
        <f>'4C. Enablement and Grid Mod Bud'!P316/1000</f>
        <v>0</v>
      </c>
      <c r="G18" s="159">
        <f>'4C. Enablement and Grid Mod Bud'!Q316/1000</f>
        <v>0</v>
      </c>
      <c r="H18" s="159">
        <f>'4C. Enablement and Grid Mod Bud'!R316/1000</f>
        <v>0</v>
      </c>
      <c r="I18" s="159">
        <f>'4C. Enablement and Grid Mod Bud'!S316/1000</f>
        <v>0</v>
      </c>
      <c r="J18" s="159">
        <f>I18</f>
        <v>0</v>
      </c>
      <c r="K18" s="159">
        <f t="shared" ref="K18:N18" si="8">J18</f>
        <v>0</v>
      </c>
      <c r="L18" s="159">
        <f t="shared" si="8"/>
        <v>0</v>
      </c>
      <c r="M18" s="159">
        <f t="shared" si="8"/>
        <v>0</v>
      </c>
      <c r="N18" s="159">
        <f t="shared" si="8"/>
        <v>0</v>
      </c>
    </row>
    <row r="19" spans="1:14">
      <c r="A19" s="120">
        <v>2024</v>
      </c>
      <c r="E19" s="201" t="s">
        <v>192</v>
      </c>
      <c r="F19" s="169">
        <f>(F12/(1-$B$10))-F12</f>
        <v>14.609610536749244</v>
      </c>
      <c r="G19" s="169">
        <f t="shared" ref="G19:N19" si="9">(G12/(1-$B$10))-G12</f>
        <v>61.374770338513144</v>
      </c>
      <c r="H19" s="169">
        <f t="shared" si="9"/>
        <v>171.2545026123471</v>
      </c>
      <c r="I19" s="169">
        <f t="shared" si="9"/>
        <v>308.26967435531151</v>
      </c>
      <c r="J19" s="169">
        <f t="shared" si="9"/>
        <v>376.39390661402558</v>
      </c>
      <c r="K19" s="169">
        <f t="shared" si="9"/>
        <v>364.84117258966671</v>
      </c>
      <c r="L19" s="169">
        <f t="shared" si="9"/>
        <v>353.28843856530693</v>
      </c>
      <c r="M19" s="169">
        <f t="shared" si="9"/>
        <v>341.73570454094715</v>
      </c>
      <c r="N19" s="169">
        <f t="shared" si="9"/>
        <v>330.18297051658828</v>
      </c>
    </row>
    <row r="20" spans="1:14">
      <c r="A20" s="120" t="s">
        <v>158</v>
      </c>
      <c r="B20" s="171">
        <f>'4C. Enablement and Grid Mod Bud'!R302/1000</f>
        <v>38247.499999999745</v>
      </c>
      <c r="E20" s="709" t="s">
        <v>173</v>
      </c>
      <c r="F20" s="163">
        <f t="shared" ref="F20:N20" si="10">SUM(F17:F19)</f>
        <v>137.96675339389211</v>
      </c>
      <c r="G20" s="163">
        <f t="shared" si="10"/>
        <v>978.08905605279881</v>
      </c>
      <c r="H20" s="163">
        <f t="shared" si="10"/>
        <v>2180.7545026123398</v>
      </c>
      <c r="I20" s="163">
        <f t="shared" si="10"/>
        <v>3624.8411029267249</v>
      </c>
      <c r="J20" s="163">
        <f t="shared" si="10"/>
        <v>3692.965335185439</v>
      </c>
      <c r="K20" s="163">
        <f t="shared" si="10"/>
        <v>3681.4126011610801</v>
      </c>
      <c r="L20" s="163">
        <f t="shared" si="10"/>
        <v>3669.8598671367204</v>
      </c>
      <c r="M20" s="163">
        <f t="shared" si="10"/>
        <v>3658.3071331123606</v>
      </c>
      <c r="N20" s="163">
        <f t="shared" si="10"/>
        <v>3646.7543990880017</v>
      </c>
    </row>
    <row r="21" spans="1:14">
      <c r="A21" s="120" t="s">
        <v>160</v>
      </c>
      <c r="B21" s="156">
        <v>35</v>
      </c>
      <c r="F21" s="159"/>
      <c r="G21" s="159"/>
      <c r="H21" s="159"/>
      <c r="I21" s="159"/>
      <c r="J21" s="159"/>
      <c r="K21" s="163"/>
      <c r="L21" s="163"/>
    </row>
    <row r="22" spans="1:14">
      <c r="A22" s="120" t="s">
        <v>162</v>
      </c>
      <c r="B22" s="202">
        <v>6.9696000000000008E-2</v>
      </c>
      <c r="F22" s="159"/>
      <c r="G22" s="159"/>
      <c r="H22" s="159"/>
      <c r="I22" s="159"/>
      <c r="J22" s="159"/>
      <c r="K22" s="163"/>
      <c r="L22" s="163"/>
    </row>
    <row r="23" spans="1:14">
      <c r="A23" s="120" t="s">
        <v>164</v>
      </c>
      <c r="B23" s="156">
        <v>0.21</v>
      </c>
      <c r="E23" s="710" t="s">
        <v>174</v>
      </c>
      <c r="F23" s="711">
        <f>F14+F20</f>
        <v>507.98571614253581</v>
      </c>
      <c r="G23" s="711">
        <f t="shared" ref="G23:N23" si="11">G14+G20</f>
        <v>2532.5335638285674</v>
      </c>
      <c r="H23" s="711">
        <f t="shared" si="11"/>
        <v>6518.1331933899064</v>
      </c>
      <c r="I23" s="711">
        <f t="shared" si="11"/>
        <v>11432.41577200445</v>
      </c>
      <c r="J23" s="711">
        <f t="shared" si="11"/>
        <v>13225.928760863515</v>
      </c>
      <c r="K23" s="711">
        <f t="shared" si="11"/>
        <v>12921.778859388887</v>
      </c>
      <c r="L23" s="711">
        <f t="shared" si="11"/>
        <v>12617.628957914258</v>
      </c>
      <c r="M23" s="711">
        <f t="shared" si="11"/>
        <v>12313.479056439628</v>
      </c>
      <c r="N23" s="711">
        <f t="shared" si="11"/>
        <v>12009.329154964998</v>
      </c>
    </row>
    <row r="24" spans="1:14">
      <c r="A24" s="120" t="s">
        <v>191</v>
      </c>
      <c r="B24" s="202">
        <v>4.7600000000000003E-2</v>
      </c>
      <c r="F24" s="159"/>
      <c r="G24" s="159"/>
      <c r="H24" s="159"/>
      <c r="I24" s="159"/>
      <c r="J24" s="159"/>
      <c r="K24" s="163"/>
      <c r="L24" s="163"/>
    </row>
    <row r="25" spans="1:14">
      <c r="F25" s="159"/>
      <c r="G25" s="159"/>
      <c r="H25" s="159"/>
      <c r="I25" s="159"/>
      <c r="J25" s="159"/>
      <c r="K25" s="163"/>
      <c r="L25" s="163"/>
    </row>
    <row r="26" spans="1:14">
      <c r="A26" s="120">
        <v>2025</v>
      </c>
      <c r="F26" s="159"/>
      <c r="G26" s="159"/>
      <c r="H26" s="159"/>
      <c r="I26" s="159"/>
      <c r="J26" s="159"/>
      <c r="K26" s="163"/>
      <c r="L26" s="163"/>
    </row>
    <row r="27" spans="1:14">
      <c r="A27" s="120" t="s">
        <v>158</v>
      </c>
      <c r="B27" s="171">
        <f>'4C. Enablement and Grid Mod Bud'!S302/1000</f>
        <v>45747.499999999745</v>
      </c>
      <c r="F27" s="159"/>
      <c r="G27" s="159"/>
      <c r="H27" s="159"/>
      <c r="I27" s="159"/>
      <c r="J27" s="159"/>
      <c r="K27" s="163"/>
      <c r="L27" s="163"/>
    </row>
    <row r="28" spans="1:14">
      <c r="A28" s="120" t="s">
        <v>160</v>
      </c>
      <c r="B28" s="156">
        <v>35</v>
      </c>
    </row>
    <row r="29" spans="1:14">
      <c r="A29" s="120" t="s">
        <v>162</v>
      </c>
      <c r="B29" s="202">
        <v>6.9696000000000008E-2</v>
      </c>
      <c r="F29" s="159"/>
      <c r="G29" s="159"/>
      <c r="H29" s="159"/>
      <c r="I29" s="159"/>
      <c r="J29" s="159"/>
      <c r="K29" s="163"/>
      <c r="L29" s="163"/>
    </row>
    <row r="30" spans="1:14">
      <c r="A30" s="120" t="s">
        <v>164</v>
      </c>
      <c r="B30" s="156">
        <v>0.21</v>
      </c>
      <c r="E30" s="121"/>
      <c r="F30" s="159"/>
      <c r="G30" s="159"/>
      <c r="H30" s="159"/>
      <c r="I30" s="159"/>
      <c r="J30" s="159"/>
      <c r="K30" s="163"/>
      <c r="L30" s="163"/>
    </row>
    <row r="31" spans="1:14">
      <c r="A31" s="120" t="s">
        <v>191</v>
      </c>
      <c r="B31" s="202">
        <v>4.7600000000000003E-2</v>
      </c>
      <c r="F31" s="159"/>
      <c r="G31" s="204"/>
      <c r="H31" s="204"/>
      <c r="I31" s="204"/>
      <c r="J31" s="204"/>
      <c r="K31" s="205"/>
      <c r="L31" s="205"/>
    </row>
    <row r="32" spans="1:14">
      <c r="F32" s="159"/>
      <c r="G32" s="159"/>
      <c r="H32" s="159"/>
      <c r="I32" s="159"/>
      <c r="J32" s="159"/>
      <c r="K32" s="163"/>
      <c r="L32" s="163"/>
    </row>
    <row r="33" spans="1:14">
      <c r="A33" s="120">
        <v>2026</v>
      </c>
      <c r="F33" s="159"/>
      <c r="G33" s="159"/>
      <c r="H33" s="159"/>
      <c r="I33" s="159"/>
      <c r="J33" s="159"/>
      <c r="K33" s="163"/>
      <c r="L33" s="163"/>
    </row>
    <row r="34" spans="1:14">
      <c r="A34" s="120" t="s">
        <v>158</v>
      </c>
      <c r="B34" s="171">
        <v>0</v>
      </c>
      <c r="F34" s="159"/>
      <c r="G34" s="159"/>
      <c r="H34" s="159"/>
      <c r="I34" s="159"/>
      <c r="J34" s="159"/>
      <c r="K34" s="163"/>
      <c r="L34" s="163"/>
    </row>
    <row r="35" spans="1:14">
      <c r="A35" s="120" t="s">
        <v>160</v>
      </c>
      <c r="B35" s="156">
        <v>35</v>
      </c>
      <c r="E35" s="186" t="s">
        <v>175</v>
      </c>
      <c r="F35" s="160">
        <f t="shared" ref="F35:N35" si="12">F7/35</f>
        <v>123.35714285714286</v>
      </c>
      <c r="G35" s="160">
        <f t="shared" si="12"/>
        <v>916.71428571428567</v>
      </c>
      <c r="H35" s="185">
        <f>H7/35</f>
        <v>2009.4999999999925</v>
      </c>
      <c r="I35" s="160">
        <f t="shared" si="12"/>
        <v>3316.5714285714134</v>
      </c>
      <c r="J35" s="160">
        <f t="shared" si="12"/>
        <v>3316.5714285714134</v>
      </c>
      <c r="K35" s="160">
        <f t="shared" si="12"/>
        <v>3316.5714285714134</v>
      </c>
      <c r="L35" s="160">
        <f t="shared" si="12"/>
        <v>3316.5714285714134</v>
      </c>
      <c r="M35" s="160">
        <f t="shared" si="12"/>
        <v>3316.5714285714134</v>
      </c>
      <c r="N35" s="160">
        <f t="shared" si="12"/>
        <v>3316.5714285714134</v>
      </c>
    </row>
    <row r="36" spans="1:14">
      <c r="A36" s="120" t="s">
        <v>162</v>
      </c>
      <c r="B36" s="202">
        <v>6.9696000000000008E-2</v>
      </c>
      <c r="F36" s="159"/>
      <c r="G36" s="159">
        <f>F35</f>
        <v>123.35714285714286</v>
      </c>
      <c r="H36" s="159">
        <f>G36</f>
        <v>123.35714285714286</v>
      </c>
      <c r="I36" s="159">
        <f t="shared" ref="I36:N36" si="13">H36</f>
        <v>123.35714285714286</v>
      </c>
      <c r="J36" s="159">
        <f t="shared" si="13"/>
        <v>123.35714285714286</v>
      </c>
      <c r="K36" s="159">
        <f t="shared" si="13"/>
        <v>123.35714285714286</v>
      </c>
      <c r="L36" s="159">
        <f t="shared" si="13"/>
        <v>123.35714285714286</v>
      </c>
      <c r="M36" s="159">
        <f t="shared" si="13"/>
        <v>123.35714285714286</v>
      </c>
      <c r="N36" s="159">
        <f t="shared" si="13"/>
        <v>123.35714285714286</v>
      </c>
    </row>
    <row r="37" spans="1:14">
      <c r="A37" s="120" t="s">
        <v>164</v>
      </c>
      <c r="B37" s="156">
        <v>0.21</v>
      </c>
      <c r="G37" s="169">
        <f>$B$13/35</f>
        <v>793.35714285714289</v>
      </c>
      <c r="H37" s="159">
        <f t="shared" ref="H37:N37" si="14">$B$13/35</f>
        <v>793.35714285714289</v>
      </c>
      <c r="I37" s="159">
        <f t="shared" si="14"/>
        <v>793.35714285714289</v>
      </c>
      <c r="J37" s="159">
        <f t="shared" si="14"/>
        <v>793.35714285714289</v>
      </c>
      <c r="K37" s="159">
        <f t="shared" si="14"/>
        <v>793.35714285714289</v>
      </c>
      <c r="L37" s="159">
        <f t="shared" si="14"/>
        <v>793.35714285714289</v>
      </c>
      <c r="M37" s="159">
        <f t="shared" si="14"/>
        <v>793.35714285714289</v>
      </c>
      <c r="N37" s="159">
        <f t="shared" si="14"/>
        <v>793.35714285714289</v>
      </c>
    </row>
    <row r="38" spans="1:14">
      <c r="A38" s="120" t="s">
        <v>191</v>
      </c>
      <c r="B38" s="202">
        <v>4.7600000000000003E-2</v>
      </c>
      <c r="H38" s="159">
        <f>$B$20/35</f>
        <v>1092.7857142857069</v>
      </c>
      <c r="I38" s="159">
        <f t="shared" ref="I38:N38" si="15">$B$20/35</f>
        <v>1092.7857142857069</v>
      </c>
      <c r="J38" s="159">
        <f t="shared" si="15"/>
        <v>1092.7857142857069</v>
      </c>
      <c r="K38" s="159">
        <f t="shared" si="15"/>
        <v>1092.7857142857069</v>
      </c>
      <c r="L38" s="159">
        <f t="shared" si="15"/>
        <v>1092.7857142857069</v>
      </c>
      <c r="M38" s="159">
        <f t="shared" si="15"/>
        <v>1092.7857142857069</v>
      </c>
      <c r="N38" s="159">
        <f t="shared" si="15"/>
        <v>1092.7857142857069</v>
      </c>
    </row>
    <row r="39" spans="1:14">
      <c r="I39" s="159">
        <f>$B$27/35</f>
        <v>1307.0714285714214</v>
      </c>
      <c r="J39" s="159">
        <f t="shared" ref="J39:N39" si="16">$B$27/35</f>
        <v>1307.0714285714214</v>
      </c>
      <c r="K39" s="159">
        <f t="shared" si="16"/>
        <v>1307.0714285714214</v>
      </c>
      <c r="L39" s="159">
        <f t="shared" si="16"/>
        <v>1307.0714285714214</v>
      </c>
      <c r="M39" s="159">
        <f t="shared" si="16"/>
        <v>1307.0714285714214</v>
      </c>
      <c r="N39" s="159">
        <f t="shared" si="16"/>
        <v>1307.0714285714214</v>
      </c>
    </row>
    <row r="44" spans="1:14">
      <c r="E44" s="655"/>
    </row>
  </sheetData>
  <mergeCells count="1">
    <mergeCell ref="A1:C3"/>
  </mergeCells>
  <pageMargins left="0.7" right="0.7" top="0.75" bottom="0.75" header="0.3" footer="0.3"/>
  <pageSetup paperSize="119" orientation="landscape" horizontalDpi="1200" verticalDpi="1200" r:id="rId1"/>
  <headerFooter>
    <oddHeader>&amp;LAppendix E-2: Incremental Cost Calculation&amp;RClean Energy Implementation Plan</oddHeader>
    <oddFooter>&amp;LDECEMBER 17, 2021&amp;C&amp;P of &amp;N&amp;RPuget Sound Energy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Pending</CaseStatus>
    <OpenedDate xmlns="dc463f71-b30c-4ab2-9473-d307f9d35888">2022-01-31T08:00:00+00:00</OpenedDate>
    <SignificantOrder xmlns="dc463f71-b30c-4ab2-9473-d307f9d35888">false</SignificantOrder>
    <Date1 xmlns="dc463f71-b30c-4ab2-9473-d307f9d35888">2022-02-08T08:00:00+00:00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220067</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A13103CC83E304DA9459821977AC531" ma:contentTypeVersion="28" ma:contentTypeDescription="" ma:contentTypeScope="" ma:versionID="13f1042e22e1f20bd41edcd55394b61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1644ED-4BF8-400D-BAB8-7DB5BCF5BE8A}"/>
</file>

<file path=customXml/itemProps2.xml><?xml version="1.0" encoding="utf-8"?>
<ds:datastoreItem xmlns:ds="http://schemas.openxmlformats.org/officeDocument/2006/customXml" ds:itemID="{711198EB-88CE-4B9B-90EA-B37E0F743BBC}"/>
</file>

<file path=customXml/itemProps3.xml><?xml version="1.0" encoding="utf-8"?>
<ds:datastoreItem xmlns:ds="http://schemas.openxmlformats.org/officeDocument/2006/customXml" ds:itemID="{4C19FB92-1C0D-44C8-BD9B-D44CCCC1BC29}"/>
</file>

<file path=customXml/itemProps4.xml><?xml version="1.0" encoding="utf-8"?>
<ds:datastoreItem xmlns:ds="http://schemas.openxmlformats.org/officeDocument/2006/customXml" ds:itemID="{88BDAE2A-DB39-43EA-BFA4-9CBC41D5BF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10</vt:i4>
      </vt:variant>
    </vt:vector>
  </HeadingPairs>
  <TitlesOfParts>
    <vt:vector size="35" baseType="lpstr">
      <vt:lpstr>Outline and Notes</vt:lpstr>
      <vt:lpstr>1. Energy Efficiency</vt:lpstr>
      <vt:lpstr>2. Demand Response</vt:lpstr>
      <vt:lpstr>3. Resource Incremental Cost</vt:lpstr>
      <vt:lpstr>Incremental Cost Sum - test v2</vt:lpstr>
      <vt:lpstr>DER Resources</vt:lpstr>
      <vt:lpstr>Supporting - Grid Mod</vt:lpstr>
      <vt:lpstr>4A. Supp-DER Enab RR</vt:lpstr>
      <vt:lpstr>4B. Supp - GridMod RR</vt:lpstr>
      <vt:lpstr>Supporting - DERs</vt:lpstr>
      <vt:lpstr>Supporting - Education</vt:lpstr>
      <vt:lpstr>Supporting Administration</vt:lpstr>
      <vt:lpstr>4C. Enablement and Grid Mod Bud</vt:lpstr>
      <vt:lpstr>5. Comm and Education Costs</vt:lpstr>
      <vt:lpstr>6. Admin</vt:lpstr>
      <vt:lpstr>7. Incremental Cost</vt:lpstr>
      <vt:lpstr>8. 2020 CBR</vt:lpstr>
      <vt:lpstr>9. Bill Impact Estimate</vt:lpstr>
      <vt:lpstr>Chart and Display -&gt;</vt:lpstr>
      <vt:lpstr>Inc Cost Sum for Display</vt:lpstr>
      <vt:lpstr>2% Inc Cost Sum Charts</vt:lpstr>
      <vt:lpstr>IRP No-CETA Costs</vt:lpstr>
      <vt:lpstr>CEIP With-CETA Costs</vt:lpstr>
      <vt:lpstr>IRP No-CETA Energy</vt:lpstr>
      <vt:lpstr>CEIP With-CETA Energy</vt:lpstr>
      <vt:lpstr>BD</vt:lpstr>
      <vt:lpstr>DOCKET</vt:lpstr>
      <vt:lpstr>FF</vt:lpstr>
      <vt:lpstr>FIT</vt:lpstr>
      <vt:lpstr>'4C. Enablement and Grid Mod Bud'!Print_Area</vt:lpstr>
      <vt:lpstr>'7. Incremental Cost'!Print_Area</vt:lpstr>
      <vt:lpstr>PSPL</vt:lpstr>
      <vt:lpstr>TESTYEAR</vt:lpstr>
      <vt:lpstr>UTG</vt:lpstr>
      <vt:lpstr>UTN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2021-12-17T19:17:51Z</dcterms:created>
  <dcterms:modified xsi:type="dcterms:W3CDTF">2021-12-17T19:18:01Z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0x0101006E56B4D1795A2E4DB2F0B01679ED314A003A13103CC83E304DA9459821977AC531</vt:lpwstr>
  </property>
  <property fmtid="{D5CDD505-2E9C-101B-9397-08002B2CF9AE}" pid="3" name="_docset_NoMedatataSyncRequired">
    <vt:lpwstr>False</vt:lpwstr>
  </property>
  <property fmtid="{D5CDD505-2E9C-101B-9397-08002B2CF9AE}" pid="4" name="IsEFSEC">
    <vt:bool>false</vt:bool>
  </property>
</Properties>
</file>