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2840" windowHeight="11640" tabRatio="762" activeTab="1"/>
  </bookViews>
  <sheets>
    <sheet name="Ex7,p1" sheetId="1" r:id="rId1"/>
    <sheet name="Ex7,p2" sheetId="2" r:id="rId2"/>
    <sheet name="Ex7,p3" sheetId="3" r:id="rId3"/>
    <sheet name="Ex7,p4" sheetId="4" r:id="rId4"/>
    <sheet name="Ex7,p5" sheetId="5" r:id="rId5"/>
  </sheets>
  <definedNames>
    <definedName name="_xlnm.Print_Area" localSheetId="0">'Ex7,p1'!$A$1:$H$46</definedName>
    <definedName name="_xlnm.Print_Area" localSheetId="1">'Ex7,p2'!$B$1:$Q$50</definedName>
    <definedName name="_xlnm.Print_Area" localSheetId="3">'Ex7,p4'!$A$1:$I$57</definedName>
    <definedName name="_xlnm.Print_Area" localSheetId="4">'Ex7,p5'!$A$1:$H$40</definedName>
  </definedNames>
  <calcPr fullCalcOnLoad="1"/>
</workbook>
</file>

<file path=xl/sharedStrings.xml><?xml version="1.0" encoding="utf-8"?>
<sst xmlns="http://schemas.openxmlformats.org/spreadsheetml/2006/main" count="220" uniqueCount="119">
  <si>
    <t>COST RATE</t>
  </si>
  <si>
    <t>PERCENT</t>
  </si>
  <si>
    <t>* Including current maturities.</t>
  </si>
  <si>
    <t>Type of Capital</t>
  </si>
  <si>
    <t>Common Equity</t>
  </si>
  <si>
    <t>Long-term Debt</t>
  </si>
  <si>
    <t>TOTAL CAPITAL</t>
  </si>
  <si>
    <t>AVERAGE</t>
  </si>
  <si>
    <t>EQUITY</t>
  </si>
  <si>
    <t>RATIO</t>
  </si>
  <si>
    <t>RATEMAKNG CAPITAL STRUCTURE</t>
  </si>
  <si>
    <t>WT. AVG.</t>
  </si>
  <si>
    <t>-</t>
  </si>
  <si>
    <t>Short-term Debt</t>
  </si>
  <si>
    <t>TOTAL</t>
  </si>
  <si>
    <t>Average</t>
  </si>
  <si>
    <t>COST RATE*</t>
  </si>
  <si>
    <t>AMOUNT (000)</t>
  </si>
  <si>
    <t>COMBINATION GAS &amp;</t>
  </si>
  <si>
    <t>ELECTRIC COMPANIES</t>
  </si>
  <si>
    <t>All data from Company response to PC-02.</t>
  </si>
  <si>
    <t>AMOUNT ($000)</t>
  </si>
  <si>
    <t>HISTORICAL CAPITAL STRUCTURE</t>
  </si>
  <si>
    <t>AES Corporation (NYSE-AES)</t>
  </si>
  <si>
    <t xml:space="preserve">All data from S.E.C. Forms </t>
  </si>
  <si>
    <t>Alliant  Energy Corporation (NYSE-LNT)</t>
  </si>
  <si>
    <t>Ameren Corporation (NYSE-AEE)</t>
  </si>
  <si>
    <t>Aquila Inc. (NYSE-ILA)</t>
  </si>
  <si>
    <t>Avista Corporation (NYSE-AVA)</t>
  </si>
  <si>
    <t>Black Hills Corporation (NYSE-BKH)</t>
  </si>
  <si>
    <t>CenterPoint Energy (NYSE-CNP)</t>
  </si>
  <si>
    <t>CH Energy Group, Inc. (NYSE-CHG)</t>
  </si>
  <si>
    <t>CMS Energy Corporation (NYSE-CMS)</t>
  </si>
  <si>
    <t>Consolidated Edison, Inc. (NYSE-ED)</t>
  </si>
  <si>
    <t>Constellation Energy Group, Inc. (NYSE-CEG)</t>
  </si>
  <si>
    <t>Dominion Resources, Inc. (NYSE-D)</t>
  </si>
  <si>
    <t>DTE Energy Company (NYSE-DTE)</t>
  </si>
  <si>
    <t>Duke Energy Corporation (NYSE-DUK)</t>
  </si>
  <si>
    <t>Empire District Electric Co. (NYSE-EDE)</t>
  </si>
  <si>
    <t>Energy East Corporation (NYSE-EAS)</t>
  </si>
  <si>
    <t>Entergy Corporation (NYSE-ETR)</t>
  </si>
  <si>
    <t>Exelon Corporation (NYSE-EXC)</t>
  </si>
  <si>
    <t>Florida Public Utilities Company (ASE-FPU)</t>
  </si>
  <si>
    <t>Integrys Energy Group (NYSE-TEG)</t>
  </si>
  <si>
    <t>MDU Resources Group, Inc. (NYSE-MDU)</t>
  </si>
  <si>
    <t>MGE Energy, Inc. (NDQ-MGEE)</t>
  </si>
  <si>
    <t>NiSource Inc. (NYSE-NI)</t>
  </si>
  <si>
    <t>Northeast Utilities (NYSE-NU)</t>
  </si>
  <si>
    <t>Northwestern Corporation (NYSE-NWEC)</t>
  </si>
  <si>
    <t>NSTAR (NYSE-NST)</t>
  </si>
  <si>
    <t>Pepco Holdings, Inc. (NYSE-POM)</t>
  </si>
  <si>
    <t>PG&amp;E Corporation (NYSE-PCG)</t>
  </si>
  <si>
    <t>PNM Resources, Inc. (NYSE-PNM)</t>
  </si>
  <si>
    <t>PPL Corporation (NYSE-PPL)</t>
  </si>
  <si>
    <t>Public Service Enterprise Group (NYSE-PEG)</t>
  </si>
  <si>
    <t>Puget Energy, Inc. (NYSE-PSD)</t>
  </si>
  <si>
    <t>SCANA Corporation (NYSE-SCG)</t>
  </si>
  <si>
    <t>SEMPRA Energy (NYSE-SRE)</t>
  </si>
  <si>
    <t>Page 4 of 5</t>
  </si>
  <si>
    <t>† Data from Exhibit__(DEG-5C).</t>
  </si>
  <si>
    <t>*Cost rate data from Company filing.</t>
  </si>
  <si>
    <t>ADJUSTED FOR JR. SUBORDINATED NOTES 50% EQUITY CREDIT</t>
  </si>
  <si>
    <t>Common Equity + 50% x $250 Mill.</t>
  </si>
  <si>
    <t>Long-term Debt - 50% x $250 Mill.</t>
  </si>
  <si>
    <t>Page 5 of 5</t>
  </si>
  <si>
    <t>Page 1 of 5</t>
  </si>
  <si>
    <t>Page 2 of 5</t>
  </si>
  <si>
    <t>Sierra Pacific Resources (NYSE-SRP)</t>
  </si>
  <si>
    <t>TECO Energy, Inc. (NYSE-TE)</t>
  </si>
  <si>
    <t>UniSource Energy Corporation (NYSE-UNS)</t>
  </si>
  <si>
    <t>Unitil Corporation (ASE-UTL)</t>
  </si>
  <si>
    <t>Vectren Corporation (NYSE-VVC)</t>
  </si>
  <si>
    <t>Wisconsin Energy Corporation (NYSE-WEC)</t>
  </si>
  <si>
    <t>Xcel Energy Inc. (NYSE-XEL)</t>
  </si>
  <si>
    <t>Data from AUS Utility Reports, March 2008.</t>
  </si>
  <si>
    <t>BBB</t>
  </si>
  <si>
    <t>Baa1</t>
  </si>
  <si>
    <t>A-</t>
  </si>
  <si>
    <t>A2</t>
  </si>
  <si>
    <t>Baa2</t>
  </si>
  <si>
    <t>B+</t>
  </si>
  <si>
    <t>Ba3</t>
  </si>
  <si>
    <t>BBB+</t>
  </si>
  <si>
    <t>Baa3</t>
  </si>
  <si>
    <t>A</t>
  </si>
  <si>
    <t>A1</t>
  </si>
  <si>
    <t>A3</t>
  </si>
  <si>
    <t>NR</t>
  </si>
  <si>
    <t>Aaa</t>
  </si>
  <si>
    <t>AA-</t>
  </si>
  <si>
    <t>Aa2</t>
  </si>
  <si>
    <t>A+</t>
  </si>
  <si>
    <t>BB+</t>
  </si>
  <si>
    <t>BBB-</t>
  </si>
  <si>
    <t>Aa3</t>
  </si>
  <si>
    <t>S&amp;P</t>
  </si>
  <si>
    <t>Bond Rating</t>
  </si>
  <si>
    <t>Moody's</t>
  </si>
  <si>
    <t>DECEMBER 2004 THROUGH DECEMBER 2007</t>
  </si>
  <si>
    <t>RECENT HISTORICAL CAPITAL STRUCTURE</t>
  </si>
  <si>
    <t>5 Quarter</t>
  </si>
  <si>
    <t>PERCENTAGE</t>
  </si>
  <si>
    <t>BBB-rated Average</t>
  </si>
  <si>
    <t>Preferred Stock</t>
  </si>
  <si>
    <t>Long-term Debt*</t>
  </si>
  <si>
    <t>Common Equity†</t>
  </si>
  <si>
    <t>12/06-12/08</t>
  </si>
  <si>
    <t>3/05-3/06</t>
  </si>
  <si>
    <t>COMBINATION GAS-ELECTRIC UTILITY EQUITY RATIOS</t>
  </si>
  <si>
    <t>AMOUNT</t>
  </si>
  <si>
    <t>ADJUSTED</t>
  </si>
  <si>
    <t>AMOUNT†</t>
  </si>
  <si>
    <t>OF TOTAL</t>
  </si>
  <si>
    <t>Trust Preferred</t>
  </si>
  <si>
    <t>Trust Perferred</t>
  </si>
  <si>
    <t>PUGET SOUND ENERGY, INC.</t>
  </si>
  <si>
    <t>Docket Nos. UE-072300 and UG-072301</t>
  </si>
  <si>
    <t>Exhibit No. ____ (SGH-7)</t>
  </si>
  <si>
    <t>Exhibit No. ___(SGH-7)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</si>
</sst>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&quot;$&quot;#,##0.00"/>
    <numFmt numFmtId="167" formatCode="0.000000000%"/>
    <numFmt numFmtId="168" formatCode="0.00000000%"/>
    <numFmt numFmtId="169" formatCode="0.00000000000000000%"/>
    <numFmt numFmtId="170" formatCode="0.0000000000000000%"/>
    <numFmt numFmtId="171" formatCode="0.00000%"/>
    <numFmt numFmtId="172" formatCode="0.0%"/>
    <numFmt numFmtId="173" formatCode="0.00000000000000%"/>
    <numFmt numFmtId="174" formatCode="0.000000000000000%"/>
    <numFmt numFmtId="175" formatCode="&quot;$&quot;#,##0.0"/>
    <numFmt numFmtId="176" formatCode="0.0000000%"/>
    <numFmt numFmtId="177" formatCode="0.0000%"/>
    <numFmt numFmtId="178" formatCode="mmmm\-yy"/>
    <numFmt numFmtId="179" formatCode="0.000000000000000000%"/>
    <numFmt numFmtId="180" formatCode="&quot;$&quot;#,##0.000"/>
    <numFmt numFmtId="181" formatCode="m/d"/>
    <numFmt numFmtId="182" formatCode="mmmm\ d\,\ yyyy"/>
    <numFmt numFmtId="183" formatCode="0.000000%"/>
    <numFmt numFmtId="184" formatCode="0.00000000000%"/>
  </numFmts>
  <fonts count="5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u val="single"/>
      <sz val="10"/>
      <name val="Helv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u val="singleAccounting"/>
      <sz val="10"/>
      <name val="Helv"/>
      <family val="0"/>
    </font>
    <font>
      <sz val="9.75"/>
      <color indexed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>
      <alignment/>
    </xf>
    <xf numFmtId="9" fontId="7" fillId="0" borderId="0" xfId="59" applyFont="1" applyAlignment="1">
      <alignment horizontal="center"/>
    </xf>
    <xf numFmtId="9" fontId="7" fillId="0" borderId="0" xfId="59" applyFont="1" applyAlignment="1">
      <alignment horizontal="right"/>
    </xf>
    <xf numFmtId="0" fontId="8" fillId="0" borderId="0" xfId="0" applyFont="1" applyAlignment="1">
      <alignment/>
    </xf>
    <xf numFmtId="9" fontId="8" fillId="0" borderId="0" xfId="59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9" fontId="11" fillId="0" borderId="0" xfId="59" applyFont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 quotePrefix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1" fontId="12" fillId="0" borderId="0" xfId="59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1" fontId="11" fillId="0" borderId="0" xfId="0" applyNumberFormat="1" applyFont="1" applyFill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" fontId="12" fillId="0" borderId="0" xfId="0" applyNumberFormat="1" applyFont="1" applyAlignment="1" quotePrefix="1">
      <alignment horizontal="center"/>
    </xf>
    <xf numFmtId="0" fontId="11" fillId="0" borderId="0" xfId="0" applyFont="1" applyBorder="1" applyAlignment="1">
      <alignment/>
    </xf>
    <xf numFmtId="17" fontId="11" fillId="0" borderId="0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2" fontId="7" fillId="0" borderId="0" xfId="0" applyNumberFormat="1" applyFont="1" applyFill="1" applyBorder="1" applyAlignment="1">
      <alignment/>
    </xf>
    <xf numFmtId="42" fontId="7" fillId="0" borderId="0" xfId="0" applyNumberFormat="1" applyFont="1" applyFill="1" applyBorder="1" applyAlignment="1">
      <alignment horizontal="right"/>
    </xf>
    <xf numFmtId="42" fontId="10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42" fontId="11" fillId="0" borderId="0" xfId="0" applyNumberFormat="1" applyFont="1" applyFill="1" applyBorder="1" applyAlignment="1">
      <alignment horizontal="right"/>
    </xf>
    <xf numFmtId="42" fontId="11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10" fontId="1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10" fontId="12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7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0" fontId="7" fillId="0" borderId="0" xfId="0" applyNumberFormat="1" applyFont="1" applyFill="1" applyBorder="1" applyAlignment="1">
      <alignment horizontal="right"/>
    </xf>
    <xf numFmtId="10" fontId="13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/>
    </xf>
    <xf numFmtId="10" fontId="13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5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7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/>
    </xf>
    <xf numFmtId="41" fontId="11" fillId="0" borderId="0" xfId="0" applyNumberFormat="1" applyFont="1" applyAlignment="1">
      <alignment horizontal="right"/>
    </xf>
    <xf numFmtId="41" fontId="11" fillId="0" borderId="0" xfId="0" applyNumberFormat="1" applyFont="1" applyAlignment="1">
      <alignment/>
    </xf>
    <xf numFmtId="41" fontId="14" fillId="0" borderId="0" xfId="0" applyNumberFormat="1" applyFont="1" applyAlignment="1">
      <alignment/>
    </xf>
    <xf numFmtId="42" fontId="12" fillId="0" borderId="0" xfId="0" applyNumberFormat="1" applyFont="1" applyAlignment="1">
      <alignment horizontal="right"/>
    </xf>
    <xf numFmtId="42" fontId="13" fillId="0" borderId="0" xfId="0" applyNumberFormat="1" applyFont="1" applyAlignment="1">
      <alignment horizontal="right"/>
    </xf>
    <xf numFmtId="42" fontId="12" fillId="0" borderId="0" xfId="0" applyNumberFormat="1" applyFont="1" applyFill="1" applyBorder="1" applyAlignment="1">
      <alignment horizontal="right"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10" fontId="10" fillId="0" borderId="0" xfId="0" applyNumberFormat="1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Alignment="1">
      <alignment horizontal="center"/>
    </xf>
    <xf numFmtId="9" fontId="12" fillId="0" borderId="0" xfId="59" applyFont="1" applyAlignment="1">
      <alignment horizontal="center"/>
    </xf>
    <xf numFmtId="0" fontId="8" fillId="0" borderId="0" xfId="0" applyFont="1" applyAlignment="1">
      <alignment horizontal="center"/>
    </xf>
    <xf numFmtId="164" fontId="1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COMMON EQUITY AS A PERCENT OF TOTAL CAPITAL</a:t>
            </a:r>
          </a:p>
        </c:rich>
      </c:tx>
      <c:layout>
        <c:manualLayout>
          <c:xMode val="factor"/>
          <c:yMode val="factor"/>
          <c:x val="0.022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5"/>
          <c:w val="0.9755"/>
          <c:h val="0.878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'Ex7,p2'!$D$33:$P$33</c:f>
              <c:strCache>
                <c:ptCount val="13"/>
                <c:pt idx="0">
                  <c:v>36863</c:v>
                </c:pt>
                <c:pt idx="1">
                  <c:v>36980</c:v>
                </c:pt>
                <c:pt idx="2">
                  <c:v>37071</c:v>
                </c:pt>
                <c:pt idx="3">
                  <c:v>37163</c:v>
                </c:pt>
                <c:pt idx="4">
                  <c:v>37255</c:v>
                </c:pt>
                <c:pt idx="5">
                  <c:v>37315</c:v>
                </c:pt>
                <c:pt idx="6">
                  <c:v>37407</c:v>
                </c:pt>
                <c:pt idx="7">
                  <c:v>37499</c:v>
                </c:pt>
                <c:pt idx="8">
                  <c:v>37590</c:v>
                </c:pt>
                <c:pt idx="9">
                  <c:v>37680</c:v>
                </c:pt>
                <c:pt idx="10">
                  <c:v>37772</c:v>
                </c:pt>
                <c:pt idx="11">
                  <c:v>37864</c:v>
                </c:pt>
                <c:pt idx="12">
                  <c:v>37955</c:v>
                </c:pt>
              </c:strCache>
            </c:strRef>
          </c:cat>
          <c:val>
            <c:numRef>
              <c:f>'Ex7,p2'!$D$34:$P$34</c:f>
              <c:numCache>
                <c:ptCount val="13"/>
              </c:numCache>
            </c:numRef>
          </c:val>
        </c:ser>
        <c:ser>
          <c:idx val="1"/>
          <c:order val="1"/>
          <c:spPr>
            <a:solidFill>
              <a:srgbClr val="969696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'Ex7,p2'!$D$33:$P$33</c:f>
              <c:strCache>
                <c:ptCount val="13"/>
                <c:pt idx="0">
                  <c:v>36863</c:v>
                </c:pt>
                <c:pt idx="1">
                  <c:v>36980</c:v>
                </c:pt>
                <c:pt idx="2">
                  <c:v>37071</c:v>
                </c:pt>
                <c:pt idx="3">
                  <c:v>37163</c:v>
                </c:pt>
                <c:pt idx="4">
                  <c:v>37255</c:v>
                </c:pt>
                <c:pt idx="5">
                  <c:v>37315</c:v>
                </c:pt>
                <c:pt idx="6">
                  <c:v>37407</c:v>
                </c:pt>
                <c:pt idx="7">
                  <c:v>37499</c:v>
                </c:pt>
                <c:pt idx="8">
                  <c:v>37590</c:v>
                </c:pt>
                <c:pt idx="9">
                  <c:v>37680</c:v>
                </c:pt>
                <c:pt idx="10">
                  <c:v>37772</c:v>
                </c:pt>
                <c:pt idx="11">
                  <c:v>37864</c:v>
                </c:pt>
                <c:pt idx="12">
                  <c:v>37955</c:v>
                </c:pt>
              </c:strCache>
            </c:strRef>
          </c:cat>
          <c:val>
            <c:numRef>
              <c:f>'Ex7,p2'!$D$35:$P$35</c:f>
              <c:numCache>
                <c:ptCount val="13"/>
                <c:pt idx="0">
                  <c:v>0.40112500384136596</c:v>
                </c:pt>
                <c:pt idx="1">
                  <c:v>0.4001514075007072</c:v>
                </c:pt>
                <c:pt idx="2">
                  <c:v>0.3905937767627748</c:v>
                </c:pt>
                <c:pt idx="3">
                  <c:v>0.3874349205672903</c:v>
                </c:pt>
                <c:pt idx="4">
                  <c:v>0.4383909065632158</c:v>
                </c:pt>
                <c:pt idx="5">
                  <c:v>0.4447866973509054</c:v>
                </c:pt>
                <c:pt idx="6">
                  <c:v>0.4349688630619382</c:v>
                </c:pt>
                <c:pt idx="7">
                  <c:v>0.41113908626867823</c:v>
                </c:pt>
                <c:pt idx="8">
                  <c:v>0.3981213573112557</c:v>
                </c:pt>
                <c:pt idx="9">
                  <c:v>0.40259852876371227</c:v>
                </c:pt>
                <c:pt idx="10">
                  <c:v>0.4023663123903685</c:v>
                </c:pt>
                <c:pt idx="11">
                  <c:v>0.39578490070620814</c:v>
                </c:pt>
                <c:pt idx="12">
                  <c:v>0.4439411678774143</c:v>
                </c:pt>
              </c:numCache>
            </c:numRef>
          </c:val>
        </c:ser>
        <c:overlap val="100"/>
        <c:gapWidth val="10"/>
        <c:axId val="12494202"/>
        <c:axId val="45338955"/>
      </c:barChart>
      <c:dateAx>
        <c:axId val="1249420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895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5338955"/>
        <c:scaling>
          <c:orientation val="minMax"/>
          <c:min val="0.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94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headerFooter>
    <oddHeader>&amp;C
&amp;"Helvetica,Bold"&amp;10PUGET SOUND ENERGY&amp;R&amp;"Helvetica,Regular"&amp;10Docket Nos. UE-072300 and UG-072301
Exhibit No. ____ (SGH-7)
Page 3 of 5</oddHeader>
    <oddFooter>&amp;L&amp;"Helvetica,Regular"&amp;10All data from Company SEC filings.
&amp;C&amp;R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81675"/>
    <xdr:graphicFrame>
      <xdr:nvGraphicFramePr>
        <xdr:cNvPr id="1" name="Chart 1"/>
        <xdr:cNvGraphicFramePr/>
      </xdr:nvGraphicFramePr>
      <xdr:xfrm>
        <a:off x="832256400" y="832256400"/>
        <a:ext cx="87630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H1" sqref="H1"/>
    </sheetView>
  </sheetViews>
  <sheetFormatPr defaultColWidth="10.875" defaultRowHeight="12"/>
  <cols>
    <col min="1" max="1" width="2.125" style="6" customWidth="1"/>
    <col min="2" max="2" width="15.00390625" style="6" customWidth="1"/>
    <col min="3" max="3" width="13.00390625" style="6" customWidth="1"/>
    <col min="4" max="4" width="12.875" style="6" customWidth="1"/>
    <col min="5" max="5" width="12.375" style="6" customWidth="1"/>
    <col min="6" max="6" width="12.25390625" style="6" customWidth="1"/>
    <col min="7" max="7" width="12.125" style="6" customWidth="1"/>
    <col min="8" max="8" width="13.875" style="6" customWidth="1"/>
    <col min="9" max="16384" width="10.875" style="6" customWidth="1"/>
  </cols>
  <sheetData>
    <row r="1" spans="1:8" ht="12.75">
      <c r="A1" s="1"/>
      <c r="B1" s="1"/>
      <c r="C1" s="1"/>
      <c r="D1" s="1"/>
      <c r="E1" s="1"/>
      <c r="F1" s="1"/>
      <c r="G1" s="1"/>
      <c r="H1" s="17" t="s">
        <v>116</v>
      </c>
    </row>
    <row r="2" spans="1:8" ht="12.75">
      <c r="A2" s="1"/>
      <c r="B2" s="1"/>
      <c r="C2" s="1"/>
      <c r="D2" s="1"/>
      <c r="E2" s="1"/>
      <c r="F2" s="1"/>
      <c r="G2" s="1"/>
      <c r="H2" s="17" t="s">
        <v>117</v>
      </c>
    </row>
    <row r="3" spans="1:8" ht="12.75">
      <c r="A3" s="1"/>
      <c r="B3" s="1"/>
      <c r="C3" s="1"/>
      <c r="D3" s="1"/>
      <c r="E3" s="1"/>
      <c r="F3" s="1"/>
      <c r="G3" s="1"/>
      <c r="H3" s="17" t="s">
        <v>65</v>
      </c>
    </row>
    <row r="4" spans="1:8" ht="15.75">
      <c r="A4" s="1"/>
      <c r="B4" s="1"/>
      <c r="D4" s="1"/>
      <c r="E4" s="20"/>
      <c r="F4" s="1"/>
      <c r="G4" s="1"/>
      <c r="H4" s="1"/>
    </row>
    <row r="5" spans="1:8" ht="12.75">
      <c r="A5" s="1"/>
      <c r="B5" s="1"/>
      <c r="D5" s="1"/>
      <c r="E5" s="21" t="s">
        <v>115</v>
      </c>
      <c r="F5" s="1"/>
      <c r="G5" s="1"/>
      <c r="H5" s="1"/>
    </row>
    <row r="6" spans="1:8" ht="12.75">
      <c r="A6" s="1"/>
      <c r="B6" s="1"/>
      <c r="D6" s="1"/>
      <c r="E6" s="21" t="s">
        <v>99</v>
      </c>
      <c r="F6" s="1"/>
      <c r="G6" s="1"/>
      <c r="H6" s="1"/>
    </row>
    <row r="7" spans="1:8" ht="12.75">
      <c r="A7" s="1"/>
      <c r="B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5"/>
      <c r="C9" s="1"/>
      <c r="D9" s="1"/>
      <c r="E9" s="1"/>
      <c r="F9" s="1"/>
      <c r="G9" s="1"/>
      <c r="H9" s="1"/>
    </row>
    <row r="10" spans="1:8" ht="12.75">
      <c r="A10" s="15" t="s">
        <v>17</v>
      </c>
      <c r="B10" s="1"/>
      <c r="C10" s="1"/>
      <c r="D10" s="1"/>
      <c r="E10" s="1"/>
      <c r="F10" s="1"/>
      <c r="G10" s="1"/>
      <c r="H10" s="21"/>
    </row>
    <row r="11" spans="1:8" ht="12.75">
      <c r="A11" s="22"/>
      <c r="B11" s="22"/>
      <c r="C11" s="10"/>
      <c r="D11" s="10"/>
      <c r="E11" s="10"/>
      <c r="F11" s="10"/>
      <c r="G11" s="10"/>
      <c r="H11" s="47" t="s">
        <v>100</v>
      </c>
    </row>
    <row r="12" spans="1:8" ht="12.75">
      <c r="A12" s="10"/>
      <c r="B12" s="25" t="s">
        <v>3</v>
      </c>
      <c r="C12" s="26">
        <v>37499</v>
      </c>
      <c r="D12" s="26">
        <v>37590</v>
      </c>
      <c r="E12" s="26">
        <v>37680</v>
      </c>
      <c r="F12" s="26">
        <v>37772</v>
      </c>
      <c r="G12" s="26">
        <v>37864</v>
      </c>
      <c r="H12" s="48" t="s">
        <v>15</v>
      </c>
    </row>
    <row r="13" spans="1:8" ht="12.75">
      <c r="A13" s="10"/>
      <c r="B13" s="10"/>
      <c r="C13" s="27"/>
      <c r="D13" s="27"/>
      <c r="E13" s="27"/>
      <c r="F13" s="27"/>
      <c r="G13" s="28"/>
      <c r="H13" s="21"/>
    </row>
    <row r="14" spans="1:8" ht="12.75">
      <c r="A14" s="10"/>
      <c r="B14" s="1" t="s">
        <v>4</v>
      </c>
      <c r="C14" s="29">
        <v>2108238</v>
      </c>
      <c r="D14" s="29">
        <v>2139732</v>
      </c>
      <c r="E14" s="29">
        <v>2194851</v>
      </c>
      <c r="F14" s="29">
        <v>2208569</v>
      </c>
      <c r="G14" s="30">
        <v>2194285</v>
      </c>
      <c r="H14" s="70">
        <f>AVERAGE(C14:G14)</f>
        <v>2169135</v>
      </c>
    </row>
    <row r="15" spans="1:8" ht="12.75">
      <c r="A15" s="10"/>
      <c r="B15" s="1"/>
      <c r="C15" s="31"/>
      <c r="D15" s="31"/>
      <c r="E15" s="31"/>
      <c r="F15" s="31"/>
      <c r="G15" s="31"/>
      <c r="H15" s="31"/>
    </row>
    <row r="16" spans="1:8" ht="12.75">
      <c r="A16" s="10"/>
      <c r="B16" s="1" t="s">
        <v>103</v>
      </c>
      <c r="C16" s="29">
        <v>1889</v>
      </c>
      <c r="D16" s="29">
        <v>1889</v>
      </c>
      <c r="E16" s="29">
        <v>1889</v>
      </c>
      <c r="F16" s="29">
        <v>1889</v>
      </c>
      <c r="G16" s="30">
        <v>1889</v>
      </c>
      <c r="H16" s="70">
        <f aca="true" t="shared" si="0" ref="H16:H22">AVERAGE(C16:G16)</f>
        <v>1889</v>
      </c>
    </row>
    <row r="17" spans="1:8" ht="12.75">
      <c r="A17" s="10"/>
      <c r="B17" s="1"/>
      <c r="C17" s="29"/>
      <c r="D17" s="29"/>
      <c r="E17" s="29"/>
      <c r="F17" s="29"/>
      <c r="G17" s="30"/>
      <c r="H17" s="70"/>
    </row>
    <row r="18" spans="1:8" ht="12.75">
      <c r="A18" s="10"/>
      <c r="B18" s="1" t="s">
        <v>113</v>
      </c>
      <c r="C18" s="29">
        <v>37750</v>
      </c>
      <c r="D18" s="29">
        <v>37750</v>
      </c>
      <c r="E18" s="29">
        <v>37750</v>
      </c>
      <c r="F18" s="29">
        <v>0</v>
      </c>
      <c r="G18" s="30">
        <v>0</v>
      </c>
      <c r="H18" s="70">
        <f t="shared" si="0"/>
        <v>22650</v>
      </c>
    </row>
    <row r="19" spans="1:8" ht="12.75">
      <c r="A19" s="10"/>
      <c r="B19" s="1"/>
      <c r="C19" s="29"/>
      <c r="D19" s="29"/>
      <c r="E19" s="29"/>
      <c r="F19" s="29"/>
      <c r="G19" s="30"/>
      <c r="H19" s="70"/>
    </row>
    <row r="20" spans="1:8" ht="12.75">
      <c r="A20" s="10"/>
      <c r="B20" s="1" t="s">
        <v>104</v>
      </c>
      <c r="C20" s="29">
        <v>2806110</v>
      </c>
      <c r="D20" s="29">
        <v>2771110</v>
      </c>
      <c r="E20" s="29">
        <v>2671110</v>
      </c>
      <c r="F20" s="29">
        <v>2883360</v>
      </c>
      <c r="G20" s="30">
        <v>2858360</v>
      </c>
      <c r="H20" s="70">
        <f t="shared" si="0"/>
        <v>2798010</v>
      </c>
    </row>
    <row r="21" spans="1:8" ht="12.75">
      <c r="A21" s="10"/>
      <c r="B21" s="1"/>
      <c r="C21" s="29"/>
      <c r="D21" s="29"/>
      <c r="E21" s="29"/>
      <c r="F21" s="29"/>
      <c r="G21" s="33"/>
      <c r="H21" s="70"/>
    </row>
    <row r="22" spans="1:8" ht="12.75">
      <c r="A22" s="10"/>
      <c r="B22" s="1" t="s">
        <v>13</v>
      </c>
      <c r="C22" s="34">
        <v>127365</v>
      </c>
      <c r="D22" s="34">
        <v>352358</v>
      </c>
      <c r="E22" s="34">
        <v>485871</v>
      </c>
      <c r="F22" s="34">
        <v>314321</v>
      </c>
      <c r="G22" s="33">
        <v>402321</v>
      </c>
      <c r="H22" s="71">
        <f t="shared" si="0"/>
        <v>336447.2</v>
      </c>
    </row>
    <row r="23" spans="1:8" ht="12.75">
      <c r="A23" s="10"/>
      <c r="B23" s="1"/>
      <c r="C23" s="29"/>
      <c r="D23" s="29"/>
      <c r="E23" s="29"/>
      <c r="F23" s="29"/>
      <c r="G23" s="30"/>
      <c r="H23" s="70"/>
    </row>
    <row r="24" spans="1:8" ht="12.75">
      <c r="A24" s="10"/>
      <c r="B24" s="10" t="s">
        <v>14</v>
      </c>
      <c r="C24" s="29">
        <f aca="true" t="shared" si="1" ref="C24:H24">SUM(C14,C16,C18,C20,C22)</f>
        <v>5081352</v>
      </c>
      <c r="D24" s="29">
        <f t="shared" si="1"/>
        <v>5302839</v>
      </c>
      <c r="E24" s="29">
        <f t="shared" si="1"/>
        <v>5391471</v>
      </c>
      <c r="F24" s="29">
        <f t="shared" si="1"/>
        <v>5408139</v>
      </c>
      <c r="G24" s="29">
        <f t="shared" si="1"/>
        <v>5456855</v>
      </c>
      <c r="H24" s="72">
        <f t="shared" si="1"/>
        <v>5328131.2</v>
      </c>
    </row>
    <row r="25" spans="1:8" ht="12.75">
      <c r="A25" s="10"/>
      <c r="B25" s="10"/>
      <c r="C25" s="35"/>
      <c r="D25" s="35"/>
      <c r="E25" s="35"/>
      <c r="F25" s="35"/>
      <c r="G25" s="35"/>
      <c r="H25" s="7"/>
    </row>
    <row r="26" spans="1:8" ht="12.75">
      <c r="A26" s="10"/>
      <c r="B26" s="22"/>
      <c r="C26" s="35"/>
      <c r="D26" s="35"/>
      <c r="E26" s="35"/>
      <c r="F26" s="35"/>
      <c r="G26" s="35"/>
      <c r="H26" s="7"/>
    </row>
    <row r="27" spans="1:8" ht="12.75">
      <c r="A27" s="22" t="s">
        <v>101</v>
      </c>
      <c r="B27" s="10"/>
      <c r="C27" s="35"/>
      <c r="D27" s="35"/>
      <c r="E27" s="35"/>
      <c r="F27" s="35"/>
      <c r="G27" s="35"/>
      <c r="H27" s="21"/>
    </row>
    <row r="28" spans="1:8" ht="12.75">
      <c r="A28" s="10"/>
      <c r="B28" s="10"/>
      <c r="C28" s="37"/>
      <c r="D28" s="37"/>
      <c r="E28" s="37"/>
      <c r="F28" s="37"/>
      <c r="G28" s="37"/>
      <c r="H28" s="47" t="s">
        <v>100</v>
      </c>
    </row>
    <row r="29" spans="1:8" ht="12.75">
      <c r="A29" s="10"/>
      <c r="B29" s="25" t="s">
        <v>3</v>
      </c>
      <c r="C29" s="26">
        <v>37499</v>
      </c>
      <c r="D29" s="26">
        <v>37590</v>
      </c>
      <c r="E29" s="26">
        <v>37680</v>
      </c>
      <c r="F29" s="26">
        <v>37772</v>
      </c>
      <c r="G29" s="26">
        <v>37864</v>
      </c>
      <c r="H29" s="48" t="s">
        <v>15</v>
      </c>
    </row>
    <row r="30" spans="1:8" ht="12.75">
      <c r="A30" s="10"/>
      <c r="B30" s="10"/>
      <c r="C30" s="27"/>
      <c r="D30" s="27"/>
      <c r="E30" s="27"/>
      <c r="F30" s="27"/>
      <c r="G30" s="28"/>
      <c r="H30" s="23"/>
    </row>
    <row r="31" spans="1:8" ht="12.75">
      <c r="A31" s="10"/>
      <c r="B31" s="1" t="s">
        <v>4</v>
      </c>
      <c r="C31" s="40">
        <f aca="true" t="shared" si="2" ref="C31:H31">C14/C24</f>
        <v>0.41489705889298756</v>
      </c>
      <c r="D31" s="40">
        <f t="shared" si="2"/>
        <v>0.40350687622234055</v>
      </c>
      <c r="E31" s="40">
        <f t="shared" si="2"/>
        <v>0.4070968757877025</v>
      </c>
      <c r="F31" s="40">
        <f t="shared" si="2"/>
        <v>0.40837874174461863</v>
      </c>
      <c r="G31" s="40">
        <f t="shared" si="2"/>
        <v>0.40211532100449804</v>
      </c>
      <c r="H31" s="45">
        <f t="shared" si="2"/>
        <v>0.4071099075037792</v>
      </c>
    </row>
    <row r="32" spans="1:7" ht="12.75">
      <c r="A32" s="10"/>
      <c r="B32" s="1"/>
      <c r="C32" s="41"/>
      <c r="D32" s="41"/>
      <c r="E32" s="41"/>
      <c r="F32" s="41"/>
      <c r="G32" s="41"/>
    </row>
    <row r="33" spans="1:8" ht="12.75">
      <c r="A33" s="10"/>
      <c r="B33" s="1" t="s">
        <v>103</v>
      </c>
      <c r="C33" s="40">
        <f aca="true" t="shared" si="3" ref="C33:H33">C16/C24</f>
        <v>0.00037175145512454165</v>
      </c>
      <c r="D33" s="40">
        <f t="shared" si="3"/>
        <v>0.00035622427910785145</v>
      </c>
      <c r="E33" s="40">
        <f t="shared" si="3"/>
        <v>0.00035036820192485503</v>
      </c>
      <c r="F33" s="40">
        <f t="shared" si="3"/>
        <v>0.0003492883596372061</v>
      </c>
      <c r="G33" s="40">
        <f t="shared" si="3"/>
        <v>0.0003461700924800091</v>
      </c>
      <c r="H33" s="45">
        <f t="shared" si="3"/>
        <v>0.00035453331179232224</v>
      </c>
    </row>
    <row r="34" spans="1:8" ht="12.75">
      <c r="A34" s="10"/>
      <c r="B34" s="1"/>
      <c r="C34" s="40"/>
      <c r="D34" s="40"/>
      <c r="E34" s="40"/>
      <c r="F34" s="40"/>
      <c r="G34" s="40"/>
      <c r="H34" s="45"/>
    </row>
    <row r="35" spans="1:8" ht="12.75">
      <c r="A35" s="10"/>
      <c r="B35" s="1" t="s">
        <v>114</v>
      </c>
      <c r="C35" s="40">
        <f aca="true" t="shared" si="4" ref="C35:H35">C18/C24</f>
        <v>0.007429125161964769</v>
      </c>
      <c r="D35" s="40">
        <f t="shared" si="4"/>
        <v>0.007118828235215136</v>
      </c>
      <c r="E35" s="40">
        <f t="shared" si="4"/>
        <v>0.007001799694369125</v>
      </c>
      <c r="F35" s="40">
        <f t="shared" si="4"/>
        <v>0</v>
      </c>
      <c r="G35" s="40">
        <f t="shared" si="4"/>
        <v>0</v>
      </c>
      <c r="H35" s="38">
        <f t="shared" si="4"/>
        <v>0.00425102144631874</v>
      </c>
    </row>
    <row r="36" spans="1:8" ht="12.75">
      <c r="A36" s="10"/>
      <c r="B36" s="1"/>
      <c r="C36" s="40"/>
      <c r="D36" s="40"/>
      <c r="E36" s="40"/>
      <c r="F36" s="40"/>
      <c r="G36" s="40"/>
      <c r="H36" s="45"/>
    </row>
    <row r="37" spans="1:8" ht="12.75">
      <c r="A37" s="1"/>
      <c r="B37" s="1" t="s">
        <v>104</v>
      </c>
      <c r="C37" s="40">
        <f aca="true" t="shared" si="5" ref="C37:H37">C20/C24</f>
        <v>0.5522368849865154</v>
      </c>
      <c r="D37" s="40">
        <f t="shared" si="5"/>
        <v>0.5225710228049542</v>
      </c>
      <c r="E37" s="40">
        <f t="shared" si="5"/>
        <v>0.49543250812255135</v>
      </c>
      <c r="F37" s="40">
        <f t="shared" si="5"/>
        <v>0.5331519770479272</v>
      </c>
      <c r="G37" s="40">
        <f t="shared" si="5"/>
        <v>0.5238108764114128</v>
      </c>
      <c r="H37" s="45">
        <f t="shared" si="5"/>
        <v>0.5251390956739204</v>
      </c>
    </row>
    <row r="38" spans="1:8" ht="12.75">
      <c r="A38" s="1"/>
      <c r="B38" s="1"/>
      <c r="C38" s="40"/>
      <c r="D38" s="40"/>
      <c r="E38" s="40"/>
      <c r="F38" s="40"/>
      <c r="G38" s="40"/>
      <c r="H38" s="45"/>
    </row>
    <row r="39" spans="1:8" ht="12.75">
      <c r="A39" s="22"/>
      <c r="B39" s="1" t="s">
        <v>13</v>
      </c>
      <c r="C39" s="42">
        <f aca="true" t="shared" si="6" ref="C39:H39">C22/C24</f>
        <v>0.025065179503407753</v>
      </c>
      <c r="D39" s="42">
        <f t="shared" si="6"/>
        <v>0.06644704845838238</v>
      </c>
      <c r="E39" s="42">
        <f t="shared" si="6"/>
        <v>0.09011844819345222</v>
      </c>
      <c r="F39" s="42">
        <f t="shared" si="6"/>
        <v>0.058119992847816965</v>
      </c>
      <c r="G39" s="42">
        <f t="shared" si="6"/>
        <v>0.07372763249160917</v>
      </c>
      <c r="H39" s="52">
        <f t="shared" si="6"/>
        <v>0.06314544206418941</v>
      </c>
    </row>
    <row r="40" spans="1:8" ht="12.75">
      <c r="A40" s="10"/>
      <c r="B40" s="1"/>
      <c r="C40" s="40"/>
      <c r="D40" s="40"/>
      <c r="E40" s="40"/>
      <c r="F40" s="40"/>
      <c r="G40" s="40"/>
      <c r="H40" s="45"/>
    </row>
    <row r="41" spans="1:8" ht="12.75">
      <c r="A41" s="10"/>
      <c r="B41" s="10" t="s">
        <v>14</v>
      </c>
      <c r="C41" s="40">
        <f aca="true" t="shared" si="7" ref="C41:H41">SUM(C31,C33,C35,C37,C39)</f>
        <v>1</v>
      </c>
      <c r="D41" s="40">
        <f t="shared" si="7"/>
        <v>1</v>
      </c>
      <c r="E41" s="40">
        <f t="shared" si="7"/>
        <v>1</v>
      </c>
      <c r="F41" s="40">
        <f t="shared" si="7"/>
        <v>1</v>
      </c>
      <c r="G41" s="40">
        <f t="shared" si="7"/>
        <v>1</v>
      </c>
      <c r="H41" s="38">
        <f t="shared" si="7"/>
        <v>0.9999999999999999</v>
      </c>
    </row>
    <row r="42" spans="1:8" ht="12.75">
      <c r="A42" s="10"/>
      <c r="B42" s="10"/>
      <c r="C42" s="10"/>
      <c r="D42" s="10"/>
      <c r="E42" s="10"/>
      <c r="F42" s="10"/>
      <c r="G42" s="10"/>
      <c r="H42" s="1"/>
    </row>
    <row r="43" spans="1:8" ht="12.75">
      <c r="A43" s="10"/>
      <c r="B43" s="1"/>
      <c r="C43" s="22"/>
      <c r="D43" s="10"/>
      <c r="E43" s="10"/>
      <c r="F43" s="10"/>
      <c r="G43" s="10"/>
      <c r="H43" s="1"/>
    </row>
    <row r="44" spans="1:8" ht="12.75">
      <c r="A44" s="1"/>
      <c r="B44" s="10"/>
      <c r="C44" s="35"/>
      <c r="D44" s="35"/>
      <c r="E44" s="35"/>
      <c r="F44" s="35"/>
      <c r="G44" s="35"/>
      <c r="H44" s="21"/>
    </row>
    <row r="45" spans="1:8" ht="12.75">
      <c r="A45" s="10"/>
      <c r="B45" s="10" t="s">
        <v>2</v>
      </c>
      <c r="C45" s="37"/>
      <c r="D45" s="37"/>
      <c r="E45" s="37"/>
      <c r="F45" s="37"/>
      <c r="G45" s="37"/>
      <c r="H45" s="47"/>
    </row>
    <row r="46" spans="1:8" ht="12.75">
      <c r="A46" s="10"/>
      <c r="B46" s="10" t="s">
        <v>20</v>
      </c>
      <c r="C46" s="26"/>
      <c r="D46" s="26"/>
      <c r="E46" s="26"/>
      <c r="F46" s="26"/>
      <c r="G46" s="26"/>
      <c r="H46" s="48"/>
    </row>
  </sheetData>
  <sheetProtection/>
  <printOptions/>
  <pageMargins left="0.75" right="0.75" top="1" bottom="1" header="0.5" footer="0.5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V90"/>
  <sheetViews>
    <sheetView tabSelected="1" zoomScalePageLayoutView="0" workbookViewId="0" topLeftCell="A1">
      <selection activeCell="D18" sqref="D18"/>
    </sheetView>
  </sheetViews>
  <sheetFormatPr defaultColWidth="10.875" defaultRowHeight="12"/>
  <cols>
    <col min="1" max="1" width="0.2421875" style="1" customWidth="1"/>
    <col min="2" max="2" width="1.75390625" style="1" customWidth="1"/>
    <col min="3" max="3" width="15.125" style="1" customWidth="1"/>
    <col min="4" max="4" width="12.25390625" style="1" customWidth="1"/>
    <col min="5" max="5" width="11.375" style="1" customWidth="1"/>
    <col min="6" max="6" width="11.625" style="1" customWidth="1"/>
    <col min="7" max="7" width="11.125" style="1" customWidth="1"/>
    <col min="8" max="8" width="11.25390625" style="1" customWidth="1"/>
    <col min="9" max="9" width="11.375" style="1" customWidth="1"/>
    <col min="10" max="10" width="11.25390625" style="1" customWidth="1"/>
    <col min="11" max="11" width="11.125" style="1" customWidth="1"/>
    <col min="12" max="12" width="11.00390625" style="1" customWidth="1"/>
    <col min="13" max="13" width="11.25390625" style="1" customWidth="1"/>
    <col min="14" max="14" width="11.375" style="1" customWidth="1"/>
    <col min="15" max="15" width="11.25390625" style="1" customWidth="1"/>
    <col min="16" max="16" width="11.125" style="1" customWidth="1"/>
    <col min="17" max="17" width="11.25390625" style="1" customWidth="1"/>
    <col min="18" max="16384" width="10.875" style="1" customWidth="1"/>
  </cols>
  <sheetData>
    <row r="4" ht="12.75">
      <c r="Q4" s="17" t="s">
        <v>116</v>
      </c>
    </row>
    <row r="5" spans="15:17" ht="12.75">
      <c r="O5" s="17"/>
      <c r="Q5" s="17" t="s">
        <v>118</v>
      </c>
    </row>
    <row r="6" spans="15:17" ht="12.75">
      <c r="O6" s="17"/>
      <c r="Q6" s="17" t="s">
        <v>66</v>
      </c>
    </row>
    <row r="8" spans="4:6" ht="15.75">
      <c r="D8" s="6"/>
      <c r="F8" s="20"/>
    </row>
    <row r="9" spans="4:10" ht="15.75">
      <c r="D9" s="6"/>
      <c r="J9" s="20" t="s">
        <v>115</v>
      </c>
    </row>
    <row r="10" spans="4:10" ht="15.75">
      <c r="D10" s="6"/>
      <c r="J10" s="20" t="s">
        <v>22</v>
      </c>
    </row>
    <row r="11" spans="4:10" ht="12.75" customHeight="1">
      <c r="D11" s="6"/>
      <c r="E11" s="6"/>
      <c r="J11" s="85" t="s">
        <v>98</v>
      </c>
    </row>
    <row r="13" ht="12.75">
      <c r="C13" s="15"/>
    </row>
    <row r="14" spans="3:14" ht="12.75">
      <c r="C14" s="15" t="s">
        <v>21</v>
      </c>
      <c r="I14" s="21"/>
      <c r="M14" s="7"/>
      <c r="N14" s="21"/>
    </row>
    <row r="15" spans="2:14" ht="12.75">
      <c r="B15" s="22"/>
      <c r="C15" s="22"/>
      <c r="D15" s="10"/>
      <c r="E15" s="10"/>
      <c r="F15" s="10"/>
      <c r="G15" s="10"/>
      <c r="H15" s="10"/>
      <c r="I15" s="21"/>
      <c r="J15" s="10"/>
      <c r="K15" s="10"/>
      <c r="L15" s="23"/>
      <c r="M15" s="24"/>
      <c r="N15" s="21"/>
    </row>
    <row r="16" spans="2:17" ht="12.75">
      <c r="B16" s="10"/>
      <c r="C16" s="25" t="s">
        <v>3</v>
      </c>
      <c r="D16" s="26">
        <v>36863</v>
      </c>
      <c r="E16" s="26">
        <v>36980</v>
      </c>
      <c r="F16" s="26">
        <v>37071</v>
      </c>
      <c r="G16" s="26">
        <v>37163</v>
      </c>
      <c r="H16" s="26">
        <v>37255</v>
      </c>
      <c r="I16" s="26">
        <v>37315</v>
      </c>
      <c r="J16" s="26">
        <v>37407</v>
      </c>
      <c r="K16" s="26">
        <v>37499</v>
      </c>
      <c r="L16" s="26">
        <v>37590</v>
      </c>
      <c r="M16" s="26">
        <v>37680</v>
      </c>
      <c r="N16" s="26">
        <v>37772</v>
      </c>
      <c r="O16" s="26">
        <v>37864</v>
      </c>
      <c r="P16" s="26">
        <v>37955</v>
      </c>
      <c r="Q16" s="8" t="s">
        <v>7</v>
      </c>
    </row>
    <row r="17" spans="2:15" ht="12.75">
      <c r="B17" s="10"/>
      <c r="C17" s="10"/>
      <c r="D17" s="27"/>
      <c r="E17" s="27"/>
      <c r="F17" s="27"/>
      <c r="G17" s="27"/>
      <c r="H17" s="28"/>
      <c r="I17" s="21"/>
      <c r="J17" s="27"/>
      <c r="K17" s="27"/>
      <c r="L17" s="27"/>
      <c r="M17" s="27"/>
      <c r="N17" s="27"/>
      <c r="O17" s="28"/>
    </row>
    <row r="18" spans="2:22" ht="12.75">
      <c r="B18" s="10"/>
      <c r="C18" s="1" t="s">
        <v>105</v>
      </c>
      <c r="D18" s="60">
        <v>1592443</v>
      </c>
      <c r="E18" s="60">
        <v>1650741</v>
      </c>
      <c r="F18" s="60">
        <v>1630954</v>
      </c>
      <c r="G18" s="60">
        <v>1636775</v>
      </c>
      <c r="H18" s="61">
        <v>1986621</v>
      </c>
      <c r="I18" s="62">
        <v>2026486</v>
      </c>
      <c r="J18" s="62">
        <v>2091660</v>
      </c>
      <c r="K18" s="60">
        <v>2075810</v>
      </c>
      <c r="L18" s="60">
        <v>2092283</v>
      </c>
      <c r="M18" s="60">
        <v>2154254</v>
      </c>
      <c r="N18" s="60">
        <v>2154161</v>
      </c>
      <c r="O18" s="61">
        <v>2137113</v>
      </c>
      <c r="P18" s="63">
        <v>2504091</v>
      </c>
      <c r="Q18" s="63">
        <f>AVERAGE(D18:P18)</f>
        <v>1979491.6923076923</v>
      </c>
      <c r="T18" s="63">
        <f>AVERAGE(L18:P18)</f>
        <v>2208380.4</v>
      </c>
      <c r="U18" s="1">
        <v>60000</v>
      </c>
      <c r="V18" s="32">
        <f>(T18+U18)/U28</f>
        <v>0.41545017686638264</v>
      </c>
    </row>
    <row r="19" spans="2:17" ht="12.75">
      <c r="B19" s="10"/>
      <c r="D19" s="60"/>
      <c r="E19" s="60"/>
      <c r="F19" s="60"/>
      <c r="G19" s="60"/>
      <c r="H19" s="61"/>
      <c r="I19" s="62"/>
      <c r="J19" s="62"/>
      <c r="K19" s="64"/>
      <c r="L19" s="64"/>
      <c r="M19" s="64"/>
      <c r="N19" s="64"/>
      <c r="O19" s="64"/>
      <c r="P19" s="63"/>
      <c r="Q19" s="63"/>
    </row>
    <row r="20" spans="2:22" ht="12.75">
      <c r="B20" s="10"/>
      <c r="C20" s="1" t="s">
        <v>103</v>
      </c>
      <c r="D20" s="60">
        <v>1889</v>
      </c>
      <c r="E20" s="60">
        <v>1889</v>
      </c>
      <c r="F20" s="60">
        <v>1889</v>
      </c>
      <c r="G20" s="60">
        <v>1889</v>
      </c>
      <c r="H20" s="61">
        <v>1889</v>
      </c>
      <c r="I20" s="62">
        <v>1889</v>
      </c>
      <c r="J20" s="62">
        <v>1889</v>
      </c>
      <c r="K20" s="60">
        <v>1889</v>
      </c>
      <c r="L20" s="60">
        <v>1889</v>
      </c>
      <c r="M20" s="60">
        <v>1889</v>
      </c>
      <c r="N20" s="60">
        <v>1889</v>
      </c>
      <c r="O20" s="61">
        <v>1889</v>
      </c>
      <c r="P20" s="63">
        <v>1889</v>
      </c>
      <c r="Q20" s="63">
        <f>AVERAGE(D20:P20)</f>
        <v>1889</v>
      </c>
      <c r="T20" s="63">
        <f>AVERAGE(L20:P20)</f>
        <v>1889</v>
      </c>
      <c r="U20"/>
      <c r="V20"/>
    </row>
    <row r="21" spans="2:22" ht="12.75">
      <c r="B21" s="10"/>
      <c r="D21" s="60"/>
      <c r="E21" s="60"/>
      <c r="F21" s="60"/>
      <c r="G21" s="60"/>
      <c r="H21" s="61"/>
      <c r="I21" s="62"/>
      <c r="J21" s="62"/>
      <c r="K21" s="60"/>
      <c r="L21" s="60"/>
      <c r="M21" s="60"/>
      <c r="N21" s="60"/>
      <c r="O21" s="61"/>
      <c r="P21" s="63"/>
      <c r="Q21" s="63"/>
      <c r="U21"/>
      <c r="V21"/>
    </row>
    <row r="22" spans="2:22" ht="12.75">
      <c r="B22" s="10"/>
      <c r="C22" s="1" t="s">
        <v>113</v>
      </c>
      <c r="D22" s="60">
        <v>280250</v>
      </c>
      <c r="E22" s="60">
        <v>280250</v>
      </c>
      <c r="F22" s="60">
        <v>237750</v>
      </c>
      <c r="G22" s="60">
        <v>237750</v>
      </c>
      <c r="H22" s="61">
        <v>237750</v>
      </c>
      <c r="I22" s="62">
        <v>237750</v>
      </c>
      <c r="J22" s="62">
        <v>37750</v>
      </c>
      <c r="K22" s="60">
        <v>37750</v>
      </c>
      <c r="L22" s="60">
        <v>37750</v>
      </c>
      <c r="M22" s="60">
        <v>37750</v>
      </c>
      <c r="N22" s="60">
        <v>0</v>
      </c>
      <c r="O22" s="61">
        <v>0</v>
      </c>
      <c r="P22" s="63">
        <v>0</v>
      </c>
      <c r="Q22" s="63">
        <f>AVERAGE(D22:P22)</f>
        <v>127884.61538461539</v>
      </c>
      <c r="T22" s="63">
        <f>AVERAGE(L22:P22)</f>
        <v>15100</v>
      </c>
      <c r="U22"/>
      <c r="V22"/>
    </row>
    <row r="23" spans="2:17" ht="12.75">
      <c r="B23" s="10"/>
      <c r="D23" s="60"/>
      <c r="E23" s="60"/>
      <c r="F23" s="60"/>
      <c r="G23" s="60"/>
      <c r="H23" s="61"/>
      <c r="I23" s="62"/>
      <c r="J23" s="62"/>
      <c r="K23" s="60"/>
      <c r="L23" s="60"/>
      <c r="M23" s="60"/>
      <c r="N23" s="60"/>
      <c r="O23" s="61"/>
      <c r="P23" s="63"/>
      <c r="Q23" s="63"/>
    </row>
    <row r="24" spans="2:20" ht="12.75">
      <c r="B24" s="10"/>
      <c r="C24" s="1" t="s">
        <v>104</v>
      </c>
      <c r="D24" s="60">
        <f>2064360+31000</f>
        <v>2095360</v>
      </c>
      <c r="E24" s="60">
        <f>2064360+31000</f>
        <v>2095360</v>
      </c>
      <c r="F24" s="60">
        <f>2068360+77000</f>
        <v>2145360</v>
      </c>
      <c r="G24" s="60">
        <f>2068360+46000</f>
        <v>2114360</v>
      </c>
      <c r="H24" s="61">
        <f>2183360+81000</f>
        <v>2264360</v>
      </c>
      <c r="I24" s="62">
        <f>2083360+181000</f>
        <v>2264360</v>
      </c>
      <c r="J24" s="62">
        <f>2333360+135000</f>
        <v>2468360</v>
      </c>
      <c r="K24" s="60">
        <v>2806110</v>
      </c>
      <c r="L24" s="60">
        <v>2771110</v>
      </c>
      <c r="M24" s="60">
        <v>2671110</v>
      </c>
      <c r="N24" s="60">
        <v>2883360</v>
      </c>
      <c r="O24" s="61">
        <v>2858360</v>
      </c>
      <c r="P24" s="63">
        <f>2678860+179500</f>
        <v>2858360</v>
      </c>
      <c r="Q24" s="63">
        <f>AVERAGE(D24:P24)</f>
        <v>2484302.3076923075</v>
      </c>
      <c r="T24" s="63">
        <f>AVERAGE(L24:P24)</f>
        <v>2808460</v>
      </c>
    </row>
    <row r="25" spans="2:17" ht="12.75">
      <c r="B25" s="10"/>
      <c r="D25" s="60"/>
      <c r="E25" s="60"/>
      <c r="F25" s="60"/>
      <c r="G25" s="60"/>
      <c r="H25" s="65"/>
      <c r="I25" s="62"/>
      <c r="J25" s="62"/>
      <c r="K25" s="60"/>
      <c r="L25" s="60"/>
      <c r="M25" s="60"/>
      <c r="N25" s="60"/>
      <c r="O25" s="65"/>
      <c r="P25" s="63"/>
      <c r="Q25" s="63"/>
    </row>
    <row r="26" spans="2:20" ht="15">
      <c r="B26" s="10"/>
      <c r="C26" s="1" t="s">
        <v>13</v>
      </c>
      <c r="D26" s="66">
        <v>0</v>
      </c>
      <c r="E26" s="66">
        <v>97051</v>
      </c>
      <c r="F26" s="66">
        <v>159623</v>
      </c>
      <c r="G26" s="66">
        <v>233871</v>
      </c>
      <c r="H26" s="65">
        <v>41000</v>
      </c>
      <c r="I26" s="67">
        <v>25600</v>
      </c>
      <c r="J26" s="67">
        <v>209099</v>
      </c>
      <c r="K26" s="66">
        <v>127365</v>
      </c>
      <c r="L26" s="66">
        <v>352358</v>
      </c>
      <c r="M26" s="66">
        <v>485871</v>
      </c>
      <c r="N26" s="66">
        <v>314321</v>
      </c>
      <c r="O26" s="65">
        <v>402321</v>
      </c>
      <c r="P26" s="68">
        <f>260486+15766</f>
        <v>276252</v>
      </c>
      <c r="Q26" s="69">
        <f>AVERAGE(D26:P26)</f>
        <v>209594.76923076922</v>
      </c>
      <c r="T26" s="63">
        <f>AVERAGE(L26:P26)</f>
        <v>366224.6</v>
      </c>
    </row>
    <row r="27" spans="2:17" ht="12.75">
      <c r="B27" s="10"/>
      <c r="D27" s="60"/>
      <c r="E27" s="60"/>
      <c r="F27" s="60"/>
      <c r="G27" s="60"/>
      <c r="H27" s="61"/>
      <c r="I27" s="62"/>
      <c r="J27" s="62"/>
      <c r="K27" s="60"/>
      <c r="L27" s="60"/>
      <c r="M27" s="60"/>
      <c r="N27" s="60"/>
      <c r="O27" s="61"/>
      <c r="P27" s="63"/>
      <c r="Q27" s="63"/>
    </row>
    <row r="28" spans="2:21" ht="12.75">
      <c r="B28" s="10"/>
      <c r="C28" s="10" t="s">
        <v>14</v>
      </c>
      <c r="D28" s="60">
        <f aca="true" t="shared" si="0" ref="D28:J28">SUM(D18:D26)</f>
        <v>3969942</v>
      </c>
      <c r="E28" s="60">
        <f t="shared" si="0"/>
        <v>4125291</v>
      </c>
      <c r="F28" s="60">
        <f t="shared" si="0"/>
        <v>4175576</v>
      </c>
      <c r="G28" s="60">
        <f t="shared" si="0"/>
        <v>4224645</v>
      </c>
      <c r="H28" s="60">
        <f t="shared" si="0"/>
        <v>4531620</v>
      </c>
      <c r="I28" s="60">
        <f t="shared" si="0"/>
        <v>4556085</v>
      </c>
      <c r="J28" s="61">
        <f t="shared" si="0"/>
        <v>4808758</v>
      </c>
      <c r="K28" s="60">
        <f aca="true" t="shared" si="1" ref="K28:P28">SUM(K18,K20,K22,K24,K26)</f>
        <v>5048924</v>
      </c>
      <c r="L28" s="60">
        <f t="shared" si="1"/>
        <v>5255390</v>
      </c>
      <c r="M28" s="60">
        <f t="shared" si="1"/>
        <v>5350874</v>
      </c>
      <c r="N28" s="60">
        <f t="shared" si="1"/>
        <v>5353731</v>
      </c>
      <c r="O28" s="60">
        <f t="shared" si="1"/>
        <v>5399683</v>
      </c>
      <c r="P28" s="60">
        <f t="shared" si="1"/>
        <v>5640592</v>
      </c>
      <c r="Q28" s="63">
        <f>AVERAGE(D28:P28)</f>
        <v>4803162.384615385</v>
      </c>
      <c r="T28" s="63">
        <f>T18+T20+T22+T24+T26</f>
        <v>5400054</v>
      </c>
      <c r="U28" s="63">
        <f>T28+U18</f>
        <v>5460054</v>
      </c>
    </row>
    <row r="29" spans="2:15" ht="12.75">
      <c r="B29" s="10"/>
      <c r="C29" s="10"/>
      <c r="D29" s="35"/>
      <c r="E29" s="35"/>
      <c r="F29" s="35"/>
      <c r="G29" s="35"/>
      <c r="H29" s="35"/>
      <c r="J29" s="28"/>
      <c r="K29" s="35"/>
      <c r="L29" s="35"/>
      <c r="M29" s="35"/>
      <c r="N29" s="35"/>
      <c r="O29" s="35"/>
    </row>
    <row r="30" spans="2:15" ht="12.75">
      <c r="B30" s="10"/>
      <c r="C30" s="22"/>
      <c r="D30" s="35"/>
      <c r="E30" s="35"/>
      <c r="F30" s="35"/>
      <c r="G30" s="35"/>
      <c r="H30" s="35"/>
      <c r="J30" s="36"/>
      <c r="K30" s="35"/>
      <c r="L30" s="35"/>
      <c r="M30" s="35"/>
      <c r="N30" s="35"/>
      <c r="O30" s="35"/>
    </row>
    <row r="31" spans="3:15" ht="12.75">
      <c r="C31" s="22" t="s">
        <v>101</v>
      </c>
      <c r="D31" s="35"/>
      <c r="E31" s="35"/>
      <c r="F31" s="35"/>
      <c r="G31" s="35"/>
      <c r="H31" s="35"/>
      <c r="I31" s="7"/>
      <c r="J31" s="35"/>
      <c r="K31" s="35"/>
      <c r="L31" s="35"/>
      <c r="M31" s="35"/>
      <c r="N31" s="35"/>
      <c r="O31" s="35"/>
    </row>
    <row r="32" spans="2:15" ht="12.75">
      <c r="B32" s="10"/>
      <c r="C32" s="10"/>
      <c r="D32" s="37"/>
      <c r="E32" s="37"/>
      <c r="F32" s="37"/>
      <c r="G32" s="37"/>
      <c r="H32" s="37"/>
      <c r="I32" s="7"/>
      <c r="J32" s="35"/>
      <c r="K32" s="37"/>
      <c r="L32" s="37"/>
      <c r="M32" s="37"/>
      <c r="N32" s="37"/>
      <c r="O32" s="37"/>
    </row>
    <row r="33" spans="2:21" ht="12.75">
      <c r="B33" s="10"/>
      <c r="C33" s="25" t="s">
        <v>3</v>
      </c>
      <c r="D33" s="26">
        <f aca="true" t="shared" si="2" ref="D33:J33">D16</f>
        <v>36863</v>
      </c>
      <c r="E33" s="26">
        <f t="shared" si="2"/>
        <v>36980</v>
      </c>
      <c r="F33" s="26">
        <f t="shared" si="2"/>
        <v>37071</v>
      </c>
      <c r="G33" s="26">
        <f t="shared" si="2"/>
        <v>37163</v>
      </c>
      <c r="H33" s="26">
        <f t="shared" si="2"/>
        <v>37255</v>
      </c>
      <c r="I33" s="26">
        <f t="shared" si="2"/>
        <v>37315</v>
      </c>
      <c r="J33" s="26">
        <f t="shared" si="2"/>
        <v>37407</v>
      </c>
      <c r="K33" s="26">
        <v>37499</v>
      </c>
      <c r="L33" s="26">
        <v>37590</v>
      </c>
      <c r="M33" s="26">
        <v>37680</v>
      </c>
      <c r="N33" s="26">
        <v>37772</v>
      </c>
      <c r="O33" s="26">
        <v>37864</v>
      </c>
      <c r="P33" s="26">
        <v>37955</v>
      </c>
      <c r="Q33" s="48" t="s">
        <v>7</v>
      </c>
      <c r="T33" s="1" t="s">
        <v>106</v>
      </c>
      <c r="U33" s="1" t="s">
        <v>107</v>
      </c>
    </row>
    <row r="34" spans="2:15" ht="12.75">
      <c r="B34" s="10"/>
      <c r="C34" s="10"/>
      <c r="D34" s="27"/>
      <c r="E34" s="27"/>
      <c r="F34" s="27"/>
      <c r="G34" s="27"/>
      <c r="H34" s="28"/>
      <c r="I34" s="28"/>
      <c r="J34" s="28"/>
      <c r="K34" s="27"/>
      <c r="L34" s="27"/>
      <c r="M34" s="27"/>
      <c r="N34" s="27"/>
      <c r="O34" s="28"/>
    </row>
    <row r="35" spans="2:22" ht="12.75">
      <c r="B35" s="10"/>
      <c r="C35" s="1" t="s">
        <v>4</v>
      </c>
      <c r="D35" s="38">
        <f aca="true" t="shared" si="3" ref="D35:P35">D18/D28</f>
        <v>0.40112500384136596</v>
      </c>
      <c r="E35" s="38">
        <f t="shared" si="3"/>
        <v>0.4001514075007072</v>
      </c>
      <c r="F35" s="38">
        <f t="shared" si="3"/>
        <v>0.3905937767627748</v>
      </c>
      <c r="G35" s="38">
        <f t="shared" si="3"/>
        <v>0.3874349205672903</v>
      </c>
      <c r="H35" s="38">
        <f t="shared" si="3"/>
        <v>0.4383909065632158</v>
      </c>
      <c r="I35" s="38">
        <f t="shared" si="3"/>
        <v>0.4447866973509054</v>
      </c>
      <c r="J35" s="38">
        <f t="shared" si="3"/>
        <v>0.4349688630619382</v>
      </c>
      <c r="K35" s="38">
        <f t="shared" si="3"/>
        <v>0.41113908626867823</v>
      </c>
      <c r="L35" s="38">
        <f t="shared" si="3"/>
        <v>0.3981213573112557</v>
      </c>
      <c r="M35" s="38">
        <f t="shared" si="3"/>
        <v>0.40259852876371227</v>
      </c>
      <c r="N35" s="38">
        <f t="shared" si="3"/>
        <v>0.4023663123903685</v>
      </c>
      <c r="O35" s="38">
        <f t="shared" si="3"/>
        <v>0.39578490070620814</v>
      </c>
      <c r="P35" s="38">
        <f t="shared" si="3"/>
        <v>0.4439411678774143</v>
      </c>
      <c r="Q35" s="39">
        <f>AVERAGE(D35:P35)</f>
        <v>0.4116463791512181</v>
      </c>
      <c r="T35" s="1">
        <f>(L35+M35+N35+O35+P35)/5</f>
        <v>0.4085624534097918</v>
      </c>
      <c r="U35" s="32">
        <f>AVERAGE(E35:I35)</f>
        <v>0.41227154174897873</v>
      </c>
      <c r="V35" s="32"/>
    </row>
    <row r="36" spans="2:17" ht="12.75">
      <c r="B36" s="10"/>
      <c r="D36" s="40"/>
      <c r="E36" s="40"/>
      <c r="F36" s="40"/>
      <c r="G36" s="40"/>
      <c r="H36" s="40"/>
      <c r="I36" s="40"/>
      <c r="J36" s="40"/>
      <c r="K36" s="41"/>
      <c r="L36" s="41"/>
      <c r="M36" s="41"/>
      <c r="N36" s="41"/>
      <c r="O36" s="41"/>
      <c r="P36" s="41"/>
      <c r="Q36" s="39"/>
    </row>
    <row r="37" spans="2:21" ht="12.75">
      <c r="B37" s="10"/>
      <c r="C37" s="1" t="s">
        <v>103</v>
      </c>
      <c r="D37" s="40">
        <f aca="true" t="shared" si="4" ref="D37:P37">D20/D28</f>
        <v>0.0004758255914066251</v>
      </c>
      <c r="E37" s="40">
        <f t="shared" si="4"/>
        <v>0.00045790709067554267</v>
      </c>
      <c r="F37" s="40">
        <f t="shared" si="4"/>
        <v>0.0004523926758847163</v>
      </c>
      <c r="G37" s="40">
        <f t="shared" si="4"/>
        <v>0.0004471381619047281</v>
      </c>
      <c r="H37" s="40">
        <f t="shared" si="4"/>
        <v>0.000416848720766525</v>
      </c>
      <c r="I37" s="40">
        <f t="shared" si="4"/>
        <v>0.000414610350772648</v>
      </c>
      <c r="J37" s="40">
        <f t="shared" si="4"/>
        <v>0.0003928249248558567</v>
      </c>
      <c r="K37" s="40">
        <f t="shared" si="4"/>
        <v>0.0003741391235043348</v>
      </c>
      <c r="L37" s="40">
        <f t="shared" si="4"/>
        <v>0.00035944049823133964</v>
      </c>
      <c r="M37" s="40">
        <f t="shared" si="4"/>
        <v>0.00035302644016659706</v>
      </c>
      <c r="N37" s="40">
        <f t="shared" si="4"/>
        <v>0.0003528380488298721</v>
      </c>
      <c r="O37" s="40">
        <f t="shared" si="4"/>
        <v>0.00034983535144563117</v>
      </c>
      <c r="P37" s="40">
        <f t="shared" si="4"/>
        <v>0.00033489392602762265</v>
      </c>
      <c r="Q37" s="39">
        <f aca="true" t="shared" si="5" ref="Q37:Q45">AVERAGE(D37:P37)</f>
        <v>0.00039859391572861835</v>
      </c>
      <c r="T37" s="1">
        <f>(L37+M37+N37+O37+P37)/5</f>
        <v>0.00035000685294021253</v>
      </c>
      <c r="U37" s="32">
        <f>AVERAGE(E37:I37)</f>
        <v>0.00043777940000083195</v>
      </c>
    </row>
    <row r="38" spans="2:17" ht="12.75">
      <c r="B38" s="1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9"/>
    </row>
    <row r="39" spans="2:21" ht="12.75">
      <c r="B39" s="10"/>
      <c r="C39" s="1" t="s">
        <v>114</v>
      </c>
      <c r="D39" s="40">
        <f aca="true" t="shared" si="6" ref="D39:P39">D22/D28</f>
        <v>0.07059297087967532</v>
      </c>
      <c r="E39" s="40">
        <f t="shared" si="6"/>
        <v>0.06793460146205443</v>
      </c>
      <c r="F39" s="40">
        <f t="shared" si="6"/>
        <v>0.05693825235129237</v>
      </c>
      <c r="G39" s="40">
        <f t="shared" si="6"/>
        <v>0.05627691794221763</v>
      </c>
      <c r="H39" s="40">
        <f t="shared" si="6"/>
        <v>0.052464681504627485</v>
      </c>
      <c r="I39" s="40">
        <f t="shared" si="6"/>
        <v>0.05218295971212126</v>
      </c>
      <c r="J39" s="40">
        <f t="shared" si="6"/>
        <v>0.007850259879993961</v>
      </c>
      <c r="K39" s="40">
        <f t="shared" si="6"/>
        <v>0.007476840609999279</v>
      </c>
      <c r="L39" s="40">
        <f t="shared" si="6"/>
        <v>0.00718310153956224</v>
      </c>
      <c r="M39" s="40">
        <f t="shared" si="6"/>
        <v>0.007054922242609338</v>
      </c>
      <c r="N39" s="40">
        <f t="shared" si="6"/>
        <v>0</v>
      </c>
      <c r="O39" s="40">
        <f t="shared" si="6"/>
        <v>0</v>
      </c>
      <c r="P39" s="40">
        <f t="shared" si="6"/>
        <v>0</v>
      </c>
      <c r="Q39" s="39">
        <f t="shared" si="5"/>
        <v>0.029688885240319485</v>
      </c>
      <c r="T39" s="1">
        <f>(L39+M39+N39+O39+P39)/5</f>
        <v>0.0028476047564343155</v>
      </c>
      <c r="U39" s="32">
        <f>AVERAGE(E39:I39)</f>
        <v>0.05715948259446264</v>
      </c>
    </row>
    <row r="40" spans="2:17" ht="12.75">
      <c r="B40" s="1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39"/>
    </row>
    <row r="41" spans="3:21" ht="12.75">
      <c r="C41" s="1" t="s">
        <v>104</v>
      </c>
      <c r="D41" s="40">
        <f aca="true" t="shared" si="7" ref="D41:P41">D24/D28</f>
        <v>0.5278061996875522</v>
      </c>
      <c r="E41" s="40">
        <f t="shared" si="7"/>
        <v>0.5079302284372181</v>
      </c>
      <c r="F41" s="40">
        <f t="shared" si="7"/>
        <v>0.5137877983779963</v>
      </c>
      <c r="G41" s="40">
        <f t="shared" si="7"/>
        <v>0.500482289044405</v>
      </c>
      <c r="H41" s="40">
        <f t="shared" si="7"/>
        <v>0.4996800261275217</v>
      </c>
      <c r="I41" s="40">
        <f t="shared" si="7"/>
        <v>0.496996873412151</v>
      </c>
      <c r="J41" s="40">
        <f t="shared" si="7"/>
        <v>0.5133050987385932</v>
      </c>
      <c r="K41" s="40">
        <f t="shared" si="7"/>
        <v>0.5557837669966907</v>
      </c>
      <c r="L41" s="40">
        <f t="shared" si="7"/>
        <v>0.5272891260210946</v>
      </c>
      <c r="M41" s="40">
        <f t="shared" si="7"/>
        <v>0.49919134705844315</v>
      </c>
      <c r="N41" s="40">
        <f t="shared" si="7"/>
        <v>0.5385702045919005</v>
      </c>
      <c r="O41" s="40">
        <f t="shared" si="7"/>
        <v>0.5293570011424745</v>
      </c>
      <c r="P41" s="40">
        <f t="shared" si="7"/>
        <v>0.5067482278455878</v>
      </c>
      <c r="Q41" s="39">
        <f t="shared" si="5"/>
        <v>0.5166867836524329</v>
      </c>
      <c r="T41" s="1">
        <f>(L41+M41+N41+O41+P41)/5</f>
        <v>0.5202311813319</v>
      </c>
      <c r="U41" s="32">
        <f>AVERAGE(E41:I41)</f>
        <v>0.5037754430798584</v>
      </c>
    </row>
    <row r="42" spans="4:17" ht="12.75"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9"/>
    </row>
    <row r="43" spans="2:21" ht="12.75">
      <c r="B43" s="22"/>
      <c r="C43" s="1" t="s">
        <v>13</v>
      </c>
      <c r="D43" s="42">
        <f aca="true" t="shared" si="8" ref="D43:P43">D26/D28</f>
        <v>0</v>
      </c>
      <c r="E43" s="42">
        <f t="shared" si="8"/>
        <v>0.023525855509344676</v>
      </c>
      <c r="F43" s="42">
        <f t="shared" si="8"/>
        <v>0.03822777983205191</v>
      </c>
      <c r="G43" s="42">
        <f t="shared" si="8"/>
        <v>0.055358734284182455</v>
      </c>
      <c r="H43" s="42">
        <f t="shared" si="8"/>
        <v>0.009047537083868462</v>
      </c>
      <c r="I43" s="42">
        <f t="shared" si="8"/>
        <v>0.00561885917404965</v>
      </c>
      <c r="J43" s="42">
        <f t="shared" si="8"/>
        <v>0.04348295339461874</v>
      </c>
      <c r="K43" s="42">
        <f t="shared" si="8"/>
        <v>0.02522616700112737</v>
      </c>
      <c r="L43" s="42">
        <f t="shared" si="8"/>
        <v>0.0670469746298562</v>
      </c>
      <c r="M43" s="42">
        <f t="shared" si="8"/>
        <v>0.09080217549506865</v>
      </c>
      <c r="N43" s="42">
        <f t="shared" si="8"/>
        <v>0.058710644968901125</v>
      </c>
      <c r="O43" s="42">
        <f t="shared" si="8"/>
        <v>0.07450826279987177</v>
      </c>
      <c r="P43" s="42">
        <f t="shared" si="8"/>
        <v>0.04897571035097025</v>
      </c>
      <c r="Q43" s="43">
        <f t="shared" si="5"/>
        <v>0.04157935804030086</v>
      </c>
      <c r="T43" s="1">
        <f>(L43+M43+N43+O43+P43)/5</f>
        <v>0.06800875364893359</v>
      </c>
      <c r="U43" s="32">
        <f>AVERAGE(E43:I43)</f>
        <v>0.026355753176699425</v>
      </c>
    </row>
    <row r="44" spans="2:17" ht="12.75">
      <c r="B44" s="10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9"/>
    </row>
    <row r="45" spans="2:21" ht="12.75">
      <c r="B45" s="10"/>
      <c r="C45" s="10" t="s">
        <v>14</v>
      </c>
      <c r="D45" s="40">
        <f aca="true" t="shared" si="9" ref="D45:J45">SUM(D35:D43)</f>
        <v>1</v>
      </c>
      <c r="E45" s="40">
        <f t="shared" si="9"/>
        <v>1</v>
      </c>
      <c r="F45" s="40">
        <f t="shared" si="9"/>
        <v>1</v>
      </c>
      <c r="G45" s="40">
        <f t="shared" si="9"/>
        <v>1</v>
      </c>
      <c r="H45" s="40">
        <f t="shared" si="9"/>
        <v>1</v>
      </c>
      <c r="I45" s="40">
        <f t="shared" si="9"/>
        <v>1</v>
      </c>
      <c r="J45" s="40">
        <f t="shared" si="9"/>
        <v>0.9999999999999999</v>
      </c>
      <c r="K45" s="40">
        <f aca="true" t="shared" si="10" ref="K45:P45">SUM(K35,K37,K39,K41,K43)</f>
        <v>0.9999999999999999</v>
      </c>
      <c r="L45" s="40">
        <f t="shared" si="10"/>
        <v>1</v>
      </c>
      <c r="M45" s="40">
        <f t="shared" si="10"/>
        <v>1</v>
      </c>
      <c r="N45" s="40">
        <f t="shared" si="10"/>
        <v>1</v>
      </c>
      <c r="O45" s="40">
        <f t="shared" si="10"/>
        <v>1</v>
      </c>
      <c r="P45" s="40">
        <f t="shared" si="10"/>
        <v>1</v>
      </c>
      <c r="Q45" s="39">
        <f t="shared" si="5"/>
        <v>1</v>
      </c>
      <c r="S45" s="44"/>
      <c r="T45" s="73">
        <f>SUM(T35:T43)</f>
        <v>1</v>
      </c>
      <c r="U45" s="73">
        <f>SUM(U35:U43)</f>
        <v>1</v>
      </c>
    </row>
    <row r="46" spans="2:18" ht="12.75">
      <c r="B46" s="10"/>
      <c r="C46" s="10"/>
      <c r="D46" s="10"/>
      <c r="E46" s="10"/>
      <c r="F46" s="10"/>
      <c r="G46" s="10"/>
      <c r="H46" s="10"/>
      <c r="K46" s="37"/>
      <c r="L46" s="37"/>
      <c r="M46" s="45"/>
      <c r="N46" s="45"/>
      <c r="O46" s="45"/>
      <c r="R46" s="46"/>
    </row>
    <row r="47" spans="2:18" ht="12.75">
      <c r="B47" s="10"/>
      <c r="D47" s="22"/>
      <c r="E47" s="10"/>
      <c r="F47" s="10"/>
      <c r="G47" s="10"/>
      <c r="H47" s="10"/>
      <c r="K47" s="37"/>
      <c r="L47" s="37"/>
      <c r="M47" s="45"/>
      <c r="N47" s="45"/>
      <c r="O47" s="45"/>
      <c r="R47" s="46"/>
    </row>
    <row r="48" spans="3:18" ht="12.75">
      <c r="C48" s="10"/>
      <c r="D48" s="35"/>
      <c r="E48" s="35"/>
      <c r="F48" s="35"/>
      <c r="G48" s="35"/>
      <c r="H48" s="35"/>
      <c r="I48" s="21"/>
      <c r="K48" s="37"/>
      <c r="L48" s="37"/>
      <c r="M48" s="45"/>
      <c r="N48" s="45"/>
      <c r="O48" s="45"/>
      <c r="R48" s="46"/>
    </row>
    <row r="49" spans="2:18" ht="12.75">
      <c r="B49" s="10"/>
      <c r="C49" s="10" t="s">
        <v>2</v>
      </c>
      <c r="D49" s="37"/>
      <c r="E49" s="37"/>
      <c r="F49" s="37"/>
      <c r="G49" s="37"/>
      <c r="H49" s="37"/>
      <c r="I49" s="47"/>
      <c r="K49" s="37"/>
      <c r="L49" s="37"/>
      <c r="M49" s="45"/>
      <c r="N49" s="45"/>
      <c r="O49" s="45"/>
      <c r="R49" s="46"/>
    </row>
    <row r="50" spans="2:18" ht="12.75">
      <c r="B50" s="10"/>
      <c r="C50" s="10" t="s">
        <v>24</v>
      </c>
      <c r="D50" s="26"/>
      <c r="E50" s="26"/>
      <c r="F50" s="26"/>
      <c r="G50" s="26"/>
      <c r="H50" s="26"/>
      <c r="I50" s="48"/>
      <c r="K50" s="37"/>
      <c r="L50" s="37"/>
      <c r="M50" s="45"/>
      <c r="N50" s="45"/>
      <c r="O50" s="45"/>
      <c r="R50" s="46"/>
    </row>
    <row r="51" spans="2:18" ht="12.75">
      <c r="B51" s="10"/>
      <c r="C51" s="10"/>
      <c r="D51" s="27"/>
      <c r="E51" s="27"/>
      <c r="F51" s="27"/>
      <c r="G51" s="28"/>
      <c r="H51" s="28"/>
      <c r="I51" s="23"/>
      <c r="K51" s="37"/>
      <c r="L51" s="37"/>
      <c r="M51" s="45"/>
      <c r="N51" s="45"/>
      <c r="O51" s="45"/>
      <c r="R51" s="46"/>
    </row>
    <row r="52" spans="2:18" ht="12.75">
      <c r="B52" s="10"/>
      <c r="D52" s="37"/>
      <c r="E52" s="37"/>
      <c r="F52" s="37"/>
      <c r="G52" s="37"/>
      <c r="H52" s="49"/>
      <c r="I52" s="38"/>
      <c r="K52" s="38"/>
      <c r="L52" s="37"/>
      <c r="M52" s="45"/>
      <c r="N52" s="45"/>
      <c r="O52" s="45"/>
      <c r="R52" s="46"/>
    </row>
    <row r="53" spans="2:18" ht="12.75">
      <c r="B53" s="10"/>
      <c r="D53" s="37"/>
      <c r="E53" s="37"/>
      <c r="F53" s="37"/>
      <c r="G53" s="37"/>
      <c r="H53" s="49"/>
      <c r="I53" s="38"/>
      <c r="K53" s="38"/>
      <c r="L53" s="37"/>
      <c r="M53" s="45"/>
      <c r="N53" s="45"/>
      <c r="O53" s="45"/>
      <c r="R53" s="46"/>
    </row>
    <row r="54" spans="2:18" ht="12.75">
      <c r="B54" s="10"/>
      <c r="D54" s="37"/>
      <c r="E54" s="37"/>
      <c r="F54" s="37"/>
      <c r="G54" s="37"/>
      <c r="H54" s="49"/>
      <c r="I54" s="38"/>
      <c r="K54" s="38"/>
      <c r="L54" s="37"/>
      <c r="M54" s="45"/>
      <c r="N54" s="45"/>
      <c r="O54" s="45"/>
      <c r="R54" s="46"/>
    </row>
    <row r="55" spans="2:18" ht="12.75">
      <c r="B55" s="6"/>
      <c r="C55" s="6"/>
      <c r="D55" s="6"/>
      <c r="E55" s="6"/>
      <c r="F55" s="6"/>
      <c r="G55" s="6"/>
      <c r="H55" s="6"/>
      <c r="I55" s="6"/>
      <c r="K55" s="38"/>
      <c r="L55" s="37"/>
      <c r="M55" s="45"/>
      <c r="N55" s="45"/>
      <c r="O55" s="45"/>
      <c r="R55" s="46"/>
    </row>
    <row r="56" spans="2:18" ht="12.75">
      <c r="B56" s="6"/>
      <c r="C56" s="6"/>
      <c r="D56" s="6"/>
      <c r="E56" s="6"/>
      <c r="F56" s="6"/>
      <c r="G56" s="6"/>
      <c r="H56" s="6"/>
      <c r="I56" s="6"/>
      <c r="K56" s="50"/>
      <c r="L56" s="37"/>
      <c r="M56" s="45"/>
      <c r="N56" s="45"/>
      <c r="O56" s="45"/>
      <c r="R56" s="46"/>
    </row>
    <row r="57" spans="2:18" ht="12.75">
      <c r="B57" s="6"/>
      <c r="C57" s="6"/>
      <c r="D57" s="6"/>
      <c r="E57" s="6"/>
      <c r="F57" s="6"/>
      <c r="G57" s="6"/>
      <c r="H57" s="6"/>
      <c r="I57" s="6"/>
      <c r="K57" s="45"/>
      <c r="L57" s="37"/>
      <c r="M57" s="45"/>
      <c r="N57" s="45"/>
      <c r="O57" s="45"/>
      <c r="R57" s="46"/>
    </row>
    <row r="58" spans="2:18" ht="12.75">
      <c r="B58" s="6"/>
      <c r="C58" s="6"/>
      <c r="D58" s="6"/>
      <c r="E58" s="6"/>
      <c r="F58" s="6"/>
      <c r="G58" s="6"/>
      <c r="H58" s="6"/>
      <c r="I58" s="6"/>
      <c r="K58" s="38"/>
      <c r="L58" s="37"/>
      <c r="M58" s="45"/>
      <c r="N58" s="45"/>
      <c r="O58" s="45"/>
      <c r="R58" s="46"/>
    </row>
    <row r="59" spans="2:18" ht="12.75">
      <c r="B59" s="6"/>
      <c r="C59" s="6"/>
      <c r="D59" s="6"/>
      <c r="E59" s="6"/>
      <c r="F59" s="6"/>
      <c r="G59" s="6"/>
      <c r="H59" s="6"/>
      <c r="I59" s="6"/>
      <c r="K59" s="37"/>
      <c r="L59" s="37"/>
      <c r="M59" s="45"/>
      <c r="N59" s="45"/>
      <c r="O59" s="45"/>
      <c r="R59" s="46"/>
    </row>
    <row r="60" spans="2:18" ht="12.75">
      <c r="B60" s="6"/>
      <c r="C60" s="6"/>
      <c r="D60" s="6"/>
      <c r="E60" s="6"/>
      <c r="F60" s="6"/>
      <c r="G60" s="6"/>
      <c r="H60" s="6"/>
      <c r="I60" s="6"/>
      <c r="K60" s="51"/>
      <c r="L60" s="51"/>
      <c r="M60" s="52"/>
      <c r="N60" s="52"/>
      <c r="O60" s="52"/>
      <c r="R60" s="53"/>
    </row>
    <row r="61" spans="2:18" ht="12.75">
      <c r="B61" s="6"/>
      <c r="C61" s="6"/>
      <c r="D61" s="6"/>
      <c r="E61" s="6"/>
      <c r="F61" s="6"/>
      <c r="G61" s="6"/>
      <c r="H61" s="6"/>
      <c r="I61" s="6"/>
      <c r="K61" s="37"/>
      <c r="L61" s="37"/>
      <c r="M61" s="45"/>
      <c r="N61" s="45"/>
      <c r="O61" s="45"/>
      <c r="R61" s="46"/>
    </row>
    <row r="62" spans="2:18" ht="12.75">
      <c r="B62" s="6"/>
      <c r="C62" s="6"/>
      <c r="D62" s="6"/>
      <c r="E62" s="6"/>
      <c r="F62" s="6"/>
      <c r="G62" s="6"/>
      <c r="H62" s="6"/>
      <c r="I62" s="6"/>
      <c r="K62" s="37"/>
      <c r="L62" s="37"/>
      <c r="M62" s="45"/>
      <c r="N62" s="45"/>
      <c r="O62" s="45"/>
      <c r="R62" s="46"/>
    </row>
    <row r="63" spans="2:13" ht="12.75">
      <c r="B63" s="6"/>
      <c r="C63" s="6"/>
      <c r="D63" s="6"/>
      <c r="E63" s="6"/>
      <c r="F63" s="6"/>
      <c r="G63" s="6"/>
      <c r="H63" s="6"/>
      <c r="I63" s="6"/>
      <c r="J63" s="10"/>
      <c r="K63" s="10"/>
      <c r="L63" s="10"/>
      <c r="M63" s="10"/>
    </row>
    <row r="64" spans="2:13" ht="12.75">
      <c r="B64" s="6"/>
      <c r="C64" s="6"/>
      <c r="D64" s="6"/>
      <c r="E64" s="6"/>
      <c r="F64" s="6"/>
      <c r="G64" s="6"/>
      <c r="H64" s="6"/>
      <c r="I64" s="6"/>
      <c r="J64" s="54"/>
      <c r="K64" s="54"/>
      <c r="L64" s="54"/>
      <c r="M64" s="54"/>
    </row>
    <row r="65" spans="2:13" ht="12.75">
      <c r="B65" s="6"/>
      <c r="C65" s="6"/>
      <c r="D65" s="6"/>
      <c r="E65" s="6"/>
      <c r="F65" s="6"/>
      <c r="G65" s="6"/>
      <c r="H65" s="6"/>
      <c r="I65" s="6"/>
      <c r="J65" s="54"/>
      <c r="K65" s="54"/>
      <c r="L65" s="54"/>
      <c r="M65" s="10"/>
    </row>
    <row r="66" spans="2:13" ht="12.75">
      <c r="B66" s="6"/>
      <c r="C66" s="6"/>
      <c r="D66" s="6"/>
      <c r="E66" s="6"/>
      <c r="F66" s="6"/>
      <c r="G66" s="6"/>
      <c r="H66" s="6"/>
      <c r="I66" s="6"/>
      <c r="J66" s="54"/>
      <c r="K66" s="54"/>
      <c r="L66" s="54"/>
      <c r="M66" s="54"/>
    </row>
    <row r="67" spans="2:13" ht="12.75">
      <c r="B67" s="6"/>
      <c r="C67" s="6"/>
      <c r="D67" s="6"/>
      <c r="E67" s="6"/>
      <c r="F67" s="6"/>
      <c r="G67" s="6"/>
      <c r="H67" s="6"/>
      <c r="I67" s="6"/>
      <c r="J67" s="54"/>
      <c r="K67" s="54"/>
      <c r="L67" s="54"/>
      <c r="M67" s="10"/>
    </row>
    <row r="68" spans="2:13" ht="12.75">
      <c r="B68" s="6"/>
      <c r="C68" s="6"/>
      <c r="D68" s="6"/>
      <c r="E68" s="6"/>
      <c r="F68" s="6"/>
      <c r="G68" s="6"/>
      <c r="H68" s="6"/>
      <c r="I68" s="6"/>
      <c r="J68" s="54"/>
      <c r="K68" s="54"/>
      <c r="L68" s="54"/>
      <c r="M68" s="54"/>
    </row>
    <row r="69" spans="2:13" ht="12.75">
      <c r="B69" s="6"/>
      <c r="C69" s="6"/>
      <c r="D69" s="6"/>
      <c r="E69" s="6"/>
      <c r="F69" s="6"/>
      <c r="G69" s="6"/>
      <c r="H69" s="6"/>
      <c r="I69" s="6"/>
      <c r="J69" s="54"/>
      <c r="K69" s="54"/>
      <c r="L69" s="54"/>
      <c r="M69" s="10"/>
    </row>
    <row r="70" spans="2:13" ht="12.75">
      <c r="B70" s="6"/>
      <c r="C70" s="6"/>
      <c r="D70" s="6"/>
      <c r="E70" s="6"/>
      <c r="F70" s="6"/>
      <c r="G70" s="6"/>
      <c r="H70" s="6"/>
      <c r="I70" s="6"/>
      <c r="J70" s="54"/>
      <c r="K70" s="54"/>
      <c r="L70" s="54"/>
      <c r="M70" s="54"/>
    </row>
    <row r="71" spans="2:13" ht="12.75">
      <c r="B71" s="6"/>
      <c r="C71" s="6"/>
      <c r="D71" s="6"/>
      <c r="E71" s="6"/>
      <c r="F71" s="6"/>
      <c r="G71" s="6"/>
      <c r="H71" s="6"/>
      <c r="I71" s="6"/>
      <c r="J71" s="54"/>
      <c r="K71" s="54"/>
      <c r="L71" s="54"/>
      <c r="M71" s="10"/>
    </row>
    <row r="72" spans="2:13" ht="12.75">
      <c r="B72" s="6"/>
      <c r="C72" s="6"/>
      <c r="D72" s="6"/>
      <c r="E72" s="6"/>
      <c r="F72" s="6"/>
      <c r="G72" s="6"/>
      <c r="H72" s="6"/>
      <c r="I72" s="6"/>
      <c r="J72" s="55"/>
      <c r="K72" s="55"/>
      <c r="L72" s="55"/>
      <c r="M72" s="55"/>
    </row>
    <row r="73" spans="2:13" ht="12.75">
      <c r="B73" s="10"/>
      <c r="C73" s="10"/>
      <c r="D73" s="10"/>
      <c r="E73" s="10"/>
      <c r="F73" s="10"/>
      <c r="G73" s="54"/>
      <c r="H73" s="54"/>
      <c r="I73" s="54"/>
      <c r="J73" s="54"/>
      <c r="K73" s="54"/>
      <c r="L73" s="54"/>
      <c r="M73" s="10"/>
    </row>
    <row r="74" spans="2:13" ht="12.75">
      <c r="B74" s="10"/>
      <c r="C74" s="10"/>
      <c r="D74" s="10"/>
      <c r="E74" s="10"/>
      <c r="F74" s="10"/>
      <c r="G74" s="54"/>
      <c r="H74" s="54"/>
      <c r="I74" s="54"/>
      <c r="J74" s="54"/>
      <c r="K74" s="54"/>
      <c r="L74" s="54"/>
      <c r="M74" s="54"/>
    </row>
    <row r="75" spans="2:13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ht="12.75">
      <c r="B76" s="22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ht="12.75">
      <c r="B78" s="10"/>
      <c r="C78" s="25"/>
      <c r="D78" s="25"/>
      <c r="E78" s="25"/>
      <c r="F78" s="25"/>
      <c r="G78" s="56"/>
      <c r="H78" s="56"/>
      <c r="I78" s="56"/>
      <c r="J78" s="56"/>
      <c r="K78" s="56"/>
      <c r="L78" s="56"/>
      <c r="M78" s="57"/>
    </row>
    <row r="79" spans="2:1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ht="12.75">
      <c r="B80" s="10"/>
      <c r="C80" s="10"/>
      <c r="D80" s="10"/>
      <c r="E80" s="10"/>
      <c r="F80" s="10"/>
      <c r="G80" s="58"/>
      <c r="H80" s="58"/>
      <c r="I80" s="58"/>
      <c r="J80" s="58"/>
      <c r="K80" s="58"/>
      <c r="L80" s="58"/>
      <c r="M80" s="58"/>
    </row>
    <row r="81" spans="2:13" ht="12.75">
      <c r="B81" s="10"/>
      <c r="C81" s="10"/>
      <c r="D81" s="10"/>
      <c r="E81" s="10"/>
      <c r="F81" s="10"/>
      <c r="G81" s="58"/>
      <c r="H81" s="58"/>
      <c r="I81" s="58"/>
      <c r="J81" s="58"/>
      <c r="K81" s="58"/>
      <c r="L81" s="58"/>
      <c r="M81" s="58"/>
    </row>
    <row r="82" spans="2:13" ht="12.75">
      <c r="B82" s="10"/>
      <c r="C82" s="10"/>
      <c r="D82" s="10"/>
      <c r="E82" s="10"/>
      <c r="F82" s="10"/>
      <c r="G82" s="58"/>
      <c r="H82" s="58"/>
      <c r="I82" s="58"/>
      <c r="J82" s="58"/>
      <c r="K82" s="58"/>
      <c r="L82" s="58"/>
      <c r="M82" s="58"/>
    </row>
    <row r="83" spans="2:13" ht="12.75">
      <c r="B83" s="10"/>
      <c r="C83" s="10"/>
      <c r="D83" s="10"/>
      <c r="E83" s="10"/>
      <c r="F83" s="10"/>
      <c r="G83" s="58"/>
      <c r="H83" s="58"/>
      <c r="I83" s="58"/>
      <c r="J83" s="58"/>
      <c r="K83" s="58"/>
      <c r="L83" s="58"/>
      <c r="M83" s="58"/>
    </row>
    <row r="84" spans="2:13" ht="12.75">
      <c r="B84" s="10"/>
      <c r="C84" s="10"/>
      <c r="D84" s="10"/>
      <c r="E84" s="10"/>
      <c r="F84" s="10"/>
      <c r="G84" s="58"/>
      <c r="H84" s="58"/>
      <c r="I84" s="58"/>
      <c r="J84" s="58"/>
      <c r="K84" s="58"/>
      <c r="L84" s="58"/>
      <c r="M84" s="58"/>
    </row>
    <row r="85" spans="2:13" ht="12.75">
      <c r="B85" s="10"/>
      <c r="C85" s="10"/>
      <c r="D85" s="10"/>
      <c r="E85" s="10"/>
      <c r="F85" s="10"/>
      <c r="G85" s="58"/>
      <c r="H85" s="58"/>
      <c r="I85" s="58"/>
      <c r="J85" s="58"/>
      <c r="K85" s="58"/>
      <c r="L85" s="58"/>
      <c r="M85" s="58"/>
    </row>
    <row r="86" spans="2:13" ht="12.75">
      <c r="B86" s="10"/>
      <c r="C86" s="10"/>
      <c r="D86" s="10"/>
      <c r="E86" s="10"/>
      <c r="F86" s="10"/>
      <c r="G86" s="58"/>
      <c r="H86" s="58"/>
      <c r="I86" s="58"/>
      <c r="J86" s="58"/>
      <c r="K86" s="58"/>
      <c r="L86" s="58"/>
      <c r="M86" s="58"/>
    </row>
    <row r="87" spans="2:13" ht="12.75">
      <c r="B87" s="10"/>
      <c r="C87" s="10"/>
      <c r="D87" s="10"/>
      <c r="E87" s="10"/>
      <c r="F87" s="10"/>
      <c r="G87" s="58"/>
      <c r="H87" s="58"/>
      <c r="I87" s="58"/>
      <c r="J87" s="58"/>
      <c r="K87" s="58"/>
      <c r="L87" s="58"/>
      <c r="M87" s="58"/>
    </row>
    <row r="88" spans="2:13" ht="12.75">
      <c r="B88" s="10"/>
      <c r="C88" s="10"/>
      <c r="D88" s="10"/>
      <c r="E88" s="10"/>
      <c r="F88" s="10"/>
      <c r="G88" s="59"/>
      <c r="H88" s="59"/>
      <c r="I88" s="59"/>
      <c r="J88" s="59"/>
      <c r="K88" s="59"/>
      <c r="L88" s="59"/>
      <c r="M88" s="59"/>
    </row>
    <row r="89" spans="2:13" ht="12.75">
      <c r="B89" s="10"/>
      <c r="C89" s="10"/>
      <c r="D89" s="10"/>
      <c r="E89" s="10"/>
      <c r="F89" s="10"/>
      <c r="G89" s="58"/>
      <c r="H89" s="58"/>
      <c r="I89" s="58"/>
      <c r="J89" s="58"/>
      <c r="K89" s="58"/>
      <c r="L89" s="58"/>
      <c r="M89" s="58"/>
    </row>
    <row r="90" spans="2:13" ht="12.75">
      <c r="B90" s="10"/>
      <c r="C90" s="10"/>
      <c r="D90" s="10"/>
      <c r="E90" s="10"/>
      <c r="F90" s="10"/>
      <c r="G90" s="58"/>
      <c r="H90" s="58"/>
      <c r="I90" s="58"/>
      <c r="J90" s="58"/>
      <c r="K90" s="58"/>
      <c r="L90" s="58"/>
      <c r="M90" s="58"/>
    </row>
  </sheetData>
  <sheetProtection/>
  <printOptions/>
  <pageMargins left="0.75" right="0.75" top="1" bottom="0.94" header="0.5" footer="0.5"/>
  <pageSetup fitToHeight="1" fitToWidth="1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PageLayoutView="0" workbookViewId="0" topLeftCell="B33">
      <selection activeCell="I2" sqref="I1:I2"/>
    </sheetView>
  </sheetViews>
  <sheetFormatPr defaultColWidth="11.375" defaultRowHeight="12"/>
  <cols>
    <col min="1" max="1" width="3.75390625" style="4" customWidth="1"/>
    <col min="2" max="2" width="7.375" style="4" customWidth="1"/>
    <col min="3" max="3" width="10.875" style="4" customWidth="1"/>
    <col min="4" max="4" width="10.875" style="5" customWidth="1"/>
    <col min="5" max="5" width="19.875" style="5" customWidth="1"/>
    <col min="6" max="8" width="10.875" style="4" customWidth="1"/>
    <col min="9" max="9" width="10.875" style="5" customWidth="1"/>
    <col min="10" max="14" width="11.375" style="4" customWidth="1"/>
    <col min="15" max="15" width="10.875" style="4" customWidth="1"/>
    <col min="16" max="16384" width="11.375" style="4" customWidth="1"/>
  </cols>
  <sheetData>
    <row r="1" spans="4:9" s="1" customFormat="1" ht="12.75">
      <c r="D1" s="2"/>
      <c r="E1" s="2"/>
      <c r="I1" s="17" t="s">
        <v>116</v>
      </c>
    </row>
    <row r="2" spans="4:9" s="1" customFormat="1" ht="12.75">
      <c r="D2" s="2"/>
      <c r="E2" s="2"/>
      <c r="I2" s="17" t="s">
        <v>117</v>
      </c>
    </row>
    <row r="3" spans="4:9" s="1" customFormat="1" ht="12.75">
      <c r="D3" s="2"/>
      <c r="E3" s="2"/>
      <c r="I3" s="3" t="s">
        <v>58</v>
      </c>
    </row>
    <row r="5" ht="15.75">
      <c r="F5" s="84" t="str">
        <f>'Ex7,p2'!J9</f>
        <v>PUGET SOUND ENERGY, INC.</v>
      </c>
    </row>
    <row r="6" ht="15.75">
      <c r="F6" s="84" t="s">
        <v>108</v>
      </c>
    </row>
    <row r="8" spans="1:8" ht="15.75">
      <c r="A8" s="1"/>
      <c r="B8" s="6"/>
      <c r="C8" s="6"/>
      <c r="D8" s="7" t="s">
        <v>18</v>
      </c>
      <c r="E8" s="7"/>
      <c r="F8" s="2" t="s">
        <v>8</v>
      </c>
      <c r="G8" s="7" t="s">
        <v>95</v>
      </c>
      <c r="H8" s="7" t="s">
        <v>97</v>
      </c>
    </row>
    <row r="9" spans="1:8" ht="15.75">
      <c r="A9" s="1"/>
      <c r="B9" s="6"/>
      <c r="C9" s="6"/>
      <c r="D9" s="8" t="s">
        <v>19</v>
      </c>
      <c r="E9" s="8"/>
      <c r="F9" s="9" t="s">
        <v>9</v>
      </c>
      <c r="G9" s="8" t="s">
        <v>96</v>
      </c>
      <c r="H9" s="8" t="s">
        <v>96</v>
      </c>
    </row>
    <row r="10" spans="1:6" ht="15.75">
      <c r="A10" s="1"/>
      <c r="B10" s="6"/>
      <c r="C10" s="6"/>
      <c r="D10" s="1"/>
      <c r="E10" s="1"/>
      <c r="F10" s="2"/>
    </row>
    <row r="11" spans="1:18" ht="15.75">
      <c r="A11" s="1"/>
      <c r="B11" s="6">
        <v>1</v>
      </c>
      <c r="C11" s="10" t="s">
        <v>23</v>
      </c>
      <c r="D11" s="6"/>
      <c r="E11" s="1"/>
      <c r="F11" s="11">
        <v>13.532148900169204</v>
      </c>
      <c r="G11" s="13" t="s">
        <v>75</v>
      </c>
      <c r="H11" s="13" t="s">
        <v>76</v>
      </c>
      <c r="K11" s="12"/>
      <c r="O11"/>
      <c r="P11"/>
      <c r="Q11"/>
      <c r="R11"/>
    </row>
    <row r="12" spans="1:18" ht="15.75">
      <c r="A12" s="1"/>
      <c r="B12" s="6">
        <v>2</v>
      </c>
      <c r="C12" s="10" t="s">
        <v>25</v>
      </c>
      <c r="D12" s="6"/>
      <c r="E12" s="1"/>
      <c r="F12" s="11">
        <v>55.63110451595756</v>
      </c>
      <c r="G12" s="13" t="s">
        <v>77</v>
      </c>
      <c r="H12" s="13" t="s">
        <v>78</v>
      </c>
      <c r="K12" s="12"/>
      <c r="O12"/>
      <c r="P12"/>
      <c r="Q12"/>
      <c r="R12"/>
    </row>
    <row r="13" spans="1:18" ht="15.75">
      <c r="A13" s="1"/>
      <c r="B13" s="6">
        <v>3</v>
      </c>
      <c r="C13" s="10" t="s">
        <v>26</v>
      </c>
      <c r="D13" s="6"/>
      <c r="E13" s="1"/>
      <c r="F13" s="11">
        <v>48.73755590823835</v>
      </c>
      <c r="G13" s="13" t="s">
        <v>75</v>
      </c>
      <c r="H13" s="13" t="s">
        <v>79</v>
      </c>
      <c r="K13" s="12"/>
      <c r="O13"/>
      <c r="P13"/>
      <c r="Q13"/>
      <c r="R13"/>
    </row>
    <row r="14" spans="1:18" ht="15.75">
      <c r="A14" s="1"/>
      <c r="B14" s="6">
        <v>4</v>
      </c>
      <c r="C14" s="10" t="s">
        <v>27</v>
      </c>
      <c r="D14" s="6"/>
      <c r="E14" s="1"/>
      <c r="F14" s="11">
        <v>56.25500358151096</v>
      </c>
      <c r="G14" s="13" t="s">
        <v>80</v>
      </c>
      <c r="H14" s="13" t="s">
        <v>81</v>
      </c>
      <c r="K14" s="12"/>
      <c r="O14"/>
      <c r="P14"/>
      <c r="Q14"/>
      <c r="R14"/>
    </row>
    <row r="15" spans="1:18" ht="15.75">
      <c r="A15" s="1"/>
      <c r="B15" s="6">
        <v>5</v>
      </c>
      <c r="C15" s="10" t="s">
        <v>28</v>
      </c>
      <c r="D15" s="6"/>
      <c r="E15" s="1"/>
      <c r="F15" s="11">
        <v>45.89460433137568</v>
      </c>
      <c r="G15" s="13" t="s">
        <v>82</v>
      </c>
      <c r="H15" s="13" t="s">
        <v>83</v>
      </c>
      <c r="K15" s="12"/>
      <c r="O15"/>
      <c r="P15"/>
      <c r="Q15"/>
      <c r="R15"/>
    </row>
    <row r="16" spans="1:18" ht="15.75">
      <c r="A16" s="1"/>
      <c r="B16" s="6">
        <v>6</v>
      </c>
      <c r="C16" s="10" t="s">
        <v>29</v>
      </c>
      <c r="D16" s="6"/>
      <c r="E16" s="1"/>
      <c r="F16" s="11">
        <v>57.6341252463063</v>
      </c>
      <c r="G16" s="13" t="s">
        <v>75</v>
      </c>
      <c r="H16" s="13" t="s">
        <v>76</v>
      </c>
      <c r="K16" s="12"/>
      <c r="O16"/>
      <c r="P16"/>
      <c r="Q16"/>
      <c r="R16"/>
    </row>
    <row r="17" spans="1:18" ht="15.75">
      <c r="A17" s="1"/>
      <c r="B17" s="6">
        <v>7</v>
      </c>
      <c r="C17" s="10" t="s">
        <v>30</v>
      </c>
      <c r="D17" s="6"/>
      <c r="E17" s="1"/>
      <c r="F17" s="11">
        <v>15.18677281077771</v>
      </c>
      <c r="G17" s="13" t="s">
        <v>75</v>
      </c>
      <c r="H17" s="13" t="s">
        <v>76</v>
      </c>
      <c r="K17" s="12"/>
      <c r="O17"/>
      <c r="P17"/>
      <c r="Q17"/>
      <c r="R17"/>
    </row>
    <row r="18" spans="1:18" ht="15.75">
      <c r="A18" s="1"/>
      <c r="B18" s="6">
        <v>8</v>
      </c>
      <c r="C18" s="10" t="s">
        <v>31</v>
      </c>
      <c r="D18" s="6"/>
      <c r="E18" s="1"/>
      <c r="F18" s="11">
        <v>52.74137221850326</v>
      </c>
      <c r="G18" s="13" t="s">
        <v>84</v>
      </c>
      <c r="H18" s="13" t="s">
        <v>78</v>
      </c>
      <c r="K18" s="12"/>
      <c r="O18"/>
      <c r="P18"/>
      <c r="Q18"/>
      <c r="R18"/>
    </row>
    <row r="19" spans="1:18" ht="15.75">
      <c r="A19" s="1"/>
      <c r="B19" s="6">
        <v>9</v>
      </c>
      <c r="C19" s="10" t="s">
        <v>32</v>
      </c>
      <c r="D19" s="6"/>
      <c r="E19" s="1"/>
      <c r="F19" s="11">
        <v>24.615384615384617</v>
      </c>
      <c r="G19" s="13" t="s">
        <v>75</v>
      </c>
      <c r="H19" s="13" t="s">
        <v>76</v>
      </c>
      <c r="K19" s="12"/>
      <c r="O19"/>
      <c r="P19"/>
      <c r="Q19"/>
      <c r="R19"/>
    </row>
    <row r="20" spans="1:18" ht="15.75">
      <c r="A20" s="1"/>
      <c r="B20" s="6">
        <v>10</v>
      </c>
      <c r="C20" s="10" t="s">
        <v>33</v>
      </c>
      <c r="D20" s="6"/>
      <c r="E20" s="1"/>
      <c r="F20" s="11">
        <v>48.70516849062737</v>
      </c>
      <c r="G20" s="13" t="s">
        <v>84</v>
      </c>
      <c r="H20" s="13" t="s">
        <v>85</v>
      </c>
      <c r="K20" s="12"/>
      <c r="O20"/>
      <c r="P20"/>
      <c r="Q20"/>
      <c r="R20"/>
    </row>
    <row r="21" spans="1:18" ht="15.75">
      <c r="A21" s="1"/>
      <c r="B21" s="6">
        <v>11</v>
      </c>
      <c r="C21" s="10" t="s">
        <v>34</v>
      </c>
      <c r="D21" s="6"/>
      <c r="E21" s="1"/>
      <c r="F21" s="11">
        <v>50.328252663767984</v>
      </c>
      <c r="G21" s="13" t="s">
        <v>84</v>
      </c>
      <c r="H21" s="13" t="s">
        <v>76</v>
      </c>
      <c r="K21" s="12"/>
      <c r="O21"/>
      <c r="P21"/>
      <c r="Q21"/>
      <c r="R21"/>
    </row>
    <row r="22" spans="1:18" ht="15.75">
      <c r="A22" s="1"/>
      <c r="B22" s="6">
        <v>12</v>
      </c>
      <c r="C22" s="10" t="s">
        <v>35</v>
      </c>
      <c r="D22" s="6"/>
      <c r="E22" s="1"/>
      <c r="F22" s="11">
        <v>43.87513046778631</v>
      </c>
      <c r="G22" s="13" t="s">
        <v>84</v>
      </c>
      <c r="H22" s="13" t="s">
        <v>79</v>
      </c>
      <c r="K22" s="12"/>
      <c r="O22"/>
      <c r="P22"/>
      <c r="Q22"/>
      <c r="R22"/>
    </row>
    <row r="23" spans="1:18" ht="15.75">
      <c r="A23" s="1"/>
      <c r="B23" s="6">
        <v>13</v>
      </c>
      <c r="C23" s="10" t="s">
        <v>36</v>
      </c>
      <c r="D23" s="6"/>
      <c r="E23" s="1"/>
      <c r="F23" s="11">
        <v>40.03232380015459</v>
      </c>
      <c r="G23" s="13" t="s">
        <v>77</v>
      </c>
      <c r="H23" s="13" t="s">
        <v>86</v>
      </c>
      <c r="O23"/>
      <c r="P23"/>
      <c r="Q23"/>
      <c r="R23"/>
    </row>
    <row r="24" spans="1:18" ht="15.75">
      <c r="A24" s="1"/>
      <c r="B24" s="6">
        <v>14</v>
      </c>
      <c r="C24" s="10" t="s">
        <v>37</v>
      </c>
      <c r="D24" s="6"/>
      <c r="E24" s="1"/>
      <c r="F24" s="11">
        <v>63.77614334574291</v>
      </c>
      <c r="G24" s="13" t="s">
        <v>84</v>
      </c>
      <c r="H24" s="13" t="s">
        <v>86</v>
      </c>
      <c r="K24" s="12"/>
      <c r="O24"/>
      <c r="P24"/>
      <c r="Q24"/>
      <c r="R24"/>
    </row>
    <row r="25" spans="1:18" ht="15.75">
      <c r="A25" s="1"/>
      <c r="B25" s="6">
        <v>15</v>
      </c>
      <c r="C25" s="10" t="s">
        <v>38</v>
      </c>
      <c r="D25" s="6"/>
      <c r="E25" s="1"/>
      <c r="F25" s="11">
        <v>44.74653762754329</v>
      </c>
      <c r="G25" s="13" t="s">
        <v>82</v>
      </c>
      <c r="H25" s="13" t="s">
        <v>76</v>
      </c>
      <c r="K25" s="12"/>
      <c r="O25"/>
      <c r="P25"/>
      <c r="Q25"/>
      <c r="R25"/>
    </row>
    <row r="26" spans="1:18" ht="15.75">
      <c r="A26" s="1"/>
      <c r="B26" s="6">
        <v>16</v>
      </c>
      <c r="C26" s="10" t="s">
        <v>39</v>
      </c>
      <c r="D26" s="6"/>
      <c r="E26" s="1"/>
      <c r="F26" s="11">
        <v>44.0161752456529</v>
      </c>
      <c r="G26" s="13" t="s">
        <v>77</v>
      </c>
      <c r="H26" s="13" t="s">
        <v>86</v>
      </c>
      <c r="K26" s="12"/>
      <c r="O26"/>
      <c r="P26"/>
      <c r="Q26"/>
      <c r="R26"/>
    </row>
    <row r="27" spans="1:18" ht="15.75">
      <c r="A27" s="1"/>
      <c r="B27" s="6">
        <v>17</v>
      </c>
      <c r="C27" s="10" t="s">
        <v>40</v>
      </c>
      <c r="D27" s="6"/>
      <c r="E27" s="1"/>
      <c r="F27" s="11">
        <v>41.14959383048815</v>
      </c>
      <c r="G27" s="13" t="s">
        <v>77</v>
      </c>
      <c r="H27" s="13" t="s">
        <v>79</v>
      </c>
      <c r="K27" s="12"/>
      <c r="O27"/>
      <c r="P27"/>
      <c r="Q27"/>
      <c r="R27"/>
    </row>
    <row r="28" spans="1:18" ht="15.75">
      <c r="A28" s="1"/>
      <c r="B28" s="6">
        <v>18</v>
      </c>
      <c r="C28" s="10" t="s">
        <v>41</v>
      </c>
      <c r="D28" s="6"/>
      <c r="E28" s="1"/>
      <c r="F28" s="11">
        <v>43.302007689021785</v>
      </c>
      <c r="G28" s="13" t="s">
        <v>77</v>
      </c>
      <c r="H28" s="13" t="s">
        <v>86</v>
      </c>
      <c r="K28" s="12"/>
      <c r="O28"/>
      <c r="P28"/>
      <c r="Q28"/>
      <c r="R28"/>
    </row>
    <row r="29" spans="1:18" ht="15.75">
      <c r="A29" s="1"/>
      <c r="B29" s="6">
        <v>19</v>
      </c>
      <c r="C29" s="10" t="s">
        <v>42</v>
      </c>
      <c r="D29" s="6"/>
      <c r="E29" s="1"/>
      <c r="F29" s="11">
        <v>45.15025993161157</v>
      </c>
      <c r="G29" s="13" t="s">
        <v>87</v>
      </c>
      <c r="H29" s="13" t="s">
        <v>88</v>
      </c>
      <c r="K29" s="12"/>
      <c r="O29"/>
      <c r="P29"/>
      <c r="Q29"/>
      <c r="R29"/>
    </row>
    <row r="30" spans="1:18" ht="15.75">
      <c r="A30" s="1"/>
      <c r="B30" s="6">
        <v>20</v>
      </c>
      <c r="C30" s="10" t="s">
        <v>43</v>
      </c>
      <c r="D30" s="6"/>
      <c r="E30" s="1"/>
      <c r="F30" s="11">
        <v>54.16964620151872</v>
      </c>
      <c r="G30" s="13" t="s">
        <v>77</v>
      </c>
      <c r="H30" s="13" t="s">
        <v>85</v>
      </c>
      <c r="O30"/>
      <c r="P30"/>
      <c r="Q30"/>
      <c r="R30"/>
    </row>
    <row r="31" spans="1:18" ht="15.75">
      <c r="A31" s="1"/>
      <c r="B31" s="6">
        <v>21</v>
      </c>
      <c r="C31" s="10" t="s">
        <v>44</v>
      </c>
      <c r="D31" s="6"/>
      <c r="E31" s="1"/>
      <c r="F31" s="11">
        <v>65.42761340832824</v>
      </c>
      <c r="G31" s="13" t="s">
        <v>77</v>
      </c>
      <c r="H31" s="13" t="s">
        <v>78</v>
      </c>
      <c r="O31"/>
      <c r="P31"/>
      <c r="Q31"/>
      <c r="R31"/>
    </row>
    <row r="32" spans="1:18" ht="15.75">
      <c r="A32" s="1"/>
      <c r="B32" s="6">
        <v>22</v>
      </c>
      <c r="C32" s="10" t="s">
        <v>45</v>
      </c>
      <c r="D32" s="6"/>
      <c r="E32" s="1"/>
      <c r="F32" s="11">
        <v>55.54142619583292</v>
      </c>
      <c r="G32" s="13" t="s">
        <v>89</v>
      </c>
      <c r="H32" s="13" t="s">
        <v>90</v>
      </c>
      <c r="O32"/>
      <c r="P32"/>
      <c r="Q32"/>
      <c r="R32"/>
    </row>
    <row r="33" spans="1:18" ht="15.75">
      <c r="A33" s="1"/>
      <c r="B33" s="6">
        <v>23</v>
      </c>
      <c r="C33" s="10" t="s">
        <v>46</v>
      </c>
      <c r="D33" s="6"/>
      <c r="E33" s="1"/>
      <c r="F33" s="11">
        <v>42.912146807872055</v>
      </c>
      <c r="G33" s="13" t="s">
        <v>75</v>
      </c>
      <c r="H33" s="13" t="s">
        <v>79</v>
      </c>
      <c r="O33"/>
      <c r="P33"/>
      <c r="Q33"/>
      <c r="R33"/>
    </row>
    <row r="34" spans="1:18" ht="15.75">
      <c r="A34" s="1"/>
      <c r="B34" s="6">
        <v>24</v>
      </c>
      <c r="C34" s="10" t="s">
        <v>47</v>
      </c>
      <c r="D34" s="6"/>
      <c r="E34" s="1"/>
      <c r="F34" s="11">
        <v>43.427154779547756</v>
      </c>
      <c r="G34" s="13" t="s">
        <v>82</v>
      </c>
      <c r="H34" s="13" t="s">
        <v>76</v>
      </c>
      <c r="O34"/>
      <c r="P34"/>
      <c r="Q34"/>
      <c r="R34"/>
    </row>
    <row r="35" spans="1:18" ht="15.75">
      <c r="A35" s="1"/>
      <c r="B35" s="6">
        <v>25</v>
      </c>
      <c r="C35" s="10" t="s">
        <v>48</v>
      </c>
      <c r="D35" s="6"/>
      <c r="E35" s="1"/>
      <c r="F35" s="11">
        <v>51.78259256232778</v>
      </c>
      <c r="G35" s="13" t="s">
        <v>75</v>
      </c>
      <c r="H35" s="13" t="s">
        <v>83</v>
      </c>
      <c r="O35"/>
      <c r="P35"/>
      <c r="Q35"/>
      <c r="R35"/>
    </row>
    <row r="36" spans="1:18" ht="15.75">
      <c r="A36" s="1"/>
      <c r="B36" s="6">
        <v>26</v>
      </c>
      <c r="C36" s="10" t="s">
        <v>49</v>
      </c>
      <c r="D36" s="6"/>
      <c r="E36" s="1"/>
      <c r="F36" s="11">
        <v>39.937672651326665</v>
      </c>
      <c r="G36" s="13" t="s">
        <v>89</v>
      </c>
      <c r="H36" s="13" t="s">
        <v>85</v>
      </c>
      <c r="O36"/>
      <c r="P36"/>
      <c r="Q36"/>
      <c r="R36"/>
    </row>
    <row r="37" spans="1:8" ht="15.75">
      <c r="A37" s="1"/>
      <c r="B37" s="6">
        <v>27</v>
      </c>
      <c r="C37" s="10" t="s">
        <v>50</v>
      </c>
      <c r="D37" s="6"/>
      <c r="E37" s="1"/>
      <c r="F37" s="11">
        <v>42.340604497280324</v>
      </c>
      <c r="G37" s="13" t="s">
        <v>82</v>
      </c>
      <c r="H37" s="13" t="s">
        <v>76</v>
      </c>
    </row>
    <row r="38" spans="1:8" ht="15.75">
      <c r="A38" s="1"/>
      <c r="B38" s="6">
        <v>28</v>
      </c>
      <c r="C38" s="10" t="s">
        <v>51</v>
      </c>
      <c r="D38" s="6"/>
      <c r="E38" s="1"/>
      <c r="F38" s="11">
        <v>47.387428055524204</v>
      </c>
      <c r="G38" s="13" t="s">
        <v>82</v>
      </c>
      <c r="H38" s="13" t="s">
        <v>76</v>
      </c>
    </row>
    <row r="39" spans="1:8" ht="15.75">
      <c r="A39" s="1"/>
      <c r="B39" s="6">
        <v>29</v>
      </c>
      <c r="C39" s="10" t="s">
        <v>52</v>
      </c>
      <c r="D39" s="6"/>
      <c r="E39" s="1"/>
      <c r="F39" s="11">
        <v>47.40218259545105</v>
      </c>
      <c r="G39" s="13" t="s">
        <v>75</v>
      </c>
      <c r="H39" s="13" t="s">
        <v>79</v>
      </c>
    </row>
    <row r="40" spans="1:8" ht="15.75">
      <c r="A40" s="1"/>
      <c r="B40" s="6">
        <v>30</v>
      </c>
      <c r="C40" s="10" t="s">
        <v>53</v>
      </c>
      <c r="D40" s="6"/>
      <c r="E40" s="1"/>
      <c r="F40" s="11">
        <v>38.73873873873874</v>
      </c>
      <c r="G40" s="13" t="s">
        <v>77</v>
      </c>
      <c r="H40" s="13" t="s">
        <v>86</v>
      </c>
    </row>
    <row r="41" spans="1:8" ht="15.75">
      <c r="A41" s="1"/>
      <c r="B41" s="6">
        <v>31</v>
      </c>
      <c r="C41" s="10" t="s">
        <v>54</v>
      </c>
      <c r="D41" s="6"/>
      <c r="E41" s="1"/>
      <c r="F41" s="11">
        <v>45.62246489859594</v>
      </c>
      <c r="G41" s="13" t="s">
        <v>77</v>
      </c>
      <c r="H41" s="13" t="s">
        <v>86</v>
      </c>
    </row>
    <row r="42" spans="1:8" ht="15.75">
      <c r="A42" s="1"/>
      <c r="B42" s="6">
        <v>32</v>
      </c>
      <c r="C42" s="10" t="s">
        <v>55</v>
      </c>
      <c r="D42" s="6"/>
      <c r="E42" s="1"/>
      <c r="F42" s="11">
        <v>41.98748487961875</v>
      </c>
      <c r="G42" s="13" t="s">
        <v>82</v>
      </c>
      <c r="H42" s="13" t="s">
        <v>79</v>
      </c>
    </row>
    <row r="43" spans="1:8" ht="15.75">
      <c r="A43" s="1"/>
      <c r="B43" s="6">
        <v>33</v>
      </c>
      <c r="C43" s="10" t="s">
        <v>56</v>
      </c>
      <c r="D43" s="6"/>
      <c r="E43" s="1"/>
      <c r="F43" s="11">
        <v>43.816360101689845</v>
      </c>
      <c r="G43" s="13" t="s">
        <v>77</v>
      </c>
      <c r="H43" s="13" t="s">
        <v>85</v>
      </c>
    </row>
    <row r="44" spans="1:8" ht="15.75">
      <c r="A44" s="1"/>
      <c r="B44" s="6">
        <v>34</v>
      </c>
      <c r="C44" s="10" t="s">
        <v>57</v>
      </c>
      <c r="D44" s="6"/>
      <c r="E44" s="1"/>
      <c r="F44" s="11">
        <v>57.146898649126534</v>
      </c>
      <c r="G44" s="13" t="s">
        <v>91</v>
      </c>
      <c r="H44" s="13" t="s">
        <v>85</v>
      </c>
    </row>
    <row r="45" spans="1:8" ht="15.75">
      <c r="A45" s="1"/>
      <c r="B45" s="6">
        <v>35</v>
      </c>
      <c r="C45" s="10" t="s">
        <v>67</v>
      </c>
      <c r="D45" s="6"/>
      <c r="E45" s="1"/>
      <c r="F45" s="11">
        <v>38.70456413600948</v>
      </c>
      <c r="G45" s="13" t="s">
        <v>92</v>
      </c>
      <c r="H45" s="13" t="s">
        <v>83</v>
      </c>
    </row>
    <row r="46" spans="1:8" ht="15.75">
      <c r="A46" s="1"/>
      <c r="B46" s="6">
        <v>36</v>
      </c>
      <c r="C46" s="10" t="s">
        <v>68</v>
      </c>
      <c r="D46" s="6"/>
      <c r="E46" s="1"/>
      <c r="F46" s="11">
        <v>34.593534299302355</v>
      </c>
      <c r="G46" s="13" t="s">
        <v>93</v>
      </c>
      <c r="H46" s="13" t="s">
        <v>79</v>
      </c>
    </row>
    <row r="47" spans="1:8" ht="15.75">
      <c r="A47" s="1"/>
      <c r="B47" s="6">
        <v>37</v>
      </c>
      <c r="C47" s="10" t="s">
        <v>69</v>
      </c>
      <c r="D47" s="6"/>
      <c r="E47" s="1"/>
      <c r="F47" s="11">
        <v>28.03538046557039</v>
      </c>
      <c r="G47" s="13" t="s">
        <v>75</v>
      </c>
      <c r="H47" s="13" t="s">
        <v>79</v>
      </c>
    </row>
    <row r="48" spans="1:8" ht="15.75">
      <c r="A48" s="1"/>
      <c r="B48" s="6">
        <v>38</v>
      </c>
      <c r="C48" s="10" t="s">
        <v>70</v>
      </c>
      <c r="D48" s="6"/>
      <c r="E48" s="1"/>
      <c r="F48" s="11">
        <v>35.62810503903478</v>
      </c>
      <c r="G48" s="13" t="s">
        <v>87</v>
      </c>
      <c r="H48" s="13" t="s">
        <v>87</v>
      </c>
    </row>
    <row r="49" spans="1:8" ht="15.75">
      <c r="A49" s="1"/>
      <c r="B49" s="6">
        <v>39</v>
      </c>
      <c r="C49" s="10" t="s">
        <v>71</v>
      </c>
      <c r="D49" s="6"/>
      <c r="E49" s="1"/>
      <c r="F49" s="11">
        <v>41.44707611333265</v>
      </c>
      <c r="G49" s="13" t="s">
        <v>84</v>
      </c>
      <c r="H49" s="13" t="s">
        <v>86</v>
      </c>
    </row>
    <row r="50" spans="1:8" ht="15.75">
      <c r="A50" s="1"/>
      <c r="B50" s="6">
        <v>40</v>
      </c>
      <c r="C50" s="10" t="s">
        <v>72</v>
      </c>
      <c r="D50" s="6"/>
      <c r="E50" s="1"/>
      <c r="F50" s="11">
        <v>39.55422314911366</v>
      </c>
      <c r="G50" s="13" t="s">
        <v>77</v>
      </c>
      <c r="H50" s="13" t="s">
        <v>94</v>
      </c>
    </row>
    <row r="51" spans="1:8" ht="15.75">
      <c r="A51" s="1"/>
      <c r="B51" s="6">
        <v>41</v>
      </c>
      <c r="C51" s="10" t="s">
        <v>73</v>
      </c>
      <c r="D51" s="6"/>
      <c r="E51" s="1"/>
      <c r="F51" s="19">
        <v>43.24828107122094</v>
      </c>
      <c r="G51" s="13" t="s">
        <v>77</v>
      </c>
      <c r="H51" s="13" t="s">
        <v>86</v>
      </c>
    </row>
    <row r="52" spans="1:6" ht="10.5" customHeight="1">
      <c r="A52" s="1"/>
      <c r="B52" s="1"/>
      <c r="C52" s="1"/>
      <c r="D52" s="1"/>
      <c r="E52" s="1"/>
      <c r="F52" s="2"/>
    </row>
    <row r="53" spans="1:6" ht="15.75">
      <c r="A53" s="1"/>
      <c r="D53" s="14" t="s">
        <v>15</v>
      </c>
      <c r="E53" s="15"/>
      <c r="F53" s="16">
        <f>AVERAGE(F11:F51)</f>
        <v>44.24783523212157</v>
      </c>
    </row>
    <row r="54" spans="4:6" ht="15.75">
      <c r="D54" s="17"/>
      <c r="E54" s="1"/>
      <c r="F54" s="2"/>
    </row>
    <row r="55" spans="1:6" ht="15.75">
      <c r="A55" s="1"/>
      <c r="D55" s="14" t="s">
        <v>102</v>
      </c>
      <c r="E55" s="18"/>
      <c r="F55" s="16">
        <f>AVERAGE(F11,F13,F15,F16,F17,F19,F21,F22,F25,F27,F33,F34,F35,F37,F38,F39,F42,F45,F46,F47)</f>
        <v>40.213658974017086</v>
      </c>
    </row>
    <row r="56" spans="1:6" ht="10.5" customHeight="1">
      <c r="A56" s="1"/>
      <c r="F56" s="1"/>
    </row>
    <row r="57" spans="2:6" ht="15.75">
      <c r="B57" s="1" t="s">
        <v>74</v>
      </c>
      <c r="F57" s="74"/>
    </row>
  </sheetData>
  <sheetProtection/>
  <printOptions horizontalCentered="1"/>
  <pageMargins left="0.25" right="0.25" top="0.7" bottom="0.46" header="0.23" footer="0.46"/>
  <pageSetup fitToHeight="1" fitToWidth="1" orientation="portrait" scale="86" r:id="rId1"/>
  <headerFooter alignWithMargins="0">
    <oddHeader>&amp;C&amp;"Times,Regular"&amp;10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40"/>
  <sheetViews>
    <sheetView zoomScalePageLayoutView="0" workbookViewId="0" topLeftCell="A1">
      <selection activeCell="F1" sqref="F1:H2"/>
    </sheetView>
  </sheetViews>
  <sheetFormatPr defaultColWidth="10.875" defaultRowHeight="12"/>
  <cols>
    <col min="1" max="1" width="6.75390625" style="1" customWidth="1"/>
    <col min="2" max="2" width="19.00390625" style="1" customWidth="1"/>
    <col min="3" max="3" width="11.375" style="1" customWidth="1"/>
    <col min="4" max="4" width="11.875" style="1" customWidth="1"/>
    <col min="5" max="5" width="1.75390625" style="1" customWidth="1"/>
    <col min="6" max="8" width="11.00390625" style="1" bestFit="1" customWidth="1"/>
    <col min="9" max="9" width="10.875" style="1" customWidth="1"/>
    <col min="10" max="10" width="11.00390625" style="1" bestFit="1" customWidth="1"/>
    <col min="11" max="16384" width="10.875" style="1" customWidth="1"/>
  </cols>
  <sheetData>
    <row r="1" ht="12.75">
      <c r="H1" s="17" t="s">
        <v>116</v>
      </c>
    </row>
    <row r="2" ht="12.75">
      <c r="H2" s="17" t="s">
        <v>117</v>
      </c>
    </row>
    <row r="3" spans="8:9" ht="12.75">
      <c r="H3" s="17" t="s">
        <v>64</v>
      </c>
      <c r="I3" s="17"/>
    </row>
    <row r="4" ht="12.75">
      <c r="I4" s="17"/>
    </row>
    <row r="6" ht="12.75">
      <c r="E6" s="21" t="str">
        <f>'Ex7,p2'!J9</f>
        <v>PUGET SOUND ENERGY, INC.</v>
      </c>
    </row>
    <row r="7" ht="12.75">
      <c r="E7" s="21" t="s">
        <v>10</v>
      </c>
    </row>
    <row r="11" spans="2:8" ht="12.75">
      <c r="B11" s="10"/>
      <c r="C11" s="10"/>
      <c r="D11" s="75" t="s">
        <v>110</v>
      </c>
      <c r="E11" s="75"/>
      <c r="F11" s="75" t="s">
        <v>1</v>
      </c>
      <c r="G11" s="6"/>
      <c r="H11" s="7" t="s">
        <v>11</v>
      </c>
    </row>
    <row r="12" spans="2:8" ht="12.75">
      <c r="B12" s="25" t="s">
        <v>3</v>
      </c>
      <c r="C12" s="57" t="s">
        <v>111</v>
      </c>
      <c r="D12" s="57" t="s">
        <v>109</v>
      </c>
      <c r="E12" s="57"/>
      <c r="F12" s="76" t="s">
        <v>112</v>
      </c>
      <c r="G12" s="77" t="s">
        <v>16</v>
      </c>
      <c r="H12" s="8" t="s">
        <v>0</v>
      </c>
    </row>
    <row r="13" spans="2:7" ht="12.75">
      <c r="B13" s="10"/>
      <c r="C13" s="10"/>
      <c r="D13" s="10"/>
      <c r="E13" s="10"/>
      <c r="F13" s="10"/>
      <c r="G13" s="78"/>
    </row>
    <row r="14" spans="2:12" ht="12.75">
      <c r="B14" s="10" t="s">
        <v>4</v>
      </c>
      <c r="C14" s="79">
        <v>2699043</v>
      </c>
      <c r="D14" s="79">
        <f>0.43*C22</f>
        <v>2579318.45</v>
      </c>
      <c r="E14" s="79"/>
      <c r="F14" s="40">
        <f>D14/D22</f>
        <v>0.43000000000000005</v>
      </c>
      <c r="G14" s="80" t="s">
        <v>12</v>
      </c>
      <c r="H14" s="81" t="s">
        <v>12</v>
      </c>
      <c r="J14" s="6"/>
      <c r="K14" s="6"/>
      <c r="L14" s="6"/>
    </row>
    <row r="15" spans="2:12" ht="12.75">
      <c r="B15" s="10"/>
      <c r="C15" s="79"/>
      <c r="D15" s="79"/>
      <c r="E15" s="79"/>
      <c r="F15" s="40"/>
      <c r="G15" s="80"/>
      <c r="H15" s="81"/>
      <c r="J15" s="6"/>
      <c r="K15" s="6"/>
      <c r="L15" s="6"/>
    </row>
    <row r="16" spans="2:12" ht="12.75">
      <c r="B16" s="10" t="s">
        <v>103</v>
      </c>
      <c r="C16" s="79">
        <v>1899</v>
      </c>
      <c r="D16" s="79">
        <f>C16</f>
        <v>1899</v>
      </c>
      <c r="E16" s="79"/>
      <c r="F16" s="40">
        <f>D16/D22</f>
        <v>0.0003165836308424809</v>
      </c>
      <c r="G16" s="81">
        <v>0.0861</v>
      </c>
      <c r="H16" s="81">
        <f>F16*G16</f>
        <v>2.7257850615537605E-05</v>
      </c>
      <c r="J16" s="6"/>
      <c r="K16" s="6"/>
      <c r="L16" s="6"/>
    </row>
    <row r="17" spans="2:12" ht="12.75">
      <c r="B17" s="10"/>
      <c r="C17" s="79"/>
      <c r="D17" s="79"/>
      <c r="E17" s="79"/>
      <c r="F17" s="40"/>
      <c r="G17" s="81"/>
      <c r="H17" s="81"/>
      <c r="J17" s="6"/>
      <c r="K17" s="6"/>
      <c r="L17" s="6"/>
    </row>
    <row r="18" spans="2:12" ht="12.75">
      <c r="B18" s="10" t="s">
        <v>5</v>
      </c>
      <c r="C18" s="79">
        <v>3001777</v>
      </c>
      <c r="D18" s="79">
        <f>C18+(C14-D14)</f>
        <v>3121501.55</v>
      </c>
      <c r="E18" s="79"/>
      <c r="F18" s="40">
        <f>D18/D22</f>
        <v>0.5203877274246613</v>
      </c>
      <c r="G18" s="81">
        <v>0.069</v>
      </c>
      <c r="H18" s="81">
        <f>F18*G18</f>
        <v>0.03590675319230163</v>
      </c>
      <c r="J18" s="6"/>
      <c r="K18" s="6"/>
      <c r="L18" s="6"/>
    </row>
    <row r="19" spans="2:12" ht="12.75">
      <c r="B19" s="10"/>
      <c r="C19" s="79"/>
      <c r="D19" s="79"/>
      <c r="E19" s="79"/>
      <c r="F19" s="40"/>
      <c r="G19" s="81"/>
      <c r="H19" s="81"/>
      <c r="J19" s="6"/>
      <c r="K19" s="6"/>
      <c r="L19" s="6"/>
    </row>
    <row r="20" spans="2:12" ht="12.75">
      <c r="B20" s="10" t="s">
        <v>13</v>
      </c>
      <c r="C20" s="82">
        <v>295696</v>
      </c>
      <c r="D20" s="82">
        <f>C20</f>
        <v>295696</v>
      </c>
      <c r="E20" s="82"/>
      <c r="F20" s="42">
        <f>D20/D22</f>
        <v>0.04929568894449617</v>
      </c>
      <c r="G20" s="83">
        <v>0.0592</v>
      </c>
      <c r="H20" s="83">
        <f>F20*G20</f>
        <v>0.0029183047855141737</v>
      </c>
      <c r="J20" s="6"/>
      <c r="K20" s="6"/>
      <c r="L20" s="6"/>
    </row>
    <row r="21" spans="2:12" ht="12.75">
      <c r="B21" s="10"/>
      <c r="C21" s="36"/>
      <c r="D21" s="36"/>
      <c r="E21" s="36"/>
      <c r="F21" s="40"/>
      <c r="G21" s="80"/>
      <c r="H21" s="81"/>
      <c r="J21" s="6"/>
      <c r="K21" s="6"/>
      <c r="L21" s="6"/>
    </row>
    <row r="22" spans="2:12" ht="12.75">
      <c r="B22" s="10" t="s">
        <v>6</v>
      </c>
      <c r="C22" s="79">
        <f>SUM(C14:C20)</f>
        <v>5998415</v>
      </c>
      <c r="D22" s="79">
        <f>D14+D16+D18+D20</f>
        <v>5998415</v>
      </c>
      <c r="E22" s="79"/>
      <c r="F22" s="40">
        <f>F14+F16+F18+F20</f>
        <v>1</v>
      </c>
      <c r="G22" s="80"/>
      <c r="H22" s="81"/>
      <c r="I22" s="32"/>
      <c r="J22" s="6"/>
      <c r="K22" s="6"/>
      <c r="L22" s="6"/>
    </row>
    <row r="23" spans="2:8" ht="12.75">
      <c r="B23" s="6"/>
      <c r="C23" s="6"/>
      <c r="D23" s="6"/>
      <c r="E23" s="6"/>
      <c r="F23" s="6"/>
      <c r="G23" s="6"/>
      <c r="H23" s="6"/>
    </row>
    <row r="24" spans="2:8" ht="12.75">
      <c r="B24" s="6"/>
      <c r="C24" s="6"/>
      <c r="D24" s="6"/>
      <c r="E24" s="6"/>
      <c r="F24" s="6"/>
      <c r="G24" s="6"/>
      <c r="H24" s="6"/>
    </row>
    <row r="25" spans="2:8" ht="12.75">
      <c r="B25" s="6"/>
      <c r="C25" s="6"/>
      <c r="D25" s="6"/>
      <c r="E25" s="6"/>
      <c r="F25" s="6"/>
      <c r="G25" s="6"/>
      <c r="H25" s="6"/>
    </row>
    <row r="26" ht="12.75">
      <c r="B26" s="1" t="s">
        <v>59</v>
      </c>
    </row>
    <row r="27" ht="12.75">
      <c r="B27" s="1" t="s">
        <v>60</v>
      </c>
    </row>
    <row r="30" spans="4:5" ht="12.75">
      <c r="D30" s="44"/>
      <c r="E30" s="7" t="s">
        <v>61</v>
      </c>
    </row>
    <row r="32" spans="2:6" ht="12.75">
      <c r="B32" s="1" t="s">
        <v>62</v>
      </c>
      <c r="D32" s="44">
        <f>D14+0.5*250000</f>
        <v>2704318.45</v>
      </c>
      <c r="F32" s="40">
        <f>D32/D40</f>
        <v>0.45083883825977367</v>
      </c>
    </row>
    <row r="33" spans="4:6" ht="12.75">
      <c r="D33" s="44"/>
      <c r="F33" s="40"/>
    </row>
    <row r="34" spans="2:6" ht="12.75">
      <c r="B34" s="1" t="s">
        <v>103</v>
      </c>
      <c r="D34" s="44">
        <f>D16</f>
        <v>1899</v>
      </c>
      <c r="F34" s="40">
        <f>D34/D40</f>
        <v>0.0003165836308424809</v>
      </c>
    </row>
    <row r="35" spans="4:6" ht="12.75">
      <c r="D35" s="44"/>
      <c r="F35" s="40"/>
    </row>
    <row r="36" spans="2:6" ht="12.75">
      <c r="B36" s="1" t="s">
        <v>63</v>
      </c>
      <c r="D36" s="44">
        <f>D18-0.5*250000</f>
        <v>2996501.55</v>
      </c>
      <c r="F36" s="40">
        <f>D36/D40</f>
        <v>0.4995488891648877</v>
      </c>
    </row>
    <row r="37" spans="4:6" ht="12.75">
      <c r="D37" s="44"/>
      <c r="F37" s="40"/>
    </row>
    <row r="38" spans="2:6" ht="12.75">
      <c r="B38" s="1" t="s">
        <v>13</v>
      </c>
      <c r="D38" s="86">
        <f>D20</f>
        <v>295696</v>
      </c>
      <c r="F38" s="42">
        <f>D38/D40</f>
        <v>0.04929568894449617</v>
      </c>
    </row>
    <row r="39" spans="4:6" ht="12.75">
      <c r="D39" s="44"/>
      <c r="F39" s="40"/>
    </row>
    <row r="40" spans="4:6" ht="12.75">
      <c r="D40" s="44">
        <f>D32+D34+D36+D38</f>
        <v>5998415</v>
      </c>
      <c r="F40" s="40">
        <f>F32+F34+F36+F38</f>
        <v>1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Hill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G. Hill</dc:creator>
  <cp:keywords/>
  <dc:description/>
  <cp:lastModifiedBy>Mary Kimball</cp:lastModifiedBy>
  <cp:lastPrinted>2008-05-08T23:32:12Z</cp:lastPrinted>
  <dcterms:created xsi:type="dcterms:W3CDTF">2000-11-17T15:56:25Z</dcterms:created>
  <dcterms:modified xsi:type="dcterms:W3CDTF">2008-05-08T23:33:00Z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