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40" yWindow="45" windowWidth="9615" windowHeight="7785" firstSheet="4" activeTab="11"/>
  </bookViews>
  <sheets>
    <sheet name="Exhibit A-1" sheetId="1" r:id="rId1"/>
    <sheet name="Exhibit A-2" sheetId="2" r:id="rId2"/>
    <sheet name="Exhibit A-3" sheetId="3" r:id="rId3"/>
    <sheet name="Exhibit A-4" sheetId="4" r:id="rId4"/>
    <sheet name="Exhibit A-5" sheetId="5" r:id="rId5"/>
    <sheet name="Exhibit B" sheetId="6" r:id="rId6"/>
    <sheet name="Exhibit C" sheetId="7" r:id="rId7"/>
    <sheet name="Exhibit D" sheetId="8" r:id="rId8"/>
    <sheet name="Exhibit E" sheetId="9" r:id="rId9"/>
    <sheet name="Exhibit F " sheetId="10" r:id="rId10"/>
    <sheet name="Exhibit F data" sheetId="11" r:id="rId11"/>
    <sheet name="Exhibit G" sheetId="12" r:id="rId12"/>
  </sheets>
  <externalReferences>
    <externalReference r:id="rId15"/>
    <externalReference r:id="rId16"/>
  </externalReferences>
  <definedNames>
    <definedName name="_1_94_12_94">'[1]DT_A_DOL93'!#REF!</definedName>
    <definedName name="_1_95_12_95">'[1]DT_A_DOL93'!#REF!</definedName>
    <definedName name="_1_96_12_96">'[1]DT_A_DOL93'!#REF!</definedName>
    <definedName name="_1_97_12_97">'[1]DT_A_DOL93'!#REF!</definedName>
    <definedName name="_1_98_12_98">'[1]DT_A_DOL93'!#REF!</definedName>
    <definedName name="Feb_98" localSheetId="8">'Exhibit E'!#REF!</definedName>
    <definedName name="NWSales_MWH">'[1]DT_A_AMW93'!#REF!</definedName>
    <definedName name="outlookdata">'[2]pivoted data'!$D$3:$Q$90</definedName>
    <definedName name="_xlnm.Print_Area" localSheetId="0">'Exhibit A-1'!$A$1:$I$42</definedName>
    <definedName name="_xlnm.Print_Area" localSheetId="5">'Exhibit B'!$A$1:$H$44</definedName>
    <definedName name="_xlnm.Print_Area" localSheetId="6">'Exhibit C'!$A$1:$M$62</definedName>
    <definedName name="_xlnm.Print_Area" localSheetId="8">'Exhibit E'!$A$1:$N$49</definedName>
    <definedName name="_xlnm.Print_Area" localSheetId="9">'Exhibit F '!$A$1:$I$44</definedName>
    <definedName name="_xlnm.Print_Area" localSheetId="10">'Exhibit F data'!$A$1:$I$70</definedName>
    <definedName name="_xlnm.Print_Area" localSheetId="11">'Exhibit G'!$A$1:$F$39</definedName>
    <definedName name="_xlnm.Print_Titles" localSheetId="2">'Exhibit A-3'!$1:$2</definedName>
    <definedName name="_xlnm.Print_Titles" localSheetId="6">'Exhibit C'!$1:$9</definedName>
    <definedName name="_xlnm.Print_Titles" localSheetId="8">'Exhibit E'!$A:$B,'Exhibit E'!$1:$5</definedName>
    <definedName name="SecSSW_MWH">'[1]DT_A_AMW93'!#REF!</definedName>
    <definedName name="SWSales_MWH">'[1]DT_A_AMW93'!#REF!</definedName>
    <definedName name="TRADING_NET">'[1]DT_A_DOL93'!#REF!</definedName>
  </definedNames>
  <calcPr fullCalcOnLoad="1"/>
</workbook>
</file>

<file path=xl/comments10.xml><?xml version="1.0" encoding="utf-8"?>
<comments xmlns="http://schemas.openxmlformats.org/spreadsheetml/2006/main">
  <authors>
    <author>PSE</author>
  </authors>
  <commentList>
    <comment ref="B7" authorId="0">
      <text>
        <r>
          <rPr>
            <b/>
            <sz val="8"/>
            <rFont val="Tahoma"/>
            <family val="0"/>
          </rPr>
          <t>PSE:</t>
        </r>
        <r>
          <rPr>
            <sz val="8"/>
            <rFont val="Tahoma"/>
            <family val="0"/>
          </rPr>
          <t xml:space="preserve">
Enter date of 12 months prior to end of PCA period.
</t>
        </r>
      </text>
    </comment>
  </commentList>
</comments>
</file>

<file path=xl/sharedStrings.xml><?xml version="1.0" encoding="utf-8"?>
<sst xmlns="http://schemas.openxmlformats.org/spreadsheetml/2006/main" count="810" uniqueCount="486">
  <si>
    <t>Property Taxes</t>
  </si>
  <si>
    <t>Test Year Load (MWH's)</t>
  </si>
  <si>
    <t>Revenue Sensitive Items</t>
  </si>
  <si>
    <t xml:space="preserve">  555-Purchased power</t>
  </si>
  <si>
    <t xml:space="preserve">  547-Fuel</t>
  </si>
  <si>
    <t xml:space="preserve">  501-Steam Fuel</t>
  </si>
  <si>
    <t xml:space="preserve">  557-Other Power Exp</t>
  </si>
  <si>
    <t xml:space="preserve">  Hydro and Other Pwr.</t>
  </si>
  <si>
    <t xml:space="preserve">  447-Sales to Others</t>
  </si>
  <si>
    <t>(b)</t>
  </si>
  <si>
    <t>(a)</t>
  </si>
  <si>
    <t>(c)</t>
  </si>
  <si>
    <t xml:space="preserve">sum of (a) = Fixed Rate Component </t>
  </si>
  <si>
    <t>(b) = Power Cost Rate</t>
  </si>
  <si>
    <t>sum of (c) = Variable Power Rate Component</t>
  </si>
  <si>
    <t>Power Cost in Rates with Revenue Sensitive Items (the adjusted baseline</t>
  </si>
  <si>
    <t>Net of tax rate of return</t>
  </si>
  <si>
    <t>Depreciation fixed</t>
  </si>
  <si>
    <t>Variable Transmission Income</t>
  </si>
  <si>
    <t>* Regulatory Assets are Tenaska, Encogen Fuel Buyout and BEP</t>
  </si>
  <si>
    <t>Regulatory Assets (Variable)</t>
  </si>
  <si>
    <t>Transmission Rate Base (Fixed)</t>
  </si>
  <si>
    <t>Production Rate Base (Fixed)</t>
  </si>
  <si>
    <t>Amortization Regulatory Assets</t>
  </si>
  <si>
    <t>DR (CR)</t>
  </si>
  <si>
    <t>Accumulated</t>
  </si>
  <si>
    <t>Balance</t>
  </si>
  <si>
    <t>Deferred Income</t>
  </si>
  <si>
    <t>Income Tax</t>
  </si>
  <si>
    <t xml:space="preserve"> </t>
  </si>
  <si>
    <t>Date</t>
  </si>
  <si>
    <t>Colstrip Related Transmission Assets</t>
  </si>
  <si>
    <t>Balance at:</t>
  </si>
  <si>
    <t xml:space="preserve">No deferred income taxes associated with the 3rd AC Intertie, </t>
  </si>
  <si>
    <t>Northern Intertie and BPA Transmission Assets.</t>
  </si>
  <si>
    <t>Test Period Property Taxes on transmission Related Assets:</t>
  </si>
  <si>
    <t>Amount</t>
  </si>
  <si>
    <t>Oregon-3rd AC Intertie</t>
  </si>
  <si>
    <t>Montana-Transmission Assets</t>
  </si>
  <si>
    <t>Montana-Beneficial Use Property Taxes on BPA</t>
  </si>
  <si>
    <t xml:space="preserve">  Transmission Assets</t>
  </si>
  <si>
    <t>Washington-Northern Intertie</t>
  </si>
  <si>
    <t xml:space="preserve">  Total Property Taxes</t>
  </si>
  <si>
    <t>Transmission Plant</t>
  </si>
  <si>
    <t>TRANS - COLSTRIP 1 &amp; 2</t>
  </si>
  <si>
    <t>AMA 6/30/01</t>
  </si>
  <si>
    <t>Accum. Dep.</t>
  </si>
  <si>
    <t xml:space="preserve">Depreciation Exp. </t>
  </si>
  <si>
    <t>E351</t>
  </si>
  <si>
    <t>Easements</t>
  </si>
  <si>
    <t>E353</t>
  </si>
  <si>
    <t>Station Equipment</t>
  </si>
  <si>
    <t>E354</t>
  </si>
  <si>
    <t>Towers &amp; Fixtures</t>
  </si>
  <si>
    <t>E355</t>
  </si>
  <si>
    <t>Poles &amp; Fixtures</t>
  </si>
  <si>
    <t>E356</t>
  </si>
  <si>
    <t>OH Condcutors &amp; devices</t>
  </si>
  <si>
    <t>E359</t>
  </si>
  <si>
    <t>Roads &amp; Trails</t>
  </si>
  <si>
    <t>COLSTRIP 1&amp;2 TRANSMISSION</t>
  </si>
  <si>
    <t>TRANS - COLSTRIP 3 &amp; 4</t>
  </si>
  <si>
    <t>E352</t>
  </si>
  <si>
    <t>Structures &amp; Improvements</t>
  </si>
  <si>
    <t>OH Conductors &amp; Devices</t>
  </si>
  <si>
    <t>COLSTRIP 3&amp;4 TRANSMISSION</t>
  </si>
  <si>
    <t>TRANS - 3RD NW-SW INTERTIE</t>
  </si>
  <si>
    <t>OH Conductors &amp; devices</t>
  </si>
  <si>
    <t>TOTAL 3RD NW-SW INTERTIE</t>
  </si>
  <si>
    <t>TRANS - NORTHERN INTERTIE</t>
  </si>
  <si>
    <t>Easements - Whatcom</t>
  </si>
  <si>
    <t>Towers &amp; Fixtures-Whatcom</t>
  </si>
  <si>
    <t>Poles &amp; Fixtures-Whatcom</t>
  </si>
  <si>
    <t>OH Conductors &amp; Devices-Whatc</t>
  </si>
  <si>
    <t>Poles &amp; Fixtures-Skagit</t>
  </si>
  <si>
    <t>OH Conductors &amp; Devices-Skagit</t>
  </si>
  <si>
    <t>TOTAL NORTHERN INTERTIE</t>
  </si>
  <si>
    <t>Total Transmission</t>
  </si>
  <si>
    <t>Less</t>
  </si>
  <si>
    <t xml:space="preserve">  Accumulated Depreciation</t>
  </si>
  <si>
    <t xml:space="preserve">  Deferred Taxes</t>
  </si>
  <si>
    <t>Transmission Ratebase</t>
  </si>
  <si>
    <t>FERC</t>
  </si>
  <si>
    <t>DESCRIPTION</t>
  </si>
  <si>
    <t>13 MONTH AMA</t>
  </si>
  <si>
    <t>ANNUITY RATE</t>
  </si>
  <si>
    <t>ANNUALIZED DEPRECIATION</t>
  </si>
  <si>
    <t>ACUMM. DEPR. 06/30/2001</t>
  </si>
  <si>
    <t>COLSTRIP #1</t>
  </si>
  <si>
    <t>E311</t>
  </si>
  <si>
    <t>E312</t>
  </si>
  <si>
    <t>Boiler Plant Equipment</t>
  </si>
  <si>
    <t>E314</t>
  </si>
  <si>
    <t>Turbo Generating Units</t>
  </si>
  <si>
    <t>E315</t>
  </si>
  <si>
    <t>Accessory Electric Equip.</t>
  </si>
  <si>
    <t>E316</t>
  </si>
  <si>
    <t>Misc. Power Plant Equip.</t>
  </si>
  <si>
    <t xml:space="preserve">     TOTAL</t>
  </si>
  <si>
    <t>COLSTRIP #2</t>
  </si>
  <si>
    <t>COLSTRIP 1 &amp; 2 COMMON</t>
  </si>
  <si>
    <t>COLSTRIP 3 &amp; 4 COMMON</t>
  </si>
  <si>
    <t>COLSTRIP 1-4 COMMON</t>
  </si>
  <si>
    <t xml:space="preserve">  565-Wheeling</t>
  </si>
  <si>
    <t>Revenue Requirement for Colstrip</t>
  </si>
  <si>
    <t>Plant</t>
  </si>
  <si>
    <t>Accumulated Depreciation</t>
  </si>
  <si>
    <t>Deferred Taxes</t>
  </si>
  <si>
    <t xml:space="preserve">  Net Plant</t>
  </si>
  <si>
    <t>Rate of Return (net of Tax)</t>
  </si>
  <si>
    <t>Revenue Requirement after tax</t>
  </si>
  <si>
    <t>Plant Revenue Requirement</t>
  </si>
  <si>
    <t>(Adjusted for Federal Tax)</t>
  </si>
  <si>
    <t>Expenses</t>
  </si>
  <si>
    <t>Total Revenue Requirement</t>
  </si>
  <si>
    <t>(before revenue sensitive items)</t>
  </si>
  <si>
    <t>COLSTRIP 3</t>
  </si>
  <si>
    <t>COLSTRIP 4</t>
  </si>
  <si>
    <t xml:space="preserve"> COLSTRIP COMMON FERC ADJ.</t>
  </si>
  <si>
    <t xml:space="preserve"> COLSTRIP DEF DEPR FERC ADJ.</t>
  </si>
  <si>
    <t>Total Plant and Acc. Deprec.</t>
  </si>
  <si>
    <t>Amount before</t>
  </si>
  <si>
    <t>Order</t>
  </si>
  <si>
    <t>Description</t>
  </si>
  <si>
    <t>Prod. Adj.</t>
  </si>
  <si>
    <t>50004011</t>
  </si>
  <si>
    <t>1&amp;2 Sup &amp; Eng</t>
  </si>
  <si>
    <t>50005011</t>
  </si>
  <si>
    <t>3&amp;4 Sup &amp; Eng</t>
  </si>
  <si>
    <t>50204001</t>
  </si>
  <si>
    <t>1&amp;2 Steam Exp</t>
  </si>
  <si>
    <t>50205001</t>
  </si>
  <si>
    <t>3&amp;4 Steam Exp</t>
  </si>
  <si>
    <t>50504001</t>
  </si>
  <si>
    <t>1&amp;2 Elec Exp</t>
  </si>
  <si>
    <t>50505001</t>
  </si>
  <si>
    <t>3&amp;4 Elec Exp</t>
  </si>
  <si>
    <t>50604001</t>
  </si>
  <si>
    <t>1&amp;2 Misc Exp</t>
  </si>
  <si>
    <t>50605001</t>
  </si>
  <si>
    <t>3&amp;4 Misc Exp</t>
  </si>
  <si>
    <t>50605002</t>
  </si>
  <si>
    <t>3&amp;4 Steam</t>
  </si>
  <si>
    <t>50704001</t>
  </si>
  <si>
    <t>1&amp;2 Rents</t>
  </si>
  <si>
    <t>50705001</t>
  </si>
  <si>
    <t>3&amp;4 Rents</t>
  </si>
  <si>
    <t>51004001</t>
  </si>
  <si>
    <t>1&amp;2  Maint Supv</t>
  </si>
  <si>
    <t>51005001</t>
  </si>
  <si>
    <t>3&amp;4 Maint Supv</t>
  </si>
  <si>
    <t>51104001</t>
  </si>
  <si>
    <t>1&amp;2 Maint of Struct</t>
  </si>
  <si>
    <t>51105001</t>
  </si>
  <si>
    <t>3&amp;4 Maint of Struct</t>
  </si>
  <si>
    <t>51204001</t>
  </si>
  <si>
    <t>1&amp;2 Maint of Boiler</t>
  </si>
  <si>
    <t>51205001</t>
  </si>
  <si>
    <t>3&amp;4 Maint of Boiler</t>
  </si>
  <si>
    <t>51304001</t>
  </si>
  <si>
    <t>1&amp;2 Maint of E Plant</t>
  </si>
  <si>
    <t>51305001</t>
  </si>
  <si>
    <t>3&amp;4 Maint of E Plant</t>
  </si>
  <si>
    <t>51404001</t>
  </si>
  <si>
    <t>1&amp;2 Maint of Misc</t>
  </si>
  <si>
    <t>51405001</t>
  </si>
  <si>
    <t>3&amp;4 Maint of Misc</t>
  </si>
  <si>
    <t>Property Taxes-Montana</t>
  </si>
  <si>
    <t>Electric Energy Tax</t>
  </si>
  <si>
    <t>403xxxxx</t>
  </si>
  <si>
    <t>Depreciation</t>
  </si>
  <si>
    <t>PAGE 2.21</t>
  </si>
  <si>
    <t>PUGET SOUND ENERGY-ELECTRIC</t>
  </si>
  <si>
    <t>PRODUCTION ADJUSTMENT</t>
  </si>
  <si>
    <t>FOR THE TWELVE MONTHS ENDED JUNE 30, 2001</t>
  </si>
  <si>
    <t>GENERAL RATE INCREASE</t>
  </si>
  <si>
    <t>LINE</t>
  </si>
  <si>
    <t>PRO FORMA</t>
  </si>
  <si>
    <t>PRODUCTION</t>
  </si>
  <si>
    <t>FIT</t>
  </si>
  <si>
    <t>NO.</t>
  </si>
  <si>
    <t>AMOUNT</t>
  </si>
  <si>
    <t>PRODUCTION WAGE INCREASE</t>
  </si>
  <si>
    <t xml:space="preserve">  PURCHASED POWER</t>
  </si>
  <si>
    <t xml:space="preserve">  OTHER POWER SUPPLY</t>
  </si>
  <si>
    <t>TOTAL PRODUCTION WAGE INCREASE</t>
  </si>
  <si>
    <t>PAYROLL OVERHEADS</t>
  </si>
  <si>
    <t>PROPERTY INSURANCE</t>
  </si>
  <si>
    <t>TOTAL A&amp;G</t>
  </si>
  <si>
    <t>DEPRECIATION PRODUCTION PROPERTY</t>
  </si>
  <si>
    <t xml:space="preserve">  DEPRECIATION / AMORTIZATION</t>
  </si>
  <si>
    <t xml:space="preserve">  FUEL</t>
  </si>
  <si>
    <t>TOTAL</t>
  </si>
  <si>
    <t>TAXES OTHER-PRODUCTION PROPERTY</t>
  </si>
  <si>
    <t xml:space="preserve"> PROPERTY TAXES - WASHINGTON</t>
  </si>
  <si>
    <t xml:space="preserve"> PROPERTY TAXES - MONTANA</t>
  </si>
  <si>
    <t xml:space="preserve"> ELECTRIC ENERGY TAX</t>
  </si>
  <si>
    <t xml:space="preserve"> PAYROLL TAXES</t>
  </si>
  <si>
    <t>TOTAL TAXES OTHER</t>
  </si>
  <si>
    <t>INCREASE(DECREASE) INCOME</t>
  </si>
  <si>
    <t xml:space="preserve">INCREASE(DECREASE) FIT </t>
  </si>
  <si>
    <t>INCREASE(DECREASE) NOI</t>
  </si>
  <si>
    <t>RATE BASE:</t>
  </si>
  <si>
    <t xml:space="preserve"> PRODUCTION PROPERTY</t>
  </si>
  <si>
    <t xml:space="preserve"> ENCOGEN ACQUISITION ADJ.</t>
  </si>
  <si>
    <t xml:space="preserve"> BPA POWER EXCHANGE INVESTMENT</t>
  </si>
  <si>
    <t xml:space="preserve"> TENASKA REGULATORY ASSET</t>
  </si>
  <si>
    <t xml:space="preserve"> CABOT OIL REGULATORY ASSET</t>
  </si>
  <si>
    <t xml:space="preserve"> LESS ACCUM. DEPRECIATION </t>
  </si>
  <si>
    <t xml:space="preserve"> LESS ACCUM. AMORTIZATION</t>
  </si>
  <si>
    <t>NET PRODUCTION PROPERTY</t>
  </si>
  <si>
    <t>DEDUCT:</t>
  </si>
  <si>
    <t xml:space="preserve"> LIBR. DEPREC. PRE 1981 (EOP)</t>
  </si>
  <si>
    <t xml:space="preserve"> LIBR. DEPREC. POST 1980 (EOP)</t>
  </si>
  <si>
    <t xml:space="preserve"> OTHER DEF. TAXES (EOP)</t>
  </si>
  <si>
    <t>Less Regulatory Assets</t>
  </si>
  <si>
    <t xml:space="preserve">ADJUSTMENT TO RATE BASE </t>
  </si>
  <si>
    <t>L34</t>
  </si>
  <si>
    <t>POWER COSTS</t>
  </si>
  <si>
    <t>INCREASE</t>
  </si>
  <si>
    <t>ACTUAL</t>
  </si>
  <si>
    <t>PROFORMA</t>
  </si>
  <si>
    <t>(DECREASE)</t>
  </si>
  <si>
    <t>PRODUCTION EXPENSES:</t>
  </si>
  <si>
    <t>FUEL</t>
  </si>
  <si>
    <t>PURCHASED AND INTERCHANGED</t>
  </si>
  <si>
    <t>WHEELING</t>
  </si>
  <si>
    <t>OTHER POWER SUPPLY EXPENSES</t>
  </si>
  <si>
    <t xml:space="preserve">TRANS. EXP. INCL. 500KV O&amp;M </t>
  </si>
  <si>
    <t>SALES FOR RESALE</t>
  </si>
  <si>
    <t>PURCHASES/SALES OF NON-CORE GAS</t>
  </si>
  <si>
    <t>WHEELING FOR OTHERS</t>
  </si>
  <si>
    <t>SUBTOTAL</t>
  </si>
  <si>
    <t>LESS:  SALES FOR RESALE</t>
  </si>
  <si>
    <t>LESS:  WHEELING FOR OTHERS</t>
  </si>
  <si>
    <t>SCH. 94 - RES./FARM CREDIT</t>
  </si>
  <si>
    <t>POWER COSTS PER G/L</t>
  </si>
  <si>
    <t>INCREASE(DECREASE) FIT @</t>
  </si>
  <si>
    <t>Transmission Exp - 500KV</t>
  </si>
  <si>
    <t xml:space="preserve">Test Year </t>
  </si>
  <si>
    <t>Rate Year</t>
  </si>
  <si>
    <t xml:space="preserve">  456-Subaccounts 00016 &amp; 00018</t>
  </si>
  <si>
    <t>Support for Revenue Requirement - Ratebase</t>
  </si>
  <si>
    <t>Support for Revenue Requirement - Expenses</t>
  </si>
  <si>
    <t>sum of L32 thru</t>
  </si>
  <si>
    <t>After Production Adj.</t>
  </si>
  <si>
    <t>Wheeling Expense</t>
  </si>
  <si>
    <t>Exhibit A-1 Power Cost Rate</t>
  </si>
  <si>
    <t>Row</t>
  </si>
  <si>
    <t>(d)</t>
  </si>
  <si>
    <t>Exhibit A-2 Transmission Costs</t>
  </si>
  <si>
    <t>Exhibit A-3 Colstrip Fixed Costs</t>
  </si>
  <si>
    <t xml:space="preserve">  Subtotal &amp; Baseline Rate</t>
  </si>
  <si>
    <t>(d) It is the Company's proposal to shape the fixed costs based upon historical retail revenues shape or historical monthly expense shape.  The purpose is to prevent seasonal swings in the deferral account.  Details to be determined.</t>
  </si>
  <si>
    <t>Test Yr</t>
  </si>
  <si>
    <t>$/MWh</t>
  </si>
  <si>
    <t>Exhibit A-5 Power Costs UE-011570</t>
  </si>
  <si>
    <t>Exhibit A-4 Production Adjustment UE-011570</t>
  </si>
  <si>
    <t>After Rev. Sensitive Items</t>
  </si>
  <si>
    <t>Before Rev. Sensitive Items</t>
  </si>
  <si>
    <t>Exhibit B:  Power Costs Subject to PCA Sharing</t>
  </si>
  <si>
    <t>Example</t>
  </si>
  <si>
    <t>Jul 02 - Jun 03</t>
  </si>
  <si>
    <t>Explanation or source</t>
  </si>
  <si>
    <t>Return on Fixed RB</t>
  </si>
  <si>
    <r>
      <t xml:space="preserve">from Exhibit A-1 line 11 - production and transmission ratebase adjusted to </t>
    </r>
    <r>
      <rPr>
        <b/>
        <sz val="10"/>
        <rFont val="Arial"/>
        <family val="2"/>
      </rPr>
      <t>Rate Year</t>
    </r>
  </si>
  <si>
    <t xml:space="preserve">Other Fixed Costs </t>
  </si>
  <si>
    <r>
      <t>from Exhibit A-1 lines 14,18,21,22, &amp; 24 (557, Hydro and Other Prod. O&amp;M, 500 KV O&amp;M, Depreciation fixed, Property tax) adjusted to</t>
    </r>
    <r>
      <rPr>
        <b/>
        <sz val="10"/>
        <rFont val="Arial"/>
        <family val="2"/>
      </rPr>
      <t xml:space="preserve"> Rate Year</t>
    </r>
  </si>
  <si>
    <t>Subtotal Fixed Costs</t>
  </si>
  <si>
    <t>Total Variable Component Actual</t>
  </si>
  <si>
    <t>Steam Oper. Fuel</t>
  </si>
  <si>
    <t>illustrative est.</t>
  </si>
  <si>
    <t>SAP - actual</t>
  </si>
  <si>
    <t>Other Pwr Gen Fuel</t>
  </si>
  <si>
    <t>Other Elec Revenues</t>
  </si>
  <si>
    <t>45600012, 18</t>
  </si>
  <si>
    <t>SAP - actual Non Core Gas (sales) / purchases orders 45600012, 45600018</t>
  </si>
  <si>
    <t>Purchase Power</t>
  </si>
  <si>
    <t>Sales to Other Util</t>
  </si>
  <si>
    <t>Wheeling</t>
  </si>
  <si>
    <t>Transmission Revenue</t>
  </si>
  <si>
    <t>SAP - actual  Transmission revenues on 3rd AC, Northern Intertie, Colstrip lines</t>
  </si>
  <si>
    <t>Regulatory Assets</t>
  </si>
  <si>
    <t>from Exhibit D line 35. Amortization and return on regulatory assets for PCA period</t>
  </si>
  <si>
    <t>SUBTOTAL before Adjustments</t>
  </si>
  <si>
    <t>Adjustments:</t>
  </si>
  <si>
    <t>Prudence from UE-921262</t>
  </si>
  <si>
    <t>Prudence adj. = 3% * March Pt 2 payments; and 1.2% * Tenaska payments</t>
  </si>
  <si>
    <t>Contract price adjustment</t>
  </si>
  <si>
    <t>Colstrip availability adjustment</t>
  </si>
  <si>
    <t>from Exhibit F line 40</t>
  </si>
  <si>
    <t>New resource pricing adjustment</t>
  </si>
  <si>
    <t>Subtotal Adjustments</t>
  </si>
  <si>
    <t>Total allowable cost</t>
  </si>
  <si>
    <t>PCA period delivered load</t>
  </si>
  <si>
    <t>est. actual</t>
  </si>
  <si>
    <t>Actual delivered MWh during PCA period = Total load net of losses</t>
  </si>
  <si>
    <t xml:space="preserve">Baseline Power Cost </t>
  </si>
  <si>
    <t>Base line rate from Exhibit A-1 line 25</t>
  </si>
  <si>
    <t>Imbalance for Sharing</t>
  </si>
  <si>
    <t>positive is potential customer surcharge, negative is potential customer credit</t>
  </si>
  <si>
    <t>Company's Share</t>
  </si>
  <si>
    <t>band limit +/-</t>
  </si>
  <si>
    <t>First band - deadband</t>
  </si>
  <si>
    <t>2nd Band - next</t>
  </si>
  <si>
    <t xml:space="preserve">3rd Band - next </t>
  </si>
  <si>
    <t>4th Band greater than</t>
  </si>
  <si>
    <t>Subtotal Company Share before Cap</t>
  </si>
  <si>
    <t>to Exhibit C  column (G)</t>
  </si>
  <si>
    <t>Customer Share (deferral account)</t>
  </si>
  <si>
    <t>to Exhibit C column (D)</t>
  </si>
  <si>
    <t>Exhibit C - Application of $40 million Cap</t>
  </si>
  <si>
    <t xml:space="preserve">Example: 1  </t>
  </si>
  <si>
    <t>First year per draft Exhibit examples; next 3 years high power costs</t>
  </si>
  <si>
    <t>$ in Millions</t>
  </si>
  <si>
    <t>(C)</t>
  </si>
  <si>
    <t>(D)</t>
  </si>
  <si>
    <t>(E)</t>
  </si>
  <si>
    <t>(F)</t>
  </si>
  <si>
    <t>(G)</t>
  </si>
  <si>
    <t>(H)</t>
  </si>
  <si>
    <t>(I)</t>
  </si>
  <si>
    <t>(J)</t>
  </si>
  <si>
    <t>(K)</t>
  </si>
  <si>
    <t>(L)</t>
  </si>
  <si>
    <t>(M)</t>
  </si>
  <si>
    <t>Customer Annual Share = "Deferral"</t>
  </si>
  <si>
    <t>Customer Annual Share over Cap at 99%</t>
  </si>
  <si>
    <t>End Period Customer Deferral Balance</t>
  </si>
  <si>
    <t>Company Annual Share</t>
  </si>
  <si>
    <t>Potential transfer (to) / from customer</t>
  </si>
  <si>
    <t>Company share over Cap at 1%</t>
  </si>
  <si>
    <t>End Period Company Share</t>
  </si>
  <si>
    <t>Company Accum Share w/o Cap</t>
  </si>
  <si>
    <t>Accum. Amount Over Cap</t>
  </si>
  <si>
    <t>Annual Change in Amount over Cap</t>
  </si>
  <si>
    <t>Ex. B line 33</t>
  </si>
  <si>
    <t>Ex. B line 43</t>
  </si>
  <si>
    <t>Ex. B line 41</t>
  </si>
  <si>
    <t>PCA Yr #1</t>
  </si>
  <si>
    <t>PCA Yr #2</t>
  </si>
  <si>
    <t>PCA Yr #3</t>
  </si>
  <si>
    <t>PCA Yr #4</t>
  </si>
  <si>
    <t>Check</t>
  </si>
  <si>
    <t>Example: 2</t>
  </si>
  <si>
    <t>Four year cost scenario discussed at May 23rd PCA Collaborative</t>
  </si>
  <si>
    <t>Example: 3</t>
  </si>
  <si>
    <t>Three high power cost years followed by very low power cost year.</t>
  </si>
  <si>
    <t>Example: 4</t>
  </si>
  <si>
    <t>Similar to example 3, but fortunes are reversed with 3 low cost years followed by a high cost year.</t>
  </si>
  <si>
    <t>Exhibit D:  Regulatory Assets</t>
  </si>
  <si>
    <t>Cabot Buyout</t>
  </si>
  <si>
    <t>PCA (Jul-Jun)</t>
  </si>
  <si>
    <t>Interest</t>
  </si>
  <si>
    <t>Amort</t>
  </si>
  <si>
    <t>Amortization</t>
  </si>
  <si>
    <t>Ratebase (AMA)</t>
  </si>
  <si>
    <t>Return + Amort</t>
  </si>
  <si>
    <t>$</t>
  </si>
  <si>
    <t>-</t>
  </si>
  <si>
    <t>Tenaska</t>
  </si>
  <si>
    <t>BEP</t>
  </si>
  <si>
    <t>From</t>
  </si>
  <si>
    <t>To</t>
  </si>
  <si>
    <t>PCA#1</t>
  </si>
  <si>
    <t>PCA#2</t>
  </si>
  <si>
    <t>PCA#3</t>
  </si>
  <si>
    <t>PCA#4</t>
  </si>
  <si>
    <t>A-3 Page 1</t>
  </si>
  <si>
    <t>A-3 Page 2</t>
  </si>
  <si>
    <t>Exhibit E - Contract Adjustments</t>
  </si>
  <si>
    <t>PCA Period</t>
  </si>
  <si>
    <t>Note</t>
  </si>
  <si>
    <t>Limit - Rate or Total Cost per UE-011570</t>
  </si>
  <si>
    <t>Generation MWh</t>
  </si>
  <si>
    <t>NUG Gen. MWh</t>
  </si>
  <si>
    <t>NUG Displ. MWh</t>
  </si>
  <si>
    <t>Total Cost $</t>
  </si>
  <si>
    <t>Actual Rate</t>
  </si>
  <si>
    <t>Rate Change</t>
  </si>
  <si>
    <t>Adjust for Positive Differences</t>
  </si>
  <si>
    <t>CONTRACTS</t>
  </si>
  <si>
    <t>Baker Replacement</t>
  </si>
  <si>
    <t>Exchange</t>
  </si>
  <si>
    <t>BC Hydro Point Roberts</t>
  </si>
  <si>
    <t>Rate Limit</t>
  </si>
  <si>
    <t>BPA WNP-3 Exchange Power</t>
  </si>
  <si>
    <t>Actual Cost</t>
  </si>
  <si>
    <t>BPA WNP3 Return</t>
  </si>
  <si>
    <t>BPA Snohomish Conservation</t>
  </si>
  <si>
    <t>CSPE</t>
  </si>
  <si>
    <t>N/A</t>
  </si>
  <si>
    <t>Mid-Columbia</t>
  </si>
  <si>
    <t>Canadian Entitlement and CEA-EA</t>
  </si>
  <si>
    <t>Total Cost</t>
  </si>
  <si>
    <t>PPL Contract 15 yr</t>
  </si>
  <si>
    <t>Supplemental Entitlement Cap</t>
  </si>
  <si>
    <t>North Wasco</t>
  </si>
  <si>
    <t>WWP Contract 15 yr</t>
  </si>
  <si>
    <t>PG&amp;E Exchange Storage Acctg.</t>
  </si>
  <si>
    <t>QF Shipp Hutch. Creek</t>
  </si>
  <si>
    <t>QF Koma Kulshan Hydro</t>
  </si>
  <si>
    <t>NUG Rate Limit</t>
  </si>
  <si>
    <t>QF Port Townsend Hydro</t>
  </si>
  <si>
    <t>QF PERC Puyallup</t>
  </si>
  <si>
    <t>QF Spokane MSW</t>
  </si>
  <si>
    <t>QF Sygitowicz</t>
  </si>
  <si>
    <t>QF Tenaska (excl. Reg. Amort.)</t>
  </si>
  <si>
    <t>QF Twin Falls</t>
  </si>
  <si>
    <t>QF Weeks Falls</t>
  </si>
  <si>
    <t>Skookumchuck</t>
  </si>
  <si>
    <t>Notes:</t>
  </si>
  <si>
    <t xml:space="preserve">Reverse sign and enter on Exhibit B line 22 </t>
  </si>
  <si>
    <t>Exhibit F - Colstrip Availability Adjustment</t>
  </si>
  <si>
    <t>Part 1.  Colstrip Equivalent Availability during PCA period -12 Month</t>
  </si>
  <si>
    <t>1&amp;2</t>
  </si>
  <si>
    <t>3&amp;4</t>
  </si>
  <si>
    <t>PSE MW -&gt;</t>
  </si>
  <si>
    <t>PSE Wtd</t>
  </si>
  <si>
    <t>days</t>
  </si>
  <si>
    <t>12 mo Average</t>
  </si>
  <si>
    <t>Weighted by days in the month</t>
  </si>
  <si>
    <t>Weighted by Plant Capacity and days/month</t>
  </si>
  <si>
    <t>Part 2.  Calculate annual availability penalty ratio</t>
  </si>
  <si>
    <t>Less than 70%</t>
  </si>
  <si>
    <t>Actual Ratio</t>
  </si>
  <si>
    <t>Target Ratio</t>
  </si>
  <si>
    <t xml:space="preserve">  per Collaborative agreement</t>
  </si>
  <si>
    <t>Penalty</t>
  </si>
  <si>
    <t xml:space="preserve">Penalty Ratio = </t>
  </si>
  <si>
    <t xml:space="preserve"> = </t>
  </si>
  <si>
    <t>penalty</t>
  </si>
  <si>
    <t xml:space="preserve">divided by </t>
  </si>
  <si>
    <t>Part 3.  Calculate Annual Colstrip Fixed Cost Penalty</t>
  </si>
  <si>
    <t>Total Fixed Cost</t>
  </si>
  <si>
    <t>from Exhibit A-3 (Colstrip Total Revenue Requirement)</t>
  </si>
  <si>
    <t>Penalty $</t>
  </si>
  <si>
    <t>to Exhibit B line 23</t>
  </si>
  <si>
    <t>Exhibit F - Data Input Page</t>
  </si>
  <si>
    <t>Availability data from Colstrip Operation Reports</t>
  </si>
  <si>
    <t>ROW</t>
  </si>
  <si>
    <t>Actual data</t>
  </si>
  <si>
    <t>Example data</t>
  </si>
  <si>
    <t>Exhibit G - New Resource Adjustment</t>
  </si>
  <si>
    <t>For New Resources with a Terms Longer than 2 Years</t>
  </si>
  <si>
    <t xml:space="preserve">Name </t>
  </si>
  <si>
    <t>Sample new plant</t>
  </si>
  <si>
    <t>Combined cycle gas turbine</t>
  </si>
  <si>
    <t>In-service date January 2003</t>
  </si>
  <si>
    <t>July 2002 - June 2003</t>
  </si>
  <si>
    <t>PCA Period Generation</t>
  </si>
  <si>
    <t>(MWh)</t>
  </si>
  <si>
    <t xml:space="preserve">Actual Variable Cost </t>
  </si>
  <si>
    <t>($/MWh)</t>
  </si>
  <si>
    <t>Compare with Baseline Rate</t>
  </si>
  <si>
    <t>Baseline Power Cost Rate</t>
  </si>
  <si>
    <t>Lesser of Actual Cost or Baseline Rate</t>
  </si>
  <si>
    <t>Adjustment Needed?</t>
  </si>
  <si>
    <t>Adjustment needed if Baseline rate is lower than actual variable cost</t>
  </si>
  <si>
    <t>Adjustment Rate</t>
  </si>
  <si>
    <t>Adjustment volume</t>
  </si>
  <si>
    <t>Adjustment Amount</t>
  </si>
  <si>
    <t>($)</t>
  </si>
  <si>
    <t>from Exhibit G line 38</t>
  </si>
  <si>
    <t xml:space="preserve"> to Exhibit B line 24</t>
  </si>
  <si>
    <t>MPC Firm Contract-Demand</t>
  </si>
  <si>
    <t>MPC Firm Contract-Energy</t>
  </si>
  <si>
    <t>Actual Cost through 12/31/02</t>
  </si>
  <si>
    <t>QF March Point Cogen 1 Winter</t>
  </si>
  <si>
    <t>QF March Point Cogen 1 Summer</t>
  </si>
  <si>
    <t>QF March Point Cogen 2 Winter</t>
  </si>
  <si>
    <t>QF March Point Cogen 2 Summer</t>
  </si>
  <si>
    <t>QF Sumas Winter</t>
  </si>
  <si>
    <t>QF Sumas Summer</t>
  </si>
  <si>
    <r>
      <t xml:space="preserve">NUG Rate Limit:  </t>
    </r>
    <r>
      <rPr>
        <sz val="11"/>
        <rFont val="Arial"/>
        <family val="2"/>
      </rPr>
      <t>Calculate actual rate monthly assuming actual availability with no displacement; compare with average seasonal rate-year contract rate (also without displacement); multiply rate change (if positive) times total of actual contract generation + displacement.</t>
    </r>
  </si>
  <si>
    <t>Estimated costs from hypothetical PCA period</t>
  </si>
  <si>
    <r>
      <t xml:space="preserve">Exchange:  </t>
    </r>
    <r>
      <rPr>
        <sz val="11"/>
        <rFont val="Arial"/>
        <family val="2"/>
      </rPr>
      <t>No Adjustment.  Either power for power exchage at zero cost or flood control for power at zero cost.</t>
    </r>
  </si>
  <si>
    <r>
      <t xml:space="preserve">N/A:  </t>
    </r>
    <r>
      <rPr>
        <sz val="11"/>
        <rFont val="Arial"/>
        <family val="2"/>
      </rPr>
      <t>No Adjustment.  Zero cost contracts.</t>
    </r>
  </si>
  <si>
    <r>
      <t xml:space="preserve">Rate Limit:  </t>
    </r>
    <r>
      <rPr>
        <sz val="11"/>
        <rFont val="Arial"/>
        <family val="2"/>
      </rPr>
      <t>Calculate actual rate for PCA period, compare with contract rate assumed in revenue requirements; multiply rate change (if positive) times contract generation.</t>
    </r>
  </si>
  <si>
    <r>
      <t xml:space="preserve">Actual Cost:  </t>
    </r>
    <r>
      <rPr>
        <sz val="11"/>
        <rFont val="Arial"/>
        <family val="2"/>
      </rPr>
      <t>No Adjustment.  Either no rate specified in contract, or rate based upon DJ market index, or as agreed.</t>
    </r>
  </si>
  <si>
    <r>
      <t xml:space="preserve">Total Cost:  </t>
    </r>
    <r>
      <rPr>
        <sz val="11"/>
        <rFont val="Arial"/>
        <family val="2"/>
      </rPr>
      <t>Limit based upon total cost in rate year because contract escalation is in fixed demand charges.</t>
    </r>
  </si>
  <si>
    <t>from Exhibit E line 42</t>
  </si>
  <si>
    <t>Fixed Asset Recovery</t>
  </si>
  <si>
    <t>Regulatory Asset Recovery</t>
  </si>
  <si>
    <t xml:space="preserve"> &lt;-- includes Firm Wholesale</t>
  </si>
  <si>
    <t>to Exhibit C column (C).  A portion of the imbalance will be allocated to firm wholesale customers based upon the allocation used in the most recent Docket approving rate spread.</t>
  </si>
</sst>
</file>

<file path=xl/styles.xml><?xml version="1.0" encoding="utf-8"?>
<styleSheet xmlns="http://schemas.openxmlformats.org/spreadsheetml/2006/main">
  <numFmts count="1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000_);_(* \(#,##0.0000000\);_(* &quot;-&quot;??_);_(@_)"/>
    <numFmt numFmtId="166" formatCode="&quot;$&quot;#,##0"/>
    <numFmt numFmtId="167" formatCode="_(* #,##0.0_);_(* \(#,##0.0\);_(* &quot;-&quot;??_);_(@_)"/>
    <numFmt numFmtId="168" formatCode="#,##0.0_);\(#,##0.0\)"/>
    <numFmt numFmtId="169" formatCode="_(* #,##0.0000000_);_(* \(#,##0.0000000\);_(* &quot;-&quot;???????_);_(@_)"/>
    <numFmt numFmtId="170" formatCode="_(&quot;$&quot;* #,##0.0_);_(&quot;$&quot;* \(#,##0.0\);_(&quot;$&quot;* &quot;-&quot;??_);_(@_)"/>
    <numFmt numFmtId="171" formatCode="_(&quot;$&quot;* #,##0_);_(&quot;$&quot;* \(#,##0\);_(&quot;$&quot;* &quot;-&quot;??_);_(@_)"/>
    <numFmt numFmtId="172" formatCode="\ \ \ &quot;mills&quot;"/>
    <numFmt numFmtId="173" formatCode="\ #0.0_ \ &quot;mills&quot;"/>
    <numFmt numFmtId="174" formatCode="\ #0.00\ \ &quot;mills&quot;"/>
    <numFmt numFmtId="175" formatCode="m/d/yy"/>
    <numFmt numFmtId="176" formatCode="#,##0;\(#,##0\)"/>
    <numFmt numFmtId="177" formatCode="_(* #,##0.000_);_(* \(#,##0.000\);_(* &quot;-&quot;??_);_(@_)"/>
    <numFmt numFmtId="178" formatCode="_(* #,##0.0000_);_(* \(#,##0.0000\);_(* &quot;-&quot;??_);_(@_)"/>
    <numFmt numFmtId="179" formatCode="_(* #,##0.00000_);_(* \(#,##0.00000\);_(* &quot;-&quot;??_);_(@_)"/>
    <numFmt numFmtId="180" formatCode="_(* #,##0.000000_);_(* \(#,##0.000000\);_(* &quot;-&quot;??_);_(@_)"/>
    <numFmt numFmtId="181" formatCode="_(&quot;$&quot;* #,##0.000_);_(&quot;$&quot;* \(#,##0.000\);_(&quot;$&quot;* &quot;-&quot;??_);_(@_)"/>
    <numFmt numFmtId="182" formatCode="&quot;Prod Adj &quot;0.0000"/>
    <numFmt numFmtId="183" formatCode="0.0%"/>
    <numFmt numFmtId="184" formatCode="0_);\(0\)"/>
    <numFmt numFmtId="185" formatCode="_(* #,##0.0_);_(* \(#,##0.0\);_(* &quot;-&quot;?_);_(@_)"/>
    <numFmt numFmtId="186" formatCode="&quot;$&quot;#,##0.000_);\(&quot;$&quot;#,##0.000\)"/>
    <numFmt numFmtId="187" formatCode="_(&quot;$&quot;* #,##0.0000_);_(&quot;$&quot;* \(#,##0.0000\);_(&quot;$&quot;* &quot;-&quot;??_);_(@_)"/>
    <numFmt numFmtId="188" formatCode="_(* #,##0.0000_);_(* \(#,##0.0000\);_(* &quot;-&quot;????_);_(@_)"/>
    <numFmt numFmtId="189" formatCode="_(* #,##0.00000000_);_(* \(#,##0.00000000\);_(* &quot;-&quot;??_);_(@_)"/>
    <numFmt numFmtId="190" formatCode="_(* #,##0.000000000_);_(* \(#,##0.000000000\);_(* &quot;-&quot;??_);_(@_)"/>
    <numFmt numFmtId="191" formatCode="_(* #,##0.0000000000_);_(* \(#,##0.0000000000\);_(* &quot;-&quot;??_);_(@_)"/>
    <numFmt numFmtId="192" formatCode="_(* #,##0.00000000000_);_(* \(#,##0.00000000000\);_(* &quot;-&quot;??_);_(@_)"/>
    <numFmt numFmtId="193" formatCode="_(* #,##0.000000000000_);_(* \(#,##0.000000000000\);_(* &quot;-&quot;??_);_(@_)"/>
    <numFmt numFmtId="194" formatCode="_(* #,##0.0000000000000_);_(* \(#,##0.0000000000000\);_(* &quot;-&quot;??_);_(@_)"/>
    <numFmt numFmtId="195" formatCode="_(* #,##0.00000000000000_);_(* \(#,##0.00000000000000\);_(* &quot;-&quot;??_);_(@_)"/>
    <numFmt numFmtId="196" formatCode="_(* #,##0.000000000000000_);_(* \(#,##0.000000000000000\);_(* &quot;-&quot;??_);_(@_)"/>
    <numFmt numFmtId="197" formatCode="_(* #,##0.0000000000000000_);_(* \(#,##0.0000000000000000\);_(* &quot;-&quot;??_);_(@_)"/>
    <numFmt numFmtId="198" formatCode="_(* #,##0.00000000000000000_);_(* \(#,##0.00000000000000000\);_(* &quot;-&quot;??_);_(@_)"/>
    <numFmt numFmtId="199" formatCode="0.0"/>
    <numFmt numFmtId="200" formatCode="0.000"/>
    <numFmt numFmtId="201" formatCode="mmmm\-yyyy"/>
    <numFmt numFmtId="202" formatCode="#,##0.0"/>
    <numFmt numFmtId="203" formatCode="&quot;+&quot;#,##0.0;&quot;-&quot;#,##0.0;0.0"/>
    <numFmt numFmtId="204" formatCode="#,##0.000"/>
    <numFmt numFmtId="205" formatCode="#,##0.0000"/>
    <numFmt numFmtId="206" formatCode="#,##0.00000"/>
    <numFmt numFmtId="207" formatCode="#,##0.000000"/>
    <numFmt numFmtId="208" formatCode="#,##0.0000000"/>
    <numFmt numFmtId="209" formatCode="#,##0.00000000"/>
    <numFmt numFmtId="210" formatCode="0.0000"/>
    <numFmt numFmtId="211" formatCode="0.00000"/>
    <numFmt numFmtId="212" formatCode="#,##0.000000000"/>
    <numFmt numFmtId="213" formatCode="0.000000"/>
    <numFmt numFmtId="214" formatCode="0.\9\3\6"/>
    <numFmt numFmtId="215" formatCode="mmm\-yy&quot;**&quot;"/>
    <numFmt numFmtId="216" formatCode="mmm\-yy&quot;***&quot;"/>
    <numFmt numFmtId="217" formatCode="&quot;TOT&quot;\ mmm\-yy"/>
    <numFmt numFmtId="218" formatCode="&quot;Tot &quot;\ mmm\-yy"/>
    <numFmt numFmtId="219" formatCode="&quot;Tot   &quot;\ mmm\-yy"/>
    <numFmt numFmtId="220" formatCode="&quot;Tot     &quot;\ mmm\-yy"/>
    <numFmt numFmtId="221" formatCode="&quot;To  &quot;mmm\-yy"/>
    <numFmt numFmtId="222" formatCode="&quot;Total   &quot;\ mmm\-yy"/>
    <numFmt numFmtId="223" formatCode="&quot;Total &quot;\ mmm\-yy"/>
    <numFmt numFmtId="224" formatCode="&quot;(1)&quot;\ #,##0.0"/>
    <numFmt numFmtId="225" formatCode="&quot;(2)&quot;\ #,##0.0"/>
    <numFmt numFmtId="226" formatCode="&quot;(2)&quot;\ #,##0.0;&quot;(2)&quot;\ \-#,##0.0"/>
    <numFmt numFmtId="227" formatCode="&quot;(3)&quot;\ #,##0.0;&quot;(3)&quot;\ \-#,##0.0"/>
    <numFmt numFmtId="228" formatCode="&quot;(4)&quot;\ #,##0.0;&quot;(4)&quot;\ \-#,##0.0"/>
    <numFmt numFmtId="229" formatCode="&quot;(5)&quot;\ #,##0.0;&quot;(5)&quot;\ \-#,##0.0"/>
    <numFmt numFmtId="230" formatCode="&quot;(6)&quot;\ #,##0.0;&quot;(6)&quot;\ \-#,##0.0"/>
    <numFmt numFmtId="231" formatCode="&quot;(7)&quot;\ #,##0.0;&quot;(7)&quot;\ \-#,##0.0"/>
    <numFmt numFmtId="232" formatCode="&quot;(8)&quot;\ #,##0.0;&quot;(8)&quot;\ \-#,##0.0"/>
    <numFmt numFmtId="233" formatCode="&quot;(9)&quot;\ #,##0.0;&quot;(9)&quot;\ \-#,##0.0"/>
    <numFmt numFmtId="234" formatCode="&quot;(9)(10)&quot;\ #,##0.0;&quot;(9)&quot;\ \-#,##0.0"/>
    <numFmt numFmtId="235" formatCode="&quot;(11)&quot;\ #,##0.0;&quot;(11)&quot;\ \-#,##0.0"/>
    <numFmt numFmtId="236" formatCode="mmmm\-dd\-yyyy"/>
    <numFmt numFmtId="237" formatCode="&quot;+&quot;0.0;&quot;-&quot;0.0"/>
    <numFmt numFmtId="238" formatCode="&quot;+&quot;0.0;&quot;-&quot;0.0;0.0"/>
    <numFmt numFmtId="239" formatCode="mmmm\-yyyy\ &quot;To&quot;"/>
    <numFmt numFmtId="240" formatCode="mmm\-dd\-yy"/>
    <numFmt numFmtId="241" formatCode="mmmm\-yyyy\ "/>
    <numFmt numFmtId="242" formatCode="mmm\-yyyy"/>
    <numFmt numFmtId="243" formatCode="mmm\ yyyy"/>
    <numFmt numFmtId="244" formatCode="\(#0\)"/>
    <numFmt numFmtId="245" formatCode="#,##0\ &quot;Hours&quot;"/>
    <numFmt numFmtId="246" formatCode="&quot;$&quot;#,##0.0_);\(&quot;$&quot;#,##0.0\)"/>
    <numFmt numFmtId="247" formatCode="&quot;$&quot;#,##0.0"/>
    <numFmt numFmtId="248" formatCode="#,##0\ "/>
    <numFmt numFmtId="249" formatCode="#,##0.00\ &quot;Mills&quot;"/>
    <numFmt numFmtId="250" formatCode="#,##0.0\ &quot;Amw&quot;"/>
    <numFmt numFmtId="251" formatCode="#,##0.0000000000"/>
    <numFmt numFmtId="252" formatCode="##,##0.0"/>
    <numFmt numFmtId="253" formatCode="0.0000000"/>
    <numFmt numFmtId="254" formatCode="0.000000000"/>
    <numFmt numFmtId="255" formatCode="0.0000000000"/>
    <numFmt numFmtId="256" formatCode="0.00000000"/>
    <numFmt numFmtId="257" formatCode="mmm"/>
    <numFmt numFmtId="258" formatCode="mmm;"/>
    <numFmt numFmtId="259" formatCode="##,##0"/>
    <numFmt numFmtId="260" formatCode="&quot;$&quot;#,##0.00"/>
    <numFmt numFmtId="261" formatCode="0000"/>
    <numFmt numFmtId="262" formatCode="yyyy"/>
    <numFmt numFmtId="263" formatCode="#,##0.0_);[Red]\(#,##0.0\)"/>
    <numFmt numFmtId="264" formatCode="#,##0.000_);[Red]\(#,##0.000\)"/>
    <numFmt numFmtId="265" formatCode="#,##0.0000_);[Red]\(#,##0.0000\)"/>
    <numFmt numFmtId="266" formatCode="#,##0.00000_);[Red]\(#,##0.00000\)"/>
    <numFmt numFmtId="267" formatCode="#,##0.000000_);[Red]\(#,##0.000000\)"/>
    <numFmt numFmtId="268" formatCode="&quot;(&quot;0&quot;)&quot;"/>
    <numFmt numFmtId="269" formatCode="&quot;[&quot;0&quot;]&quot;"/>
    <numFmt numFmtId="270" formatCode="0.000E+00;\ϔ"/>
    <numFmt numFmtId="271" formatCode="0.000E+00;\忸"/>
    <numFmt numFmtId="272" formatCode="0.0000E+00;\忸"/>
    <numFmt numFmtId="273" formatCode="0.00000E+00;\忸"/>
    <numFmt numFmtId="274" formatCode="#,##0.0_)"/>
    <numFmt numFmtId="275" formatCode="_(* #,##0.0000000000_);_(* \(#,##0.0000000000\);_(* &quot;-&quot;??????????_);_(@_)"/>
    <numFmt numFmtId="276" formatCode="&quot;$&quot;#,000_);[Red]\(&quot;$&quot;#,##0\)"/>
    <numFmt numFmtId="277" formatCode="&quot;$&quot;#,000_);\(&quot;$&quot;#,000\)"/>
    <numFmt numFmtId="278" formatCode="_(* #,##0.000_);_(* \(#,##0.000\);_(* &quot;-&quot;???_);_(@_)"/>
    <numFmt numFmtId="279" formatCode="_(* #,##0.000000_);_(* \(#,##0.000000\);_(* &quot;-&quot;??????_);_(@_)"/>
    <numFmt numFmtId="280" formatCode="0.000000E+00;\쨤"/>
    <numFmt numFmtId="281" formatCode="0.000000E+00;\Ꚁ"/>
    <numFmt numFmtId="282" formatCode="0.0000000E+00;\Ꚁ"/>
    <numFmt numFmtId="283" formatCode="0.00000000E+00;\Ꚁ"/>
    <numFmt numFmtId="284" formatCode="0.000000000E+00;\Ꚁ"/>
    <numFmt numFmtId="285" formatCode="0.0000000000E+00;\Ꚁ"/>
    <numFmt numFmtId="286" formatCode="0.00000000000E+00;\Ꚁ"/>
    <numFmt numFmtId="287" formatCode="0.000000000000E+00;\Ꚁ"/>
    <numFmt numFmtId="288" formatCode="0.00000E+00;\Ꚁ"/>
    <numFmt numFmtId="289" formatCode="0.0000E+00;\Ꚁ"/>
    <numFmt numFmtId="290" formatCode="0.000E+00;\Ꚁ"/>
    <numFmt numFmtId="291" formatCode="0.00E+00;\Ꚁ"/>
    <numFmt numFmtId="292" formatCode="0.0E+00;\Ꚁ"/>
    <numFmt numFmtId="293" formatCode="0E+00;\Ꚁ"/>
    <numFmt numFmtId="294" formatCode="_(&quot;$&quot;* #,##0.00000_);_(&quot;$&quot;* \(#,##0.00000\);_(&quot;$&quot;* &quot;-&quot;??_);_(@_)"/>
    <numFmt numFmtId="295" formatCode="_(&quot;$&quot;* #,##0.000000_);_(&quot;$&quot;* \(#,##0.000000\);_(&quot;$&quot;* &quot;-&quot;??_);_(@_)"/>
    <numFmt numFmtId="296" formatCode="_(&quot;$&quot;* #,##0.0000000_);_(&quot;$&quot;* \(#,##0.0000000\);_(&quot;$&quot;* &quot;-&quot;??_);_(@_)"/>
    <numFmt numFmtId="297" formatCode="_(&quot;$&quot;* #,##0.00000000_);_(&quot;$&quot;* \(#,##0.00000000\);_(&quot;$&quot;* &quot;-&quot;??_);_(@_)"/>
    <numFmt numFmtId="298" formatCode="0.000%"/>
    <numFmt numFmtId="299" formatCode="#,"/>
    <numFmt numFmtId="300" formatCode="&quot;$&quot;#,"/>
    <numFmt numFmtId="301" formatCode="&quot;$&quot;_#\,"/>
    <numFmt numFmtId="302" formatCode="&quot;$&quot;*#\,"/>
    <numFmt numFmtId="303" formatCode="&quot;$&quot;\ #,"/>
    <numFmt numFmtId="304" formatCode="&quot;$&quot;\ \ \ #,"/>
    <numFmt numFmtId="305" formatCode="&quot;$&quot;\ \ \ \ \ #,"/>
    <numFmt numFmtId="306" formatCode="&quot;$&quot;\ \ \ \ \ \ \ \ \ #,"/>
    <numFmt numFmtId="307" formatCode="&quot;$&quot;\ \ \ \ \ \ \ \ \ \ \ \ \ \ \ \ \ \ \ \ \ \ \ \ \ #,"/>
    <numFmt numFmtId="308" formatCode="&quot;$&quot;\ \ \ \ \ \ \ \ \ \ \ \ \ \ \ \ \ \ \ \ \ #,"/>
    <numFmt numFmtId="309" formatCode="&quot;$&quot;\ \ \ \ \ \ \ \ \ \ \ \ \ \ \ \ \ #,"/>
    <numFmt numFmtId="310" formatCode="#,###"/>
    <numFmt numFmtId="311" formatCode="&quot;$&quot;#,##0.000"/>
  </numFmts>
  <fonts count="28">
    <font>
      <sz val="10"/>
      <name val="Arial"/>
      <family val="0"/>
    </font>
    <font>
      <b/>
      <sz val="10"/>
      <name val="Arial"/>
      <family val="2"/>
    </font>
    <font>
      <sz val="10"/>
      <color indexed="8"/>
      <name val="Arial"/>
      <family val="2"/>
    </font>
    <font>
      <sz val="10"/>
      <name val="Times New Roman"/>
      <family val="1"/>
    </font>
    <font>
      <b/>
      <sz val="8"/>
      <color indexed="8"/>
      <name val="Arial"/>
      <family val="2"/>
    </font>
    <font>
      <b/>
      <sz val="10"/>
      <name val="Times New Roman"/>
      <family val="1"/>
    </font>
    <font>
      <sz val="10"/>
      <color indexed="8"/>
      <name val="Times New Roman"/>
      <family val="1"/>
    </font>
    <font>
      <b/>
      <sz val="14"/>
      <name val="Arial"/>
      <family val="2"/>
    </font>
    <font>
      <u val="single"/>
      <sz val="10"/>
      <name val="Arial"/>
      <family val="2"/>
    </font>
    <font>
      <sz val="10"/>
      <color indexed="10"/>
      <name val="Arial"/>
      <family val="2"/>
    </font>
    <font>
      <sz val="10"/>
      <color indexed="12"/>
      <name val="Arial"/>
      <family val="2"/>
    </font>
    <font>
      <b/>
      <u val="single"/>
      <sz val="10"/>
      <name val="Arial"/>
      <family val="2"/>
    </font>
    <font>
      <sz val="8"/>
      <name val="Arial"/>
      <family val="2"/>
    </font>
    <font>
      <sz val="9"/>
      <name val="Arial"/>
      <family val="2"/>
    </font>
    <font>
      <b/>
      <sz val="12"/>
      <name val="Arial"/>
      <family val="2"/>
    </font>
    <font>
      <sz val="10"/>
      <name val="Geneva"/>
      <family val="0"/>
    </font>
    <font>
      <sz val="12"/>
      <name val="Arial"/>
      <family val="0"/>
    </font>
    <font>
      <sz val="10"/>
      <name val="MS Sans Serif"/>
      <family val="0"/>
    </font>
    <font>
      <sz val="11"/>
      <name val="Arial"/>
      <family val="2"/>
    </font>
    <font>
      <b/>
      <sz val="11"/>
      <color indexed="12"/>
      <name val="Arial"/>
      <family val="2"/>
    </font>
    <font>
      <b/>
      <sz val="11"/>
      <name val="Arial"/>
      <family val="2"/>
    </font>
    <font>
      <sz val="11"/>
      <color indexed="8"/>
      <name val="Arial"/>
      <family val="2"/>
    </font>
    <font>
      <sz val="11"/>
      <color indexed="12"/>
      <name val="Arial"/>
      <family val="2"/>
    </font>
    <font>
      <b/>
      <sz val="11"/>
      <color indexed="8"/>
      <name val="Arial"/>
      <family val="2"/>
    </font>
    <font>
      <b/>
      <sz val="10"/>
      <color indexed="12"/>
      <name val="Arial"/>
      <family val="2"/>
    </font>
    <font>
      <b/>
      <sz val="8"/>
      <name val="Tahoma"/>
      <family val="0"/>
    </font>
    <font>
      <sz val="8"/>
      <name val="Tahoma"/>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28">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style="thick"/>
      <right style="thick"/>
      <top style="thick"/>
      <bottom style="thick"/>
    </border>
    <border>
      <left>
        <color indexed="63"/>
      </left>
      <right style="thin"/>
      <top>
        <color indexed="63"/>
      </top>
      <bottom>
        <color indexed="63"/>
      </bottom>
    </border>
    <border>
      <left style="medium"/>
      <right style="medium"/>
      <top style="medium"/>
      <bottom style="medium"/>
    </border>
    <border>
      <left>
        <color indexed="63"/>
      </left>
      <right>
        <color indexed="63"/>
      </right>
      <top style="dotted"/>
      <bottom style="dotted"/>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dotted"/>
    </border>
    <border>
      <left style="thin"/>
      <right style="thin"/>
      <top style="dotted"/>
      <bottom style="dotted"/>
    </border>
    <border>
      <left>
        <color indexed="63"/>
      </left>
      <right>
        <color indexed="63"/>
      </right>
      <top style="dotted"/>
      <bottom>
        <color indexed="63"/>
      </bottom>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15" fillId="0" borderId="0" applyFont="0" applyFill="0" applyBorder="0" applyAlignment="0" applyProtection="0"/>
    <xf numFmtId="41" fontId="16" fillId="0" borderId="0" applyFont="0" applyFill="0" applyBorder="0" applyAlignment="0" applyProtection="0"/>
    <xf numFmtId="38" fontId="15" fillId="0" borderId="0" applyFont="0" applyFill="0" applyBorder="0" applyAlignment="0" applyProtection="0"/>
    <xf numFmtId="41"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3"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3" fontId="16"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5" fillId="0" borderId="0" applyFont="0" applyFill="0" applyBorder="0" applyAlignment="0" applyProtection="0"/>
    <xf numFmtId="42" fontId="16" fillId="0" borderId="0" applyFont="0" applyFill="0" applyBorder="0" applyAlignment="0" applyProtection="0"/>
    <xf numFmtId="6" fontId="15" fillId="0" borderId="0" applyFont="0" applyFill="0" applyBorder="0" applyAlignment="0" applyProtection="0"/>
    <xf numFmtId="42" fontId="15" fillId="0" borderId="0" applyFont="0" applyFill="0" applyBorder="0" applyAlignment="0" applyProtection="0"/>
    <xf numFmtId="44" fontId="15" fillId="0" borderId="0" applyFont="0" applyFill="0" applyBorder="0" applyAlignment="0" applyProtection="0"/>
    <xf numFmtId="44" fontId="16" fillId="0" borderId="0" applyFont="0" applyFill="0" applyBorder="0" applyAlignment="0" applyProtection="0"/>
    <xf numFmtId="8" fontId="15" fillId="0" borderId="0" applyFont="0" applyFill="0" applyBorder="0" applyAlignment="0" applyProtection="0"/>
    <xf numFmtId="44" fontId="15" fillId="0" borderId="0" applyFont="0" applyFill="0" applyBorder="0" applyAlignment="0" applyProtection="0"/>
    <xf numFmtId="0" fontId="17" fillId="0" borderId="0">
      <alignment/>
      <protection/>
    </xf>
    <xf numFmtId="0" fontId="16" fillId="0" borderId="0">
      <alignment/>
      <protection/>
    </xf>
    <xf numFmtId="0" fontId="15" fillId="0" borderId="0">
      <alignment/>
      <protection/>
    </xf>
    <xf numFmtId="9" fontId="0" fillId="0" borderId="0" applyFont="0" applyFill="0" applyBorder="0" applyAlignment="0" applyProtection="0"/>
  </cellStyleXfs>
  <cellXfs count="344">
    <xf numFmtId="0" fontId="0" fillId="0" borderId="0" xfId="0" applyAlignment="1">
      <alignment/>
    </xf>
    <xf numFmtId="164" fontId="0" fillId="0" borderId="0" xfId="15" applyNumberFormat="1" applyAlignment="1">
      <alignment/>
    </xf>
    <xf numFmtId="164" fontId="0" fillId="0" borderId="1" xfId="15" applyNumberFormat="1" applyBorder="1" applyAlignment="1">
      <alignment/>
    </xf>
    <xf numFmtId="165" fontId="0" fillId="0" borderId="1" xfId="15" applyNumberFormat="1" applyBorder="1" applyAlignment="1">
      <alignment/>
    </xf>
    <xf numFmtId="164" fontId="0" fillId="0" borderId="0" xfId="15" applyNumberFormat="1" applyBorder="1" applyAlignment="1">
      <alignment/>
    </xf>
    <xf numFmtId="165" fontId="0" fillId="0" borderId="0" xfId="15" applyNumberFormat="1" applyBorder="1"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quotePrefix="1">
      <alignment horizontal="left"/>
    </xf>
    <xf numFmtId="0" fontId="0" fillId="0" borderId="0" xfId="0" applyAlignment="1" quotePrefix="1">
      <alignment horizontal="left" wrapText="1"/>
    </xf>
    <xf numFmtId="164" fontId="0" fillId="0" borderId="0" xfId="15" applyNumberFormat="1" applyFont="1" applyAlignment="1">
      <alignment/>
    </xf>
    <xf numFmtId="39" fontId="0" fillId="0" borderId="0" xfId="0" applyNumberFormat="1" applyAlignment="1">
      <alignment/>
    </xf>
    <xf numFmtId="166" fontId="0" fillId="0" borderId="0" xfId="0" applyNumberFormat="1" applyAlignment="1">
      <alignment/>
    </xf>
    <xf numFmtId="10" fontId="0" fillId="0" borderId="0" xfId="0" applyNumberFormat="1" applyAlignment="1">
      <alignment horizontal="right"/>
    </xf>
    <xf numFmtId="164" fontId="0" fillId="0" borderId="0" xfId="15" applyNumberFormat="1" applyAlignment="1">
      <alignment horizontal="right"/>
    </xf>
    <xf numFmtId="164" fontId="0" fillId="0" borderId="1" xfId="15" applyNumberFormat="1" applyBorder="1" applyAlignment="1">
      <alignment horizontal="right"/>
    </xf>
    <xf numFmtId="0" fontId="0" fillId="0" borderId="1" xfId="0" applyBorder="1" applyAlignment="1">
      <alignment/>
    </xf>
    <xf numFmtId="43" fontId="0" fillId="0" borderId="0" xfId="15" applyFont="1" applyAlignment="1">
      <alignment/>
    </xf>
    <xf numFmtId="164" fontId="0" fillId="0" borderId="0" xfId="0" applyNumberFormat="1" applyAlignment="1">
      <alignment/>
    </xf>
    <xf numFmtId="43" fontId="0" fillId="0" borderId="0" xfId="0" applyNumberFormat="1" applyAlignment="1">
      <alignment horizontal="right"/>
    </xf>
    <xf numFmtId="37" fontId="0" fillId="0" borderId="0" xfId="0" applyNumberFormat="1" applyAlignment="1">
      <alignment/>
    </xf>
    <xf numFmtId="37" fontId="1" fillId="0" borderId="0" xfId="0" applyNumberFormat="1" applyFont="1" applyAlignment="1">
      <alignment horizontal="center"/>
    </xf>
    <xf numFmtId="0" fontId="1" fillId="0" borderId="1" xfId="0" applyFont="1" applyBorder="1" applyAlignment="1">
      <alignment horizontal="center"/>
    </xf>
    <xf numFmtId="37" fontId="1" fillId="0" borderId="1" xfId="0" applyNumberFormat="1" applyFont="1" applyBorder="1" applyAlignment="1">
      <alignment horizontal="center" wrapText="1"/>
    </xf>
    <xf numFmtId="0" fontId="1" fillId="0" borderId="0" xfId="0" applyFont="1" applyAlignment="1">
      <alignment/>
    </xf>
    <xf numFmtId="175" fontId="0" fillId="0" borderId="0" xfId="0" applyNumberFormat="1" applyAlignment="1">
      <alignment/>
    </xf>
    <xf numFmtId="3" fontId="0" fillId="0" borderId="0" xfId="0" applyNumberFormat="1" applyAlignment="1">
      <alignment/>
    </xf>
    <xf numFmtId="166" fontId="0" fillId="0" borderId="0" xfId="0" applyNumberFormat="1" applyAlignment="1">
      <alignment horizontal="right"/>
    </xf>
    <xf numFmtId="41" fontId="2" fillId="0" borderId="0" xfId="0" applyNumberFormat="1" applyFont="1" applyFill="1" applyBorder="1" applyAlignment="1">
      <alignment/>
    </xf>
    <xf numFmtId="41" fontId="2" fillId="0" borderId="0" xfId="15" applyNumberFormat="1" applyFont="1" applyFill="1" applyBorder="1" applyAlignment="1" applyProtection="1">
      <alignment/>
      <protection/>
    </xf>
    <xf numFmtId="41" fontId="2" fillId="0" borderId="1" xfId="0" applyNumberFormat="1" applyFont="1" applyFill="1" applyBorder="1" applyAlignment="1">
      <alignment/>
    </xf>
    <xf numFmtId="41" fontId="2" fillId="0" borderId="1" xfId="15" applyNumberFormat="1" applyFont="1" applyFill="1" applyBorder="1" applyAlignment="1" applyProtection="1">
      <alignment/>
      <protection/>
    </xf>
    <xf numFmtId="164" fontId="0" fillId="0" borderId="0" xfId="15" applyNumberFormat="1" applyFont="1" applyBorder="1" applyAlignment="1">
      <alignment/>
    </xf>
    <xf numFmtId="37" fontId="0" fillId="0" borderId="0" xfId="0" applyNumberFormat="1" applyFont="1" applyAlignment="1">
      <alignment/>
    </xf>
    <xf numFmtId="0" fontId="0" fillId="0" borderId="0" xfId="0" applyFont="1" applyAlignment="1">
      <alignment/>
    </xf>
    <xf numFmtId="164" fontId="0" fillId="0" borderId="0" xfId="15" applyNumberFormat="1" applyFont="1" applyAlignment="1">
      <alignment/>
    </xf>
    <xf numFmtId="164" fontId="0" fillId="0" borderId="1" xfId="15" applyNumberFormat="1" applyFont="1" applyBorder="1" applyAlignment="1">
      <alignment/>
    </xf>
    <xf numFmtId="37" fontId="0" fillId="0" borderId="1" xfId="0" applyNumberFormat="1" applyBorder="1" applyAlignment="1">
      <alignment/>
    </xf>
    <xf numFmtId="164" fontId="0" fillId="0" borderId="0" xfId="15" applyNumberFormat="1" applyFont="1" applyFill="1" applyAlignment="1">
      <alignment/>
    </xf>
    <xf numFmtId="164" fontId="3" fillId="0" borderId="0" xfId="15" applyNumberFormat="1" applyFont="1" applyAlignment="1">
      <alignment/>
    </xf>
    <xf numFmtId="41" fontId="0" fillId="0" borderId="0" xfId="0" applyNumberFormat="1" applyFont="1" applyAlignment="1">
      <alignment/>
    </xf>
    <xf numFmtId="10" fontId="0" fillId="0" borderId="1" xfId="47" applyNumberFormat="1" applyFont="1" applyBorder="1" applyAlignment="1">
      <alignment/>
    </xf>
    <xf numFmtId="164" fontId="0" fillId="0" borderId="0" xfId="0" applyNumberFormat="1" applyFont="1" applyAlignment="1">
      <alignment/>
    </xf>
    <xf numFmtId="164" fontId="0" fillId="0" borderId="1" xfId="0" applyNumberFormat="1" applyFont="1" applyBorder="1" applyAlignment="1">
      <alignment/>
    </xf>
    <xf numFmtId="0" fontId="4" fillId="0" borderId="2" xfId="0" applyFont="1" applyFill="1" applyBorder="1" applyAlignment="1" applyProtection="1">
      <alignment horizontal="center" vertical="center" wrapText="1"/>
      <protection/>
    </xf>
    <xf numFmtId="15" fontId="4" fillId="0" borderId="2" xfId="0" applyNumberFormat="1" applyFont="1" applyFill="1" applyBorder="1" applyAlignment="1" applyProtection="1">
      <alignment horizontal="center" vertical="center" wrapText="1"/>
      <protection/>
    </xf>
    <xf numFmtId="10" fontId="4" fillId="0" borderId="2" xfId="0" applyNumberFormat="1" applyFont="1" applyFill="1" applyBorder="1" applyAlignment="1" applyProtection="1">
      <alignment horizontal="center" vertical="center" wrapText="1"/>
      <protection/>
    </xf>
    <xf numFmtId="49" fontId="4" fillId="0" borderId="2"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left"/>
      <protection/>
    </xf>
    <xf numFmtId="0" fontId="2" fillId="0" borderId="0" xfId="0" applyFont="1" applyFill="1" applyBorder="1" applyAlignment="1" applyProtection="1">
      <alignment/>
      <protection/>
    </xf>
    <xf numFmtId="41" fontId="2" fillId="0" borderId="0" xfId="15" applyNumberFormat="1" applyFont="1" applyFill="1" applyBorder="1" applyAlignment="1" applyProtection="1">
      <alignment/>
      <protection/>
    </xf>
    <xf numFmtId="10" fontId="2" fillId="0" borderId="0" xfId="47" applyNumberFormat="1" applyFont="1" applyFill="1" applyBorder="1" applyAlignment="1" applyProtection="1">
      <alignment/>
      <protection/>
    </xf>
    <xf numFmtId="0" fontId="2" fillId="0" borderId="0" xfId="0" applyFont="1" applyFill="1" applyBorder="1" applyAlignment="1">
      <alignment/>
    </xf>
    <xf numFmtId="10" fontId="2" fillId="0" borderId="0" xfId="47" applyNumberFormat="1" applyFont="1" applyFill="1" applyBorder="1" applyAlignment="1">
      <alignment horizontal="right"/>
    </xf>
    <xf numFmtId="10" fontId="2" fillId="0" borderId="1" xfId="47" applyNumberFormat="1" applyFont="1" applyFill="1" applyBorder="1" applyAlignment="1">
      <alignment horizontal="right"/>
    </xf>
    <xf numFmtId="41" fontId="2" fillId="0" borderId="3" xfId="15" applyNumberFormat="1" applyFont="1" applyFill="1" applyBorder="1" applyAlignment="1" applyProtection="1">
      <alignment/>
      <protection/>
    </xf>
    <xf numFmtId="41" fontId="2" fillId="0" borderId="3" xfId="15" applyNumberFormat="1" applyFont="1" applyFill="1" applyBorder="1" applyAlignment="1" applyProtection="1">
      <alignment/>
      <protection/>
    </xf>
    <xf numFmtId="41" fontId="2" fillId="0" borderId="1" xfId="15" applyNumberFormat="1" applyFont="1" applyFill="1" applyBorder="1" applyAlignment="1" applyProtection="1">
      <alignment/>
      <protection/>
    </xf>
    <xf numFmtId="49" fontId="0" fillId="0" borderId="0" xfId="0" applyNumberFormat="1" applyFont="1" applyAlignment="1">
      <alignment/>
    </xf>
    <xf numFmtId="0" fontId="0" fillId="0" borderId="0" xfId="0" applyFont="1" applyAlignment="1">
      <alignment horizontal="left"/>
    </xf>
    <xf numFmtId="176" fontId="0" fillId="0" borderId="0" xfId="0" applyNumberFormat="1" applyFont="1" applyFill="1" applyAlignment="1">
      <alignment/>
    </xf>
    <xf numFmtId="6" fontId="0" fillId="0" borderId="4" xfId="34" applyNumberFormat="1" applyFont="1" applyBorder="1" applyAlignment="1">
      <alignment/>
    </xf>
    <xf numFmtId="6" fontId="0" fillId="0" borderId="0" xfId="34" applyNumberFormat="1" applyFont="1" applyBorder="1" applyAlignment="1">
      <alignment/>
    </xf>
    <xf numFmtId="0" fontId="0" fillId="0" borderId="0" xfId="0" applyFont="1" applyBorder="1" applyAlignment="1">
      <alignment/>
    </xf>
    <xf numFmtId="0" fontId="3" fillId="0" borderId="0" xfId="0" applyFont="1" applyAlignment="1">
      <alignment/>
    </xf>
    <xf numFmtId="0" fontId="5" fillId="0" borderId="0" xfId="0" applyFont="1" applyAlignment="1">
      <alignment/>
    </xf>
    <xf numFmtId="0" fontId="5" fillId="0" borderId="5" xfId="0" applyFont="1" applyFill="1" applyBorder="1" applyAlignment="1" quotePrefix="1">
      <alignment horizontal="right"/>
    </xf>
    <xf numFmtId="0" fontId="5" fillId="0" borderId="0" xfId="0" applyFont="1" applyAlignment="1" applyProtection="1">
      <alignment horizontal="centerContinuous"/>
      <protection locked="0"/>
    </xf>
    <xf numFmtId="0" fontId="5" fillId="0" borderId="0" xfId="0" applyFont="1" applyAlignment="1">
      <alignment horizontal="centerContinuous"/>
    </xf>
    <xf numFmtId="15" fontId="5" fillId="0" borderId="0" xfId="0" applyNumberFormat="1" applyFont="1" applyAlignment="1">
      <alignment horizontal="centerContinuous"/>
    </xf>
    <xf numFmtId="18" fontId="5" fillId="0" borderId="0" xfId="0" applyNumberFormat="1" applyFont="1" applyAlignment="1">
      <alignment horizontal="centerContinuous"/>
    </xf>
    <xf numFmtId="0" fontId="5" fillId="0" borderId="0" xfId="0" applyFont="1" applyAlignment="1" applyProtection="1">
      <alignment horizontal="center"/>
      <protection locked="0"/>
    </xf>
    <xf numFmtId="0" fontId="5" fillId="0" borderId="0" xfId="0" applyFont="1" applyAlignment="1">
      <alignment horizontal="center"/>
    </xf>
    <xf numFmtId="0" fontId="5" fillId="0" borderId="0" xfId="0" applyFont="1" applyFill="1" applyAlignment="1">
      <alignment horizontal="center"/>
    </xf>
    <xf numFmtId="0" fontId="5" fillId="0" borderId="1" xfId="0" applyFont="1" applyBorder="1" applyAlignment="1">
      <alignment horizontal="center"/>
    </xf>
    <xf numFmtId="0" fontId="5" fillId="0" borderId="1" xfId="0" applyFont="1" applyFill="1" applyBorder="1" applyAlignment="1">
      <alignment/>
    </xf>
    <xf numFmtId="10" fontId="5" fillId="0" borderId="1" xfId="0" applyNumberFormat="1" applyFont="1" applyFill="1" applyBorder="1" applyAlignment="1">
      <alignment horizontal="center"/>
    </xf>
    <xf numFmtId="9" fontId="5" fillId="0" borderId="1" xfId="0" applyNumberFormat="1" applyFont="1" applyBorder="1" applyAlignment="1">
      <alignment horizontal="center"/>
    </xf>
    <xf numFmtId="0" fontId="3" fillId="0" borderId="0" xfId="0" applyFont="1" applyAlignment="1">
      <alignment horizontal="center"/>
    </xf>
    <xf numFmtId="0" fontId="3" fillId="0" borderId="0" xfId="0" applyFont="1" applyAlignment="1">
      <alignment horizontal="left"/>
    </xf>
    <xf numFmtId="176" fontId="3" fillId="0" borderId="0" xfId="0" applyNumberFormat="1" applyFont="1" applyFill="1" applyAlignment="1">
      <alignment/>
    </xf>
    <xf numFmtId="176" fontId="3" fillId="0" borderId="3" xfId="0" applyNumberFormat="1" applyFont="1" applyBorder="1" applyAlignment="1">
      <alignment/>
    </xf>
    <xf numFmtId="176" fontId="3" fillId="0" borderId="1" xfId="0" applyNumberFormat="1" applyFont="1" applyFill="1" applyBorder="1" applyAlignment="1">
      <alignment/>
    </xf>
    <xf numFmtId="176" fontId="3" fillId="0" borderId="3" xfId="0" applyNumberFormat="1" applyFont="1" applyFill="1" applyBorder="1" applyAlignment="1">
      <alignment/>
    </xf>
    <xf numFmtId="0" fontId="3" fillId="0" borderId="0" xfId="0" applyFont="1" applyAlignment="1">
      <alignment vertical="center"/>
    </xf>
    <xf numFmtId="0" fontId="3" fillId="0" borderId="0" xfId="0" applyFont="1" applyFill="1" applyAlignment="1">
      <alignment/>
    </xf>
    <xf numFmtId="176" fontId="3" fillId="0" borderId="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0" xfId="0" applyNumberFormat="1" applyFont="1" applyFill="1" applyBorder="1" applyAlignment="1">
      <alignment/>
    </xf>
    <xf numFmtId="176" fontId="3" fillId="0" borderId="0" xfId="0" applyNumberFormat="1" applyFont="1" applyAlignment="1">
      <alignment/>
    </xf>
    <xf numFmtId="176" fontId="3" fillId="0" borderId="2" xfId="0" applyNumberFormat="1" applyFont="1" applyBorder="1" applyAlignment="1">
      <alignment/>
    </xf>
    <xf numFmtId="0" fontId="3" fillId="0" borderId="0" xfId="0" applyFont="1" applyAlignment="1">
      <alignment horizontal="left" vertical="center"/>
    </xf>
    <xf numFmtId="176" fontId="3" fillId="0" borderId="0" xfId="0" applyNumberFormat="1" applyFont="1" applyFill="1" applyAlignment="1" applyProtection="1">
      <alignment vertical="center"/>
      <protection locked="0"/>
    </xf>
    <xf numFmtId="176" fontId="3" fillId="0" borderId="0" xfId="0" applyNumberFormat="1" applyFont="1" applyAlignment="1">
      <alignment vertical="center"/>
    </xf>
    <xf numFmtId="176" fontId="3" fillId="0" borderId="0" xfId="0" applyNumberFormat="1" applyFont="1" applyFill="1" applyAlignment="1" applyProtection="1">
      <alignment/>
      <protection locked="0"/>
    </xf>
    <xf numFmtId="0" fontId="3" fillId="0" borderId="0" xfId="0" applyFont="1" applyFill="1" applyAlignment="1">
      <alignment horizontal="left"/>
    </xf>
    <xf numFmtId="0" fontId="3" fillId="0" borderId="6" xfId="0" applyFont="1" applyBorder="1" applyAlignment="1">
      <alignment/>
    </xf>
    <xf numFmtId="176" fontId="3" fillId="0" borderId="0" xfId="0" applyNumberFormat="1" applyFont="1" applyFill="1" applyBorder="1" applyAlignment="1" applyProtection="1">
      <alignment/>
      <protection locked="0"/>
    </xf>
    <xf numFmtId="176" fontId="3" fillId="0" borderId="6" xfId="0" applyNumberFormat="1" applyFont="1" applyBorder="1" applyAlignment="1">
      <alignment/>
    </xf>
    <xf numFmtId="0" fontId="3" fillId="0" borderId="0" xfId="0" applyFont="1" applyAlignment="1">
      <alignment horizontal="center" vertical="top"/>
    </xf>
    <xf numFmtId="0" fontId="3" fillId="0" borderId="0" xfId="0" applyFont="1" applyAlignment="1">
      <alignment horizontal="left" vertical="top"/>
    </xf>
    <xf numFmtId="176" fontId="3" fillId="0" borderId="0" xfId="0" applyNumberFormat="1" applyFont="1" applyFill="1" applyBorder="1" applyAlignment="1" applyProtection="1">
      <alignment vertical="top"/>
      <protection locked="0"/>
    </xf>
    <xf numFmtId="0" fontId="3" fillId="0" borderId="6" xfId="0" applyFont="1" applyBorder="1" applyAlignment="1">
      <alignment vertical="top"/>
    </xf>
    <xf numFmtId="176" fontId="3" fillId="0" borderId="0" xfId="0" applyNumberFormat="1" applyFont="1" applyAlignment="1">
      <alignment vertical="top"/>
    </xf>
    <xf numFmtId="0" fontId="3" fillId="0" borderId="0" xfId="0" applyFont="1" applyAlignment="1">
      <alignment vertical="top"/>
    </xf>
    <xf numFmtId="0" fontId="3" fillId="0" borderId="0" xfId="0" applyFont="1" applyFill="1" applyAlignment="1">
      <alignment horizontal="center"/>
    </xf>
    <xf numFmtId="176" fontId="3" fillId="0" borderId="1" xfId="0" applyNumberFormat="1" applyFont="1" applyFill="1" applyBorder="1" applyAlignment="1" applyProtection="1">
      <alignment/>
      <protection locked="0"/>
    </xf>
    <xf numFmtId="164" fontId="3" fillId="0" borderId="0" xfId="0" applyNumberFormat="1" applyFont="1" applyAlignment="1">
      <alignment/>
    </xf>
    <xf numFmtId="42" fontId="5" fillId="0" borderId="0" xfId="0" applyNumberFormat="1" applyFont="1" applyAlignment="1">
      <alignment/>
    </xf>
    <xf numFmtId="0" fontId="5" fillId="0" borderId="0" xfId="0" applyFont="1" applyAlignment="1" applyProtection="1">
      <alignment/>
      <protection locked="0"/>
    </xf>
    <xf numFmtId="0" fontId="5" fillId="0" borderId="0" xfId="0" applyFont="1" applyFill="1" applyAlignment="1" applyProtection="1">
      <alignment horizontal="center"/>
      <protection locked="0"/>
    </xf>
    <xf numFmtId="0" fontId="5" fillId="0" borderId="1" xfId="0" applyFont="1" applyBorder="1" applyAlignment="1">
      <alignment/>
    </xf>
    <xf numFmtId="0" fontId="5" fillId="0" borderId="1" xfId="0" applyFont="1" applyBorder="1" applyAlignment="1" applyProtection="1">
      <alignment horizontal="center"/>
      <protection locked="0"/>
    </xf>
    <xf numFmtId="0" fontId="5" fillId="0" borderId="1" xfId="0" applyFont="1" applyFill="1" applyBorder="1" applyAlignment="1" applyProtection="1">
      <alignment horizontal="center"/>
      <protection locked="0"/>
    </xf>
    <xf numFmtId="0" fontId="3" fillId="0" borderId="0" xfId="0" applyFont="1" applyAlignment="1">
      <alignment horizontal="fill"/>
    </xf>
    <xf numFmtId="0" fontId="3" fillId="0" borderId="0" xfId="0" applyFont="1" applyAlignment="1" applyProtection="1">
      <alignment horizontal="fill"/>
      <protection locked="0"/>
    </xf>
    <xf numFmtId="0" fontId="3" fillId="0" borderId="0" xfId="0" applyFont="1" applyAlignment="1" applyProtection="1">
      <alignment horizontal="left"/>
      <protection locked="0"/>
    </xf>
    <xf numFmtId="0" fontId="3" fillId="0" borderId="0" xfId="0" applyFont="1" applyAlignment="1" applyProtection="1">
      <alignment/>
      <protection locked="0"/>
    </xf>
    <xf numFmtId="176" fontId="3" fillId="0" borderId="0" xfId="0" applyNumberFormat="1" applyFont="1" applyAlignment="1" applyProtection="1">
      <alignment/>
      <protection locked="0"/>
    </xf>
    <xf numFmtId="42" fontId="3" fillId="0" borderId="0" xfId="34" applyNumberFormat="1" applyFont="1" applyAlignment="1" applyProtection="1">
      <alignment/>
      <protection locked="0"/>
    </xf>
    <xf numFmtId="42" fontId="3" fillId="0" borderId="0" xfId="34" applyNumberFormat="1" applyFont="1" applyFill="1" applyAlignment="1" applyProtection="1">
      <alignment/>
      <protection locked="0"/>
    </xf>
    <xf numFmtId="42" fontId="6" fillId="0" borderId="0" xfId="34" applyNumberFormat="1" applyFont="1" applyFill="1" applyAlignment="1" applyProtection="1">
      <alignment/>
      <protection locked="0"/>
    </xf>
    <xf numFmtId="41" fontId="3" fillId="0" borderId="0" xfId="0" applyNumberFormat="1" applyFont="1" applyAlignment="1" applyProtection="1">
      <alignment/>
      <protection locked="0"/>
    </xf>
    <xf numFmtId="41" fontId="3" fillId="0" borderId="0" xfId="0" applyNumberFormat="1" applyFont="1" applyFill="1" applyAlignment="1" applyProtection="1">
      <alignment/>
      <protection locked="0"/>
    </xf>
    <xf numFmtId="41" fontId="3" fillId="0" borderId="0" xfId="0" applyNumberFormat="1" applyFont="1" applyBorder="1" applyAlignment="1" applyProtection="1">
      <alignment/>
      <protection locked="0"/>
    </xf>
    <xf numFmtId="41" fontId="3" fillId="0" borderId="0" xfId="34" applyNumberFormat="1" applyFont="1" applyFill="1" applyAlignment="1" applyProtection="1">
      <alignment/>
      <protection locked="0"/>
    </xf>
    <xf numFmtId="41" fontId="3" fillId="0" borderId="0" xfId="0" applyNumberFormat="1" applyFont="1" applyFill="1" applyBorder="1" applyAlignment="1" applyProtection="1">
      <alignment/>
      <protection locked="0"/>
    </xf>
    <xf numFmtId="42" fontId="3" fillId="0" borderId="3" xfId="34" applyNumberFormat="1" applyFont="1" applyBorder="1" applyAlignment="1" applyProtection="1">
      <alignment/>
      <protection locked="0"/>
    </xf>
    <xf numFmtId="0" fontId="3" fillId="0" borderId="0" xfId="0" applyFont="1" applyFill="1" applyAlignment="1" applyProtection="1">
      <alignment horizontal="left"/>
      <protection locked="0"/>
    </xf>
    <xf numFmtId="41" fontId="3" fillId="0" borderId="0" xfId="0" applyNumberFormat="1" applyFont="1" applyFill="1" applyBorder="1" applyAlignment="1">
      <alignment/>
    </xf>
    <xf numFmtId="41" fontId="3" fillId="0" borderId="1" xfId="0" applyNumberFormat="1" applyFont="1" applyFill="1" applyBorder="1" applyAlignment="1">
      <alignment/>
    </xf>
    <xf numFmtId="42" fontId="3" fillId="0" borderId="0" xfId="34" applyNumberFormat="1" applyFont="1" applyBorder="1" applyAlignment="1">
      <alignment/>
    </xf>
    <xf numFmtId="42" fontId="3" fillId="0" borderId="0" xfId="34" applyNumberFormat="1" applyFont="1" applyBorder="1" applyAlignment="1" applyProtection="1">
      <alignment/>
      <protection locked="0"/>
    </xf>
    <xf numFmtId="9" fontId="3" fillId="0" borderId="0" xfId="0" applyNumberFormat="1" applyFont="1" applyAlignment="1">
      <alignment/>
    </xf>
    <xf numFmtId="43" fontId="3" fillId="0" borderId="0" xfId="15" applyFont="1" applyAlignment="1">
      <alignment/>
    </xf>
    <xf numFmtId="42" fontId="3" fillId="0" borderId="2" xfId="34" applyNumberFormat="1" applyFont="1" applyFill="1" applyBorder="1" applyAlignment="1" applyProtection="1">
      <alignment/>
      <protection locked="0"/>
    </xf>
    <xf numFmtId="3" fontId="0" fillId="0" borderId="1" xfId="0" applyNumberFormat="1" applyBorder="1" applyAlignment="1">
      <alignment/>
    </xf>
    <xf numFmtId="0" fontId="3" fillId="0" borderId="0" xfId="0" applyFont="1" applyBorder="1" applyAlignment="1">
      <alignment/>
    </xf>
    <xf numFmtId="177" fontId="0" fillId="0" borderId="0" xfId="15" applyNumberFormat="1" applyAlignment="1">
      <alignment/>
    </xf>
    <xf numFmtId="177" fontId="0" fillId="0" borderId="0" xfId="0" applyNumberFormat="1" applyAlignment="1">
      <alignment/>
    </xf>
    <xf numFmtId="0" fontId="7" fillId="0" borderId="0" xfId="0" applyFont="1" applyAlignment="1">
      <alignment horizontal="left"/>
    </xf>
    <xf numFmtId="0" fontId="1" fillId="0" borderId="0" xfId="0" applyFont="1" applyAlignment="1">
      <alignment horizontal="center"/>
    </xf>
    <xf numFmtId="164" fontId="1" fillId="0" borderId="0" xfId="15" applyNumberFormat="1" applyFont="1" applyAlignment="1">
      <alignment horizontal="center"/>
    </xf>
    <xf numFmtId="164" fontId="1" fillId="0" borderId="1" xfId="15" applyNumberFormat="1" applyFont="1" applyBorder="1" applyAlignment="1">
      <alignment horizontal="center"/>
    </xf>
    <xf numFmtId="0" fontId="0" fillId="0" borderId="0" xfId="0" applyFont="1" applyAlignment="1">
      <alignment horizontal="left" indent="1"/>
    </xf>
    <xf numFmtId="0" fontId="0" fillId="0" borderId="0" xfId="0" applyFont="1" applyAlignment="1">
      <alignment horizontal="center"/>
    </xf>
    <xf numFmtId="171" fontId="0" fillId="0" borderId="0" xfId="34" applyNumberFormat="1" applyFont="1" applyAlignment="1">
      <alignment/>
    </xf>
    <xf numFmtId="171" fontId="0" fillId="0" borderId="0" xfId="34" applyNumberFormat="1" applyAlignment="1">
      <alignment horizontal="right"/>
    </xf>
    <xf numFmtId="171" fontId="0" fillId="0" borderId="0" xfId="34" applyNumberFormat="1" applyAlignment="1">
      <alignment/>
    </xf>
    <xf numFmtId="181" fontId="1" fillId="0" borderId="7" xfId="34" applyNumberFormat="1" applyFont="1" applyBorder="1" applyAlignment="1">
      <alignment/>
    </xf>
    <xf numFmtId="181" fontId="0" fillId="0" borderId="0" xfId="34" applyNumberFormat="1" applyAlignment="1">
      <alignment/>
    </xf>
    <xf numFmtId="177" fontId="8" fillId="0" borderId="0" xfId="0" applyNumberFormat="1" applyFont="1" applyAlignment="1">
      <alignment/>
    </xf>
    <xf numFmtId="177" fontId="8" fillId="0" borderId="0" xfId="0" applyNumberFormat="1" applyFont="1" applyAlignment="1">
      <alignment horizontal="right"/>
    </xf>
    <xf numFmtId="0" fontId="0" fillId="0" borderId="1" xfId="0" applyBorder="1" applyAlignment="1">
      <alignment horizontal="center"/>
    </xf>
    <xf numFmtId="0" fontId="1" fillId="0" borderId="1" xfId="0" applyFont="1" applyBorder="1" applyAlignment="1">
      <alignment/>
    </xf>
    <xf numFmtId="43" fontId="9" fillId="0" borderId="0" xfId="15" applyFont="1" applyAlignment="1">
      <alignment/>
    </xf>
    <xf numFmtId="9" fontId="0" fillId="0" borderId="0" xfId="47" applyAlignment="1">
      <alignment/>
    </xf>
    <xf numFmtId="164" fontId="0" fillId="0" borderId="0" xfId="15" applyNumberFormat="1" applyAlignment="1">
      <alignment/>
    </xf>
    <xf numFmtId="171" fontId="0" fillId="0" borderId="0" xfId="34" applyNumberFormat="1" applyBorder="1" applyAlignment="1">
      <alignment/>
    </xf>
    <xf numFmtId="0" fontId="0" fillId="0" borderId="8" xfId="0" applyBorder="1" applyAlignment="1">
      <alignment wrapText="1"/>
    </xf>
    <xf numFmtId="43" fontId="0" fillId="0" borderId="0" xfId="15" applyAlignment="1">
      <alignment/>
    </xf>
    <xf numFmtId="0" fontId="0" fillId="0" borderId="0" xfId="0" applyAlignment="1" quotePrefix="1">
      <alignment/>
    </xf>
    <xf numFmtId="0" fontId="0" fillId="0" borderId="8" xfId="0" applyFont="1" applyBorder="1" applyAlignment="1">
      <alignment wrapText="1"/>
    </xf>
    <xf numFmtId="43" fontId="0" fillId="0" borderId="0" xfId="0" applyNumberFormat="1" applyAlignment="1">
      <alignment/>
    </xf>
    <xf numFmtId="171" fontId="0" fillId="0" borderId="0" xfId="34" applyNumberFormat="1" applyFont="1" applyBorder="1" applyAlignment="1">
      <alignment/>
    </xf>
    <xf numFmtId="0" fontId="0" fillId="0" borderId="0" xfId="0" applyAlignment="1">
      <alignment horizontal="left" indent="1"/>
    </xf>
    <xf numFmtId="184" fontId="0" fillId="0" borderId="0" xfId="15" applyNumberFormat="1" applyAlignment="1">
      <alignment horizontal="center"/>
    </xf>
    <xf numFmtId="171" fontId="10" fillId="0" borderId="0" xfId="34" applyNumberFormat="1" applyFont="1" applyBorder="1" applyAlignment="1">
      <alignment/>
    </xf>
    <xf numFmtId="164" fontId="10" fillId="0" borderId="0" xfId="15" applyNumberFormat="1" applyFont="1" applyBorder="1" applyAlignment="1">
      <alignment/>
    </xf>
    <xf numFmtId="43" fontId="0" fillId="0" borderId="1" xfId="15" applyBorder="1" applyAlignment="1">
      <alignment/>
    </xf>
    <xf numFmtId="171" fontId="0" fillId="0" borderId="1" xfId="34" applyNumberFormat="1" applyBorder="1" applyAlignment="1">
      <alignment/>
    </xf>
    <xf numFmtId="43" fontId="0" fillId="0" borderId="8" xfId="0" applyNumberFormat="1" applyBorder="1" applyAlignment="1">
      <alignment wrapText="1"/>
    </xf>
    <xf numFmtId="171" fontId="0" fillId="0" borderId="0" xfId="34" applyNumberFormat="1" applyAlignment="1">
      <alignment/>
    </xf>
    <xf numFmtId="37" fontId="0" fillId="0" borderId="0" xfId="15" applyNumberFormat="1" applyAlignment="1">
      <alignment/>
    </xf>
    <xf numFmtId="0" fontId="11" fillId="0" borderId="0" xfId="0" applyFont="1" applyAlignment="1">
      <alignment/>
    </xf>
    <xf numFmtId="171" fontId="10" fillId="0" borderId="0" xfId="34" applyNumberFormat="1" applyFont="1" applyAlignment="1">
      <alignment/>
    </xf>
    <xf numFmtId="43" fontId="0" fillId="0" borderId="0" xfId="15" applyFont="1" applyBorder="1" applyAlignment="1">
      <alignment/>
    </xf>
    <xf numFmtId="43" fontId="0" fillId="0" borderId="0" xfId="15" applyBorder="1" applyAlignment="1">
      <alignment/>
    </xf>
    <xf numFmtId="171" fontId="10" fillId="0" borderId="1" xfId="34" applyNumberFormat="1" applyFont="1" applyBorder="1" applyAlignment="1">
      <alignment/>
    </xf>
    <xf numFmtId="37" fontId="0" fillId="0" borderId="0" xfId="15" applyNumberFormat="1" applyBorder="1" applyAlignment="1">
      <alignment/>
    </xf>
    <xf numFmtId="171" fontId="0" fillId="0" borderId="9" xfId="34" applyNumberFormat="1" applyBorder="1" applyAlignment="1">
      <alignment/>
    </xf>
    <xf numFmtId="0" fontId="0" fillId="0" borderId="0" xfId="0" applyAlignment="1" applyProtection="1" quotePrefix="1">
      <alignment horizontal="left"/>
      <protection locked="0"/>
    </xf>
    <xf numFmtId="0" fontId="0" fillId="0" borderId="0" xfId="0" applyAlignment="1" applyProtection="1">
      <alignment horizontal="left"/>
      <protection locked="0"/>
    </xf>
    <xf numFmtId="37" fontId="10" fillId="0" borderId="0" xfId="15" applyNumberFormat="1" applyFont="1" applyBorder="1" applyAlignment="1">
      <alignment/>
    </xf>
    <xf numFmtId="186" fontId="0" fillId="0" borderId="0" xfId="15" applyNumberFormat="1" applyBorder="1" applyAlignment="1">
      <alignment/>
    </xf>
    <xf numFmtId="0" fontId="0" fillId="0" borderId="0" xfId="0" applyAlignment="1" applyProtection="1">
      <alignment horizontal="center"/>
      <protection locked="0"/>
    </xf>
    <xf numFmtId="0" fontId="12" fillId="0" borderId="0" xfId="0" applyFont="1" applyAlignment="1">
      <alignment/>
    </xf>
    <xf numFmtId="0" fontId="9" fillId="0" borderId="0" xfId="0" applyFont="1" applyAlignment="1">
      <alignment/>
    </xf>
    <xf numFmtId="0" fontId="1" fillId="0" borderId="0" xfId="0" applyFont="1" applyAlignment="1" applyProtection="1">
      <alignment horizontal="left"/>
      <protection locked="0"/>
    </xf>
    <xf numFmtId="171" fontId="0" fillId="0" borderId="0" xfId="0" applyNumberFormat="1" applyAlignment="1">
      <alignment/>
    </xf>
    <xf numFmtId="9" fontId="0" fillId="0" borderId="0" xfId="0" applyNumberFormat="1" applyAlignment="1">
      <alignment/>
    </xf>
    <xf numFmtId="9" fontId="0" fillId="0" borderId="1" xfId="47" applyBorder="1" applyAlignment="1">
      <alignment/>
    </xf>
    <xf numFmtId="164" fontId="13" fillId="0" borderId="0" xfId="15" applyNumberFormat="1" applyFont="1" applyAlignment="1">
      <alignment/>
    </xf>
    <xf numFmtId="171" fontId="0" fillId="0" borderId="7" xfId="34" applyNumberFormat="1" applyBorder="1" applyAlignment="1">
      <alignment/>
    </xf>
    <xf numFmtId="43" fontId="0" fillId="0" borderId="0" xfId="0" applyNumberFormat="1" applyAlignment="1" quotePrefix="1">
      <alignment/>
    </xf>
    <xf numFmtId="0" fontId="0" fillId="0" borderId="0" xfId="0" applyAlignment="1">
      <alignment/>
    </xf>
    <xf numFmtId="0" fontId="14" fillId="0" borderId="0" xfId="0" applyFont="1" applyAlignment="1">
      <alignment/>
    </xf>
    <xf numFmtId="0" fontId="0" fillId="0" borderId="10" xfId="0" applyBorder="1" applyAlignment="1">
      <alignment horizontal="center"/>
    </xf>
    <xf numFmtId="0" fontId="0" fillId="0" borderId="3" xfId="0" applyFont="1"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0" fillId="0" borderId="12" xfId="0" applyBorder="1" applyAlignment="1" quotePrefix="1">
      <alignment horizontal="center" wrapText="1"/>
    </xf>
    <xf numFmtId="0" fontId="0" fillId="0" borderId="10" xfId="0" applyBorder="1" applyAlignment="1" quotePrefix="1">
      <alignment horizontal="center" wrapText="1"/>
    </xf>
    <xf numFmtId="0" fontId="0" fillId="0" borderId="3"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0" xfId="0" applyBorder="1" applyAlignment="1">
      <alignment horizontal="center" wrapText="1"/>
    </xf>
    <xf numFmtId="0" fontId="0" fillId="0" borderId="6" xfId="0" applyBorder="1" applyAlignment="1">
      <alignment horizontal="center" wrapText="1"/>
    </xf>
    <xf numFmtId="0" fontId="0" fillId="0" borderId="0" xfId="0" applyAlignment="1">
      <alignment horizontal="center" wrapText="1"/>
    </xf>
    <xf numFmtId="0" fontId="0" fillId="0" borderId="0" xfId="0" applyAlignment="1" quotePrefix="1">
      <alignment horizontal="center" wrapText="1"/>
    </xf>
    <xf numFmtId="0" fontId="0" fillId="0" borderId="13" xfId="0" applyBorder="1" applyAlignment="1">
      <alignment horizontal="center" wrapText="1"/>
    </xf>
    <xf numFmtId="0" fontId="0" fillId="0" borderId="1" xfId="0" applyBorder="1" applyAlignment="1">
      <alignment horizontal="center" wrapText="1"/>
    </xf>
    <xf numFmtId="0" fontId="0" fillId="0" borderId="14" xfId="0" applyBorder="1" applyAlignment="1">
      <alignment horizontal="center" wrapText="1"/>
    </xf>
    <xf numFmtId="0" fontId="0" fillId="0" borderId="12" xfId="0" applyBorder="1" applyAlignment="1">
      <alignment/>
    </xf>
    <xf numFmtId="0" fontId="0" fillId="0" borderId="0" xfId="0" applyBorder="1" applyAlignment="1">
      <alignment/>
    </xf>
    <xf numFmtId="0" fontId="0" fillId="0" borderId="6" xfId="0" applyBorder="1" applyAlignment="1">
      <alignment/>
    </xf>
    <xf numFmtId="44" fontId="0" fillId="0" borderId="0" xfId="34" applyNumberFormat="1" applyFont="1" applyAlignment="1">
      <alignment/>
    </xf>
    <xf numFmtId="44" fontId="0" fillId="0" borderId="12" xfId="34" applyNumberFormat="1" applyFont="1" applyBorder="1" applyAlignment="1">
      <alignment/>
    </xf>
    <xf numFmtId="44" fontId="0" fillId="0" borderId="0" xfId="34" applyNumberFormat="1" applyBorder="1" applyAlignment="1">
      <alignment/>
    </xf>
    <xf numFmtId="44" fontId="0" fillId="0" borderId="6" xfId="34" applyNumberFormat="1" applyBorder="1" applyAlignment="1">
      <alignment/>
    </xf>
    <xf numFmtId="44" fontId="0" fillId="0" borderId="0" xfId="34" applyNumberFormat="1" applyFont="1" applyBorder="1" applyAlignment="1">
      <alignment/>
    </xf>
    <xf numFmtId="44" fontId="10" fillId="0" borderId="0" xfId="34" applyNumberFormat="1" applyFont="1" applyAlignment="1">
      <alignment/>
    </xf>
    <xf numFmtId="44" fontId="10" fillId="0" borderId="12" xfId="34" applyNumberFormat="1" applyFont="1" applyBorder="1" applyAlignment="1">
      <alignment/>
    </xf>
    <xf numFmtId="171" fontId="0" fillId="0" borderId="13" xfId="34" applyNumberFormat="1" applyBorder="1" applyAlignment="1">
      <alignment/>
    </xf>
    <xf numFmtId="171" fontId="0" fillId="0" borderId="14" xfId="34" applyNumberFormat="1" applyBorder="1" applyAlignment="1">
      <alignment/>
    </xf>
    <xf numFmtId="170" fontId="0" fillId="0" borderId="0" xfId="34" applyNumberFormat="1" applyAlignment="1">
      <alignment/>
    </xf>
    <xf numFmtId="170" fontId="10" fillId="0" borderId="0" xfId="34" applyNumberFormat="1" applyFont="1" applyAlignment="1">
      <alignment/>
    </xf>
    <xf numFmtId="170" fontId="10" fillId="0" borderId="12" xfId="34" applyNumberFormat="1" applyFont="1" applyBorder="1" applyAlignment="1">
      <alignment/>
    </xf>
    <xf numFmtId="170" fontId="0" fillId="0" borderId="0" xfId="34" applyNumberFormat="1" applyBorder="1" applyAlignment="1">
      <alignment/>
    </xf>
    <xf numFmtId="170" fontId="0" fillId="0" borderId="6" xfId="34" applyNumberFormat="1" applyBorder="1" applyAlignment="1">
      <alignment/>
    </xf>
    <xf numFmtId="170" fontId="0" fillId="0" borderId="0" xfId="34" applyNumberFormat="1" applyFont="1" applyBorder="1" applyAlignment="1">
      <alignment/>
    </xf>
    <xf numFmtId="187" fontId="0" fillId="0" borderId="0" xfId="0" applyNumberFormat="1" applyAlignment="1">
      <alignment/>
    </xf>
    <xf numFmtId="198" fontId="0" fillId="0" borderId="0" xfId="0" applyNumberFormat="1" applyAlignment="1">
      <alignment/>
    </xf>
    <xf numFmtId="0" fontId="11" fillId="0" borderId="0" xfId="0" applyFont="1" applyAlignment="1">
      <alignment horizontal="center"/>
    </xf>
    <xf numFmtId="164" fontId="11" fillId="0" borderId="0" xfId="15" applyNumberFormat="1" applyFont="1" applyAlignment="1">
      <alignment horizontal="center"/>
    </xf>
    <xf numFmtId="10" fontId="11" fillId="0" borderId="0" xfId="0" applyNumberFormat="1" applyFont="1" applyAlignment="1">
      <alignment horizontal="center"/>
    </xf>
    <xf numFmtId="164" fontId="0" fillId="0" borderId="0" xfId="15" applyNumberFormat="1" applyFont="1" applyAlignment="1">
      <alignment/>
    </xf>
    <xf numFmtId="164" fontId="0" fillId="0" borderId="15" xfId="15" applyNumberFormat="1" applyBorder="1" applyAlignment="1">
      <alignment/>
    </xf>
    <xf numFmtId="164" fontId="0" fillId="0" borderId="16" xfId="15" applyNumberFormat="1" applyBorder="1" applyAlignment="1">
      <alignment/>
    </xf>
    <xf numFmtId="0" fontId="0" fillId="0" borderId="16" xfId="0" applyBorder="1" applyAlignment="1">
      <alignment/>
    </xf>
    <xf numFmtId="0" fontId="0" fillId="0" borderId="17" xfId="0" applyBorder="1" applyAlignment="1">
      <alignment/>
    </xf>
    <xf numFmtId="164" fontId="1" fillId="0" borderId="18" xfId="15" applyNumberFormat="1" applyFont="1" applyBorder="1" applyAlignment="1">
      <alignment horizontal="center"/>
    </xf>
    <xf numFmtId="164" fontId="1" fillId="0" borderId="0" xfId="15" applyNumberFormat="1" applyFont="1" applyBorder="1" applyAlignment="1">
      <alignment horizontal="center"/>
    </xf>
    <xf numFmtId="0" fontId="1" fillId="0" borderId="19" xfId="0" applyFont="1" applyBorder="1" applyAlignment="1">
      <alignment horizontal="center"/>
    </xf>
    <xf numFmtId="17" fontId="0" fillId="0" borderId="18" xfId="15" applyNumberFormat="1" applyBorder="1" applyAlignment="1">
      <alignment horizontal="center"/>
    </xf>
    <xf numFmtId="17" fontId="0" fillId="0" borderId="0" xfId="15" applyNumberFormat="1" applyBorder="1" applyAlignment="1">
      <alignment horizontal="center"/>
    </xf>
    <xf numFmtId="0" fontId="0" fillId="0" borderId="0" xfId="0" applyBorder="1" applyAlignment="1">
      <alignment horizontal="center"/>
    </xf>
    <xf numFmtId="171" fontId="0" fillId="0" borderId="19" xfId="0" applyNumberFormat="1" applyBorder="1" applyAlignment="1">
      <alignment/>
    </xf>
    <xf numFmtId="164" fontId="0" fillId="0" borderId="20" xfId="15" applyNumberFormat="1" applyBorder="1" applyAlignment="1">
      <alignment/>
    </xf>
    <xf numFmtId="164" fontId="0" fillId="0" borderId="21" xfId="15" applyNumberFormat="1" applyBorder="1" applyAlignment="1">
      <alignment/>
    </xf>
    <xf numFmtId="0" fontId="0" fillId="0" borderId="21" xfId="0" applyBorder="1" applyAlignment="1">
      <alignment/>
    </xf>
    <xf numFmtId="0" fontId="0" fillId="0" borderId="22" xfId="0" applyBorder="1" applyAlignment="1">
      <alignment/>
    </xf>
    <xf numFmtId="0" fontId="0" fillId="0" borderId="0" xfId="0" applyFont="1" applyAlignment="1">
      <alignment horizontal="right"/>
    </xf>
    <xf numFmtId="41" fontId="0" fillId="0" borderId="0" xfId="0" applyNumberFormat="1" applyFont="1" applyAlignment="1">
      <alignment horizontal="right"/>
    </xf>
    <xf numFmtId="0" fontId="18" fillId="0" borderId="0" xfId="0" applyFont="1" applyAlignment="1">
      <alignment/>
    </xf>
    <xf numFmtId="202" fontId="7" fillId="0" borderId="0" xfId="0" applyNumberFormat="1" applyFont="1" applyFill="1" applyAlignment="1">
      <alignment/>
    </xf>
    <xf numFmtId="0" fontId="18" fillId="0" borderId="0" xfId="0" applyFont="1" applyFill="1" applyAlignment="1">
      <alignment/>
    </xf>
    <xf numFmtId="0" fontId="19" fillId="0" borderId="0" xfId="0" applyFont="1" applyAlignment="1">
      <alignment/>
    </xf>
    <xf numFmtId="0" fontId="20" fillId="0" borderId="0" xfId="0" applyFont="1" applyAlignment="1">
      <alignment horizontal="center"/>
    </xf>
    <xf numFmtId="0" fontId="20" fillId="0" borderId="23" xfId="0" applyFont="1" applyBorder="1" applyAlignment="1">
      <alignment horizontal="centerContinuous"/>
    </xf>
    <xf numFmtId="0" fontId="20" fillId="0" borderId="9" xfId="0" applyFont="1" applyBorder="1" applyAlignment="1">
      <alignment horizontal="centerContinuous"/>
    </xf>
    <xf numFmtId="0" fontId="20" fillId="0" borderId="24" xfId="0" applyFont="1" applyBorder="1" applyAlignment="1">
      <alignment horizontal="centerContinuous"/>
    </xf>
    <xf numFmtId="0" fontId="20" fillId="0" borderId="0" xfId="0" applyFont="1" applyBorder="1" applyAlignment="1">
      <alignment horizontal="center"/>
    </xf>
    <xf numFmtId="0" fontId="20" fillId="0" borderId="0" xfId="0" applyFont="1" applyAlignment="1">
      <alignment horizontal="center" wrapText="1"/>
    </xf>
    <xf numFmtId="0" fontId="20" fillId="0" borderId="13" xfId="0" applyFont="1" applyBorder="1" applyAlignment="1">
      <alignment horizontal="center" wrapText="1"/>
    </xf>
    <xf numFmtId="0" fontId="20" fillId="0" borderId="1" xfId="0" applyFont="1" applyBorder="1" applyAlignment="1">
      <alignment horizontal="center" wrapText="1"/>
    </xf>
    <xf numFmtId="0" fontId="20" fillId="0" borderId="14" xfId="0" applyFont="1" applyBorder="1" applyAlignment="1">
      <alignment horizontal="center" wrapText="1"/>
    </xf>
    <xf numFmtId="0" fontId="21" fillId="0" borderId="0" xfId="0" applyFont="1" applyBorder="1" applyAlignment="1">
      <alignment horizontal="center"/>
    </xf>
    <xf numFmtId="0" fontId="20" fillId="0" borderId="0" xfId="0" applyFont="1" applyFill="1" applyBorder="1" applyAlignment="1">
      <alignment/>
    </xf>
    <xf numFmtId="0" fontId="18" fillId="0" borderId="25" xfId="0" applyFont="1" applyBorder="1" applyAlignment="1">
      <alignment/>
    </xf>
    <xf numFmtId="0" fontId="18" fillId="0" borderId="8" xfId="0" applyFont="1" applyFill="1" applyBorder="1" applyAlignment="1">
      <alignment/>
    </xf>
    <xf numFmtId="3" fontId="18" fillId="0" borderId="26" xfId="0" applyNumberFormat="1" applyFont="1" applyBorder="1" applyAlignment="1">
      <alignment/>
    </xf>
    <xf numFmtId="164" fontId="22" fillId="2" borderId="0" xfId="15" applyNumberFormat="1" applyFont="1" applyFill="1" applyAlignment="1">
      <alignment/>
    </xf>
    <xf numFmtId="0" fontId="22" fillId="2" borderId="0" xfId="0" applyFont="1" applyFill="1" applyAlignment="1">
      <alignment/>
    </xf>
    <xf numFmtId="44" fontId="18" fillId="2" borderId="0" xfId="0" applyNumberFormat="1" applyFont="1" applyFill="1" applyAlignment="1">
      <alignment/>
    </xf>
    <xf numFmtId="0" fontId="18" fillId="0" borderId="0" xfId="0" applyFont="1" applyBorder="1" applyAlignment="1">
      <alignment/>
    </xf>
    <xf numFmtId="44" fontId="18" fillId="0" borderId="0" xfId="0" applyNumberFormat="1" applyFont="1" applyAlignment="1">
      <alignment/>
    </xf>
    <xf numFmtId="164" fontId="22" fillId="0" borderId="0" xfId="15" applyNumberFormat="1" applyFont="1" applyAlignment="1">
      <alignment/>
    </xf>
    <xf numFmtId="171" fontId="22" fillId="0" borderId="0" xfId="34" applyNumberFormat="1" applyFont="1" applyAlignment="1">
      <alignment/>
    </xf>
    <xf numFmtId="44" fontId="18" fillId="0" borderId="0" xfId="34" applyFont="1" applyAlignment="1">
      <alignment/>
    </xf>
    <xf numFmtId="171" fontId="18" fillId="0" borderId="0" xfId="34" applyNumberFormat="1" applyFont="1" applyAlignment="1">
      <alignment/>
    </xf>
    <xf numFmtId="171" fontId="18" fillId="0" borderId="2" xfId="0" applyNumberFormat="1" applyFont="1" applyBorder="1" applyAlignment="1">
      <alignment/>
    </xf>
    <xf numFmtId="44" fontId="18" fillId="2" borderId="0" xfId="34" applyFont="1" applyFill="1" applyAlignment="1">
      <alignment/>
    </xf>
    <xf numFmtId="171" fontId="18" fillId="0" borderId="2" xfId="34" applyNumberFormat="1" applyFont="1" applyBorder="1" applyAlignment="1">
      <alignment/>
    </xf>
    <xf numFmtId="164" fontId="18" fillId="0" borderId="0" xfId="15" applyNumberFormat="1" applyFont="1" applyAlignment="1">
      <alignment/>
    </xf>
    <xf numFmtId="0" fontId="23" fillId="0" borderId="0" xfId="0" applyFont="1" applyBorder="1" applyAlignment="1">
      <alignment horizontal="center"/>
    </xf>
    <xf numFmtId="0" fontId="20" fillId="0" borderId="0" xfId="0" applyFont="1" applyAlignment="1">
      <alignment/>
    </xf>
    <xf numFmtId="171" fontId="18" fillId="0" borderId="0" xfId="34" applyNumberFormat="1" applyFont="1" applyBorder="1" applyAlignment="1">
      <alignment/>
    </xf>
    <xf numFmtId="0" fontId="20" fillId="0" borderId="0" xfId="0" applyFont="1" applyAlignment="1">
      <alignment horizontal="right"/>
    </xf>
    <xf numFmtId="171" fontId="20" fillId="0" borderId="2" xfId="34" applyNumberFormat="1" applyFont="1" applyBorder="1" applyAlignment="1">
      <alignment/>
    </xf>
    <xf numFmtId="0" fontId="7" fillId="0" borderId="0" xfId="0" applyFont="1" applyAlignment="1">
      <alignment/>
    </xf>
    <xf numFmtId="0" fontId="11" fillId="0" borderId="0" xfId="0" applyFont="1" applyAlignment="1">
      <alignment horizontal="right"/>
    </xf>
    <xf numFmtId="0" fontId="10" fillId="0" borderId="0" xfId="0" applyFont="1" applyAlignment="1">
      <alignment/>
    </xf>
    <xf numFmtId="17" fontId="24" fillId="3" borderId="0" xfId="0" applyNumberFormat="1" applyFont="1" applyFill="1" applyAlignment="1">
      <alignment/>
    </xf>
    <xf numFmtId="10" fontId="0" fillId="0" borderId="0" xfId="0" applyNumberFormat="1" applyAlignment="1">
      <alignment/>
    </xf>
    <xf numFmtId="183" fontId="0" fillId="0" borderId="0" xfId="47" applyNumberFormat="1" applyAlignment="1">
      <alignment/>
    </xf>
    <xf numFmtId="17" fontId="0" fillId="0" borderId="0" xfId="0" applyNumberFormat="1" applyAlignment="1">
      <alignment/>
    </xf>
    <xf numFmtId="10" fontId="20" fillId="0" borderId="7" xfId="0" applyNumberFormat="1" applyFont="1" applyBorder="1" applyAlignment="1">
      <alignment/>
    </xf>
    <xf numFmtId="10" fontId="10" fillId="0" borderId="0" xfId="0" applyNumberFormat="1" applyFont="1" applyAlignment="1">
      <alignment/>
    </xf>
    <xf numFmtId="10" fontId="0" fillId="0" borderId="0" xfId="47" applyNumberFormat="1" applyAlignment="1">
      <alignment/>
    </xf>
    <xf numFmtId="10" fontId="0" fillId="0" borderId="7" xfId="47" applyNumberFormat="1" applyBorder="1" applyAlignment="1">
      <alignment/>
    </xf>
    <xf numFmtId="10" fontId="0" fillId="0" borderId="21" xfId="0" applyNumberFormat="1" applyBorder="1" applyAlignment="1">
      <alignment horizontal="center"/>
    </xf>
    <xf numFmtId="10" fontId="10" fillId="0" borderId="0" xfId="47" applyNumberFormat="1" applyFont="1" applyAlignment="1">
      <alignment horizontal="center"/>
    </xf>
    <xf numFmtId="171" fontId="0" fillId="0" borderId="0" xfId="0" applyNumberFormat="1" applyBorder="1" applyAlignment="1">
      <alignment/>
    </xf>
    <xf numFmtId="171" fontId="20" fillId="0" borderId="7" xfId="34" applyNumberFormat="1" applyFont="1" applyBorder="1" applyAlignment="1">
      <alignment/>
    </xf>
    <xf numFmtId="0" fontId="1" fillId="0" borderId="0" xfId="0" applyFont="1" applyAlignment="1">
      <alignment horizontal="left" indent="1"/>
    </xf>
    <xf numFmtId="10" fontId="10" fillId="0" borderId="0" xfId="47" applyNumberFormat="1" applyFont="1" applyAlignment="1">
      <alignment horizontal="right"/>
    </xf>
    <xf numFmtId="10" fontId="9" fillId="0" borderId="0" xfId="0" applyNumberFormat="1" applyFont="1" applyAlignment="1">
      <alignment/>
    </xf>
    <xf numFmtId="0" fontId="0" fillId="0" borderId="27" xfId="0" applyBorder="1" applyAlignment="1">
      <alignment horizontal="center"/>
    </xf>
    <xf numFmtId="0" fontId="0" fillId="0" borderId="27" xfId="0" applyBorder="1" applyAlignment="1">
      <alignment/>
    </xf>
    <xf numFmtId="17" fontId="0" fillId="0" borderId="27" xfId="0" applyNumberFormat="1" applyBorder="1" applyAlignment="1">
      <alignment/>
    </xf>
    <xf numFmtId="0" fontId="14" fillId="0" borderId="0" xfId="0" applyFont="1" applyAlignment="1">
      <alignment horizontal="right"/>
    </xf>
    <xf numFmtId="311" fontId="1" fillId="0" borderId="0" xfId="0" applyNumberFormat="1" applyFont="1" applyAlignment="1">
      <alignment/>
    </xf>
    <xf numFmtId="0" fontId="1" fillId="0" borderId="10" xfId="0" applyFont="1" applyBorder="1" applyAlignment="1">
      <alignment/>
    </xf>
    <xf numFmtId="0" fontId="0" fillId="0" borderId="3" xfId="0" applyBorder="1" applyAlignment="1">
      <alignment/>
    </xf>
    <xf numFmtId="0" fontId="0" fillId="0" borderId="11" xfId="0" applyBorder="1" applyAlignment="1">
      <alignment/>
    </xf>
    <xf numFmtId="0" fontId="0" fillId="0" borderId="13" xfId="0" applyBorder="1" applyAlignment="1">
      <alignment horizontal="left" indent="1"/>
    </xf>
    <xf numFmtId="311" fontId="0" fillId="0" borderId="14" xfId="0" applyNumberFormat="1" applyBorder="1" applyAlignment="1">
      <alignment/>
    </xf>
    <xf numFmtId="0" fontId="14" fillId="0" borderId="0" xfId="0" applyFont="1" applyAlignment="1">
      <alignment horizontal="left"/>
    </xf>
    <xf numFmtId="0" fontId="14" fillId="0" borderId="0" xfId="0" applyFont="1" applyAlignment="1">
      <alignment horizontal="center"/>
    </xf>
    <xf numFmtId="311" fontId="0" fillId="0" borderId="0" xfId="0" applyNumberFormat="1" applyFont="1" applyAlignment="1">
      <alignment/>
    </xf>
    <xf numFmtId="164" fontId="10" fillId="0" borderId="0" xfId="15" applyNumberFormat="1" applyFont="1" applyAlignment="1">
      <alignment/>
    </xf>
    <xf numFmtId="164" fontId="10" fillId="0" borderId="1" xfId="15" applyNumberFormat="1" applyFont="1" applyBorder="1" applyAlignment="1">
      <alignment/>
    </xf>
    <xf numFmtId="0" fontId="10" fillId="0" borderId="1" xfId="0" applyFont="1" applyBorder="1" applyAlignment="1">
      <alignment horizontal="left" indent="1"/>
    </xf>
    <xf numFmtId="0" fontId="10" fillId="0" borderId="0" xfId="0" applyFont="1" applyAlignment="1">
      <alignment horizontal="left" indent="1"/>
    </xf>
    <xf numFmtId="0" fontId="18" fillId="0" borderId="0" xfId="0" applyFont="1" applyAlignment="1">
      <alignment/>
    </xf>
    <xf numFmtId="3" fontId="18" fillId="0" borderId="26" xfId="0" applyNumberFormat="1" applyFont="1" applyBorder="1" applyAlignment="1">
      <alignment wrapText="1"/>
    </xf>
    <xf numFmtId="0" fontId="0" fillId="0" borderId="0" xfId="0" applyAlignment="1">
      <alignment horizontal="right"/>
    </xf>
    <xf numFmtId="0" fontId="0" fillId="0" borderId="0" xfId="0" applyAlignment="1">
      <alignment wrapText="1"/>
    </xf>
    <xf numFmtId="0" fontId="0" fillId="0" borderId="0" xfId="0" applyAlignment="1">
      <alignment horizontal="center"/>
    </xf>
    <xf numFmtId="0" fontId="0" fillId="0" borderId="10" xfId="0" applyBorder="1" applyAlignment="1">
      <alignment wrapText="1"/>
    </xf>
    <xf numFmtId="0" fontId="0" fillId="0" borderId="3"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13" xfId="0" applyBorder="1" applyAlignment="1">
      <alignment wrapText="1"/>
    </xf>
    <xf numFmtId="0" fontId="0" fillId="0" borderId="1" xfId="0" applyBorder="1" applyAlignment="1">
      <alignment wrapText="1"/>
    </xf>
    <xf numFmtId="0" fontId="0" fillId="0" borderId="14" xfId="0" applyBorder="1" applyAlignment="1">
      <alignment wrapText="1"/>
    </xf>
    <xf numFmtId="164" fontId="1" fillId="0" borderId="1" xfId="15" applyNumberFormat="1" applyFont="1" applyBorder="1" applyAlignment="1">
      <alignment horizontal="center"/>
    </xf>
    <xf numFmtId="0" fontId="20" fillId="0" borderId="0" xfId="0" applyFont="1" applyAlignment="1">
      <alignment wrapText="1"/>
    </xf>
    <xf numFmtId="0" fontId="18" fillId="0" borderId="0" xfId="0" applyFont="1" applyAlignment="1">
      <alignment wrapText="1"/>
    </xf>
  </cellXfs>
  <cellStyles count="34">
    <cellStyle name="Normal" xfId="0"/>
    <cellStyle name="Comma" xfId="15"/>
    <cellStyle name="Comma [0]" xfId="16"/>
    <cellStyle name="Comma [0]_DTS_ADJUSTED_H" xfId="17"/>
    <cellStyle name="Comma [0]_ICPFEB97A" xfId="18"/>
    <cellStyle name="Comma [0]_REPWBook_PRAM" xfId="19"/>
    <cellStyle name="Comma [0]_Sheet1" xfId="20"/>
    <cellStyle name="Comma_DT_A_AMW93" xfId="21"/>
    <cellStyle name="Comma_DT_A_CUROPS" xfId="22"/>
    <cellStyle name="Comma_DT_A_DOL93" xfId="23"/>
    <cellStyle name="Comma_DTS_ADJUSTED" xfId="24"/>
    <cellStyle name="Comma_DTS_ADJUSTED_H" xfId="25"/>
    <cellStyle name="Comma_DTS_ALLOWED" xfId="26"/>
    <cellStyle name="Comma_DTS_PROJECTED" xfId="27"/>
    <cellStyle name="Comma_ICPFEB97A" xfId="28"/>
    <cellStyle name="Comma_REP_PRAM_SecRate" xfId="29"/>
    <cellStyle name="Comma_REP_PRAM_YRTDT993" xfId="30"/>
    <cellStyle name="Comma_REPMacro2" xfId="31"/>
    <cellStyle name="Comma_REPWBook_PRAM" xfId="32"/>
    <cellStyle name="Comma_Sheet1" xfId="33"/>
    <cellStyle name="Currency" xfId="34"/>
    <cellStyle name="Currency [0]" xfId="35"/>
    <cellStyle name="Currency [0]_DTS_ADJUSTED_H" xfId="36"/>
    <cellStyle name="Currency [0]_ICPFEB97A" xfId="37"/>
    <cellStyle name="Currency [0]_REPWBook_PRAM" xfId="38"/>
    <cellStyle name="Currency [0]_Sheet1" xfId="39"/>
    <cellStyle name="Currency_DTS_ADJUSTED_H" xfId="40"/>
    <cellStyle name="Currency_ICPFEB97A" xfId="41"/>
    <cellStyle name="Currency_REPWBook_PRAM" xfId="42"/>
    <cellStyle name="Currency_Sheet1" xfId="43"/>
    <cellStyle name="Normal_Exh C Hydro Load Adj" xfId="44"/>
    <cellStyle name="Normal_ICPFEB97A" xfId="45"/>
    <cellStyle name="Normal_REPWBook_PRAM" xfId="46"/>
    <cellStyle name="Percent" xfId="47"/>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123825</xdr:rowOff>
    </xdr:from>
    <xdr:to>
      <xdr:col>12</xdr:col>
      <xdr:colOff>323850</xdr:colOff>
      <xdr:row>8</xdr:row>
      <xdr:rowOff>9525</xdr:rowOff>
    </xdr:to>
    <xdr:sp>
      <xdr:nvSpPr>
        <xdr:cNvPr id="1" name="TextBox 1"/>
        <xdr:cNvSpPr txBox="1">
          <a:spLocks noChangeArrowheads="1"/>
        </xdr:cNvSpPr>
      </xdr:nvSpPr>
      <xdr:spPr>
        <a:xfrm>
          <a:off x="657225" y="352425"/>
          <a:ext cx="87249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Overall Cap For Four Year Period:  </a:t>
          </a:r>
          <a:r>
            <a:rPr lang="en-US" cap="none" sz="1000" b="0" i="0" u="none" baseline="0">
              <a:latin typeface="Arial"/>
              <a:ea typeface="Arial"/>
              <a:cs typeface="Arial"/>
            </a:rPr>
            <a:t>As a separate limit, the Company’s share of power costs/benefits will not exceed a $40 million (+/-) cumulative net balance, as calculated per the sharing bands discussed in the settlement terms for the PCA.  If this cap is exceeded, sharing thereafter is adjusted to 99% of costs and benefits to Customer and 1% of costs and benefits to Company.  The cap is removed at end of the fourth year, and any remaining deferred balances associated with the cap are set for refund or collection at that time.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4</xdr:row>
      <xdr:rowOff>9525</xdr:rowOff>
    </xdr:from>
    <xdr:to>
      <xdr:col>6</xdr:col>
      <xdr:colOff>504825</xdr:colOff>
      <xdr:row>19</xdr:row>
      <xdr:rowOff>142875</xdr:rowOff>
    </xdr:to>
    <xdr:sp>
      <xdr:nvSpPr>
        <xdr:cNvPr id="1" name="AutoShape 1"/>
        <xdr:cNvSpPr>
          <a:spLocks/>
        </xdr:cNvSpPr>
      </xdr:nvSpPr>
      <xdr:spPr>
        <a:xfrm>
          <a:off x="3724275" y="657225"/>
          <a:ext cx="438150" cy="2562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20</xdr:row>
      <xdr:rowOff>9525</xdr:rowOff>
    </xdr:from>
    <xdr:to>
      <xdr:col>6</xdr:col>
      <xdr:colOff>504825</xdr:colOff>
      <xdr:row>34</xdr:row>
      <xdr:rowOff>0</xdr:rowOff>
    </xdr:to>
    <xdr:sp>
      <xdr:nvSpPr>
        <xdr:cNvPr id="2" name="AutoShape 2"/>
        <xdr:cNvSpPr>
          <a:spLocks/>
        </xdr:cNvSpPr>
      </xdr:nvSpPr>
      <xdr:spPr>
        <a:xfrm>
          <a:off x="3724275" y="3248025"/>
          <a:ext cx="438150" cy="2257425"/>
        </a:xfrm>
        <a:prstGeom prst="rightBrace">
          <a:avLst>
            <a:gd name="adj" fmla="val 358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st%20Accounting\Resource%20Costs\REPWBook_PRA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d%20Office\aaa%20Jody%20Test\variance%20to%20budget%20dolla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T_A_DOL93"/>
      <sheetName val="DT_A_AMW93"/>
      <sheetName val="PCost Rpt Dol"/>
      <sheetName val="Outlook"/>
      <sheetName val="PCost Rpt MWH"/>
      <sheetName val="Unit Cost Report"/>
      <sheetName val="on-off Shaping MWh"/>
      <sheetName val="on-off Shaping aMW"/>
      <sheetName val="MacroSmall"/>
      <sheetName val="MacroJHS"/>
      <sheetName val="MacroLINKS"/>
      <sheetName val="Module2"/>
      <sheetName val="Module1"/>
      <sheetName val="Module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pivot"/>
      <sheetName val="pivoted data"/>
      <sheetName val="$Comp to Orig"/>
      <sheetName val="$Comp to Prior"/>
    </sheetNames>
    <sheetDataSet>
      <sheetData sheetId="2">
        <row r="3">
          <cell r="D3" t="str">
            <v>New Turbines</v>
          </cell>
          <cell r="E3">
            <v>16785081.419999998</v>
          </cell>
          <cell r="F3">
            <v>5386267.870000001</v>
          </cell>
          <cell r="G3">
            <v>1868046.44033134</v>
          </cell>
          <cell r="H3">
            <v>27569.4659116951</v>
          </cell>
          <cell r="I3">
            <v>53077.8881573025</v>
          </cell>
          <cell r="J3">
            <v>214677.050683852</v>
          </cell>
          <cell r="K3">
            <v>809096.63523382</v>
          </cell>
          <cell r="L3">
            <v>2029492.19614232</v>
          </cell>
          <cell r="M3">
            <v>1312661.97559335</v>
          </cell>
          <cell r="N3">
            <v>907588.105074792</v>
          </cell>
          <cell r="O3">
            <v>764518.71465521</v>
          </cell>
          <cell r="P3">
            <v>895841.757280436</v>
          </cell>
        </row>
        <row r="4">
          <cell r="D4" t="str">
            <v>Colstrip 1&amp;2</v>
          </cell>
          <cell r="E4">
            <v>1012817.55</v>
          </cell>
          <cell r="F4">
            <v>904007.35</v>
          </cell>
          <cell r="G4">
            <v>1125734.9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v>
          </cell>
          <cell r="H6">
            <v>3442125.57782035</v>
          </cell>
          <cell r="I6">
            <v>2518481.39349017</v>
          </cell>
          <cell r="J6">
            <v>2931341.02229607</v>
          </cell>
          <cell r="K6">
            <v>3432449.72530822</v>
          </cell>
          <cell r="L6">
            <v>3715174.19670905</v>
          </cell>
          <cell r="M6">
            <v>3514962.96497305</v>
          </cell>
          <cell r="N6">
            <v>3611747.64512834</v>
          </cell>
          <cell r="O6">
            <v>3025484.74993503</v>
          </cell>
          <cell r="P6">
            <v>3090343.6104933</v>
          </cell>
        </row>
        <row r="7">
          <cell r="D7" t="str">
            <v>CT Total Fuel for Load</v>
          </cell>
          <cell r="E7">
            <v>128149.4</v>
          </cell>
          <cell r="F7">
            <v>11502084.78</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149222.4</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4640209.02</v>
          </cell>
          <cell r="F13">
            <v>4732709.29</v>
          </cell>
          <cell r="G13">
            <v>4559964.9</v>
          </cell>
          <cell r="H13">
            <v>5694487.2</v>
          </cell>
          <cell r="I13">
            <v>6521798</v>
          </cell>
          <cell r="J13">
            <v>16596856.1</v>
          </cell>
          <cell r="K13">
            <v>5179529</v>
          </cell>
          <cell r="L13">
            <v>5489525.6</v>
          </cell>
          <cell r="M13">
            <v>5676120.9</v>
          </cell>
          <cell r="N13">
            <v>6158769.2</v>
          </cell>
          <cell r="O13">
            <v>6158769.2</v>
          </cell>
          <cell r="P13">
            <v>15140172</v>
          </cell>
        </row>
        <row r="14">
          <cell r="D14" t="str">
            <v>MPC Firm Contract</v>
          </cell>
          <cell r="E14">
            <v>2568482.3</v>
          </cell>
          <cell r="F14">
            <v>2582370.9</v>
          </cell>
          <cell r="G14">
            <v>2598497.8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v>
          </cell>
          <cell r="I18">
            <v>419287.1</v>
          </cell>
          <cell r="J18">
            <v>583347.3</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5217.9</v>
          </cell>
          <cell r="I22">
            <v>4543.1</v>
          </cell>
          <cell r="J22">
            <v>5180.9</v>
          </cell>
          <cell r="K22">
            <v>6704.4</v>
          </cell>
          <cell r="L22">
            <v>7187.6</v>
          </cell>
          <cell r="M22">
            <v>5616</v>
          </cell>
          <cell r="N22">
            <v>5171.6</v>
          </cell>
          <cell r="O22">
            <v>3495</v>
          </cell>
          <cell r="P22">
            <v>4275.6</v>
          </cell>
        </row>
        <row r="23">
          <cell r="D23" t="str">
            <v>QF Shipp Hutch Creek</v>
          </cell>
          <cell r="F23">
            <v>-0.07</v>
          </cell>
          <cell r="G23">
            <v>3622.9</v>
          </cell>
          <cell r="H23">
            <v>2803.2</v>
          </cell>
          <cell r="I23">
            <v>4248.7</v>
          </cell>
          <cell r="J23">
            <v>8237.7</v>
          </cell>
          <cell r="K23">
            <v>10734.4</v>
          </cell>
          <cell r="L23">
            <v>9017</v>
          </cell>
          <cell r="M23">
            <v>3218.5</v>
          </cell>
          <cell r="N23">
            <v>1798.6</v>
          </cell>
          <cell r="O23">
            <v>13379.8</v>
          </cell>
          <cell r="P23">
            <v>2139.8</v>
          </cell>
        </row>
        <row r="24">
          <cell r="D24" t="str">
            <v>QF PERC Puyallup</v>
          </cell>
          <cell r="E24">
            <v>46311.78</v>
          </cell>
          <cell r="F24">
            <v>45374.36</v>
          </cell>
          <cell r="G24">
            <v>72015.6</v>
          </cell>
          <cell r="H24">
            <v>62300</v>
          </cell>
          <cell r="I24">
            <v>56783</v>
          </cell>
          <cell r="J24">
            <v>57575</v>
          </cell>
          <cell r="K24">
            <v>63094</v>
          </cell>
          <cell r="L24">
            <v>75161.1</v>
          </cell>
          <cell r="M24">
            <v>67936.3</v>
          </cell>
          <cell r="N24">
            <v>72340</v>
          </cell>
          <cell r="O24">
            <v>67997</v>
          </cell>
          <cell r="P24">
            <v>72771.6</v>
          </cell>
        </row>
        <row r="25">
          <cell r="D25" t="str">
            <v>QF Spokane MSW</v>
          </cell>
          <cell r="E25">
            <v>1289937.6</v>
          </cell>
          <cell r="F25">
            <v>827369.6</v>
          </cell>
          <cell r="G25">
            <v>1243152.4</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v>
          </cell>
          <cell r="F26">
            <v>7210950.57</v>
          </cell>
          <cell r="G26">
            <v>7946502.4</v>
          </cell>
          <cell r="H26">
            <v>4971531.3</v>
          </cell>
          <cell r="I26">
            <v>4965193.1</v>
          </cell>
          <cell r="J26">
            <v>4029615.3</v>
          </cell>
          <cell r="K26">
            <v>5396484.2</v>
          </cell>
          <cell r="L26">
            <v>5536933.2</v>
          </cell>
          <cell r="M26">
            <v>7506756.6</v>
          </cell>
          <cell r="N26">
            <v>7584124.1</v>
          </cell>
          <cell r="O26">
            <v>7171850.5</v>
          </cell>
          <cell r="P26">
            <v>7382332.8</v>
          </cell>
        </row>
        <row r="27">
          <cell r="D27" t="str">
            <v>QF Sygitowicz</v>
          </cell>
          <cell r="E27">
            <v>6102.78</v>
          </cell>
          <cell r="F27">
            <v>6578.94</v>
          </cell>
          <cell r="G27">
            <v>12648</v>
          </cell>
          <cell r="H27">
            <v>9027.2</v>
          </cell>
          <cell r="I27">
            <v>3968</v>
          </cell>
          <cell r="J27">
            <v>1736</v>
          </cell>
          <cell r="K27">
            <v>644.8</v>
          </cell>
          <cell r="L27">
            <v>49.6</v>
          </cell>
          <cell r="M27">
            <v>347.2</v>
          </cell>
          <cell r="N27">
            <v>2430.4</v>
          </cell>
          <cell r="O27">
            <v>5852.8</v>
          </cell>
          <cell r="P27">
            <v>10168</v>
          </cell>
        </row>
        <row r="28">
          <cell r="D28" t="str">
            <v>QF Tenaska</v>
          </cell>
          <cell r="E28">
            <v>9526760.79</v>
          </cell>
          <cell r="F28">
            <v>9103545.43</v>
          </cell>
          <cell r="G28">
            <v>10976058.9</v>
          </cell>
          <cell r="H28">
            <v>8534090.7</v>
          </cell>
          <cell r="I28">
            <v>1770019.9</v>
          </cell>
          <cell r="J28">
            <v>9059685.4</v>
          </cell>
          <cell r="K28">
            <v>10507392</v>
          </cell>
          <cell r="L28">
            <v>11468167.4</v>
          </cell>
          <cell r="M28">
            <v>10854333.6</v>
          </cell>
          <cell r="N28">
            <v>11297442.8</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v>
          </cell>
          <cell r="M29">
            <v>14175</v>
          </cell>
          <cell r="N29">
            <v>145002.3</v>
          </cell>
          <cell r="O29">
            <v>368795.5</v>
          </cell>
          <cell r="P29">
            <v>604288.6</v>
          </cell>
        </row>
        <row r="30">
          <cell r="D30" t="str">
            <v>QF Weeks Falls</v>
          </cell>
          <cell r="F30">
            <v>62790</v>
          </cell>
          <cell r="G30">
            <v>77757.3</v>
          </cell>
          <cell r="H30">
            <v>104026.4</v>
          </cell>
          <cell r="I30">
            <v>160430.5</v>
          </cell>
          <cell r="J30">
            <v>142217.7</v>
          </cell>
          <cell r="K30">
            <v>56749.1</v>
          </cell>
          <cell r="L30">
            <v>21259.1</v>
          </cell>
          <cell r="M30">
            <v>868.6</v>
          </cell>
          <cell r="N30">
            <v>25591.4</v>
          </cell>
          <cell r="O30">
            <v>68860.9</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v>
          </cell>
          <cell r="G34">
            <v>428056.6</v>
          </cell>
          <cell r="H34">
            <v>572544.8</v>
          </cell>
          <cell r="I34">
            <v>592452.5</v>
          </cell>
          <cell r="J34">
            <v>573341.1</v>
          </cell>
          <cell r="K34">
            <v>592452.5</v>
          </cell>
          <cell r="L34">
            <v>592452.5</v>
          </cell>
          <cell r="M34">
            <v>573341.1</v>
          </cell>
          <cell r="N34">
            <v>593248.8</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v>
          </cell>
          <cell r="F36">
            <v>13888070.575</v>
          </cell>
          <cell r="G36">
            <v>8195084.06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v>
          </cell>
          <cell r="G37">
            <v>-4892268.8</v>
          </cell>
          <cell r="H37">
            <v>-5717742.70000001</v>
          </cell>
          <cell r="I37">
            <v>-2437888.94</v>
          </cell>
          <cell r="J37">
            <v>-6003885.61</v>
          </cell>
          <cell r="K37">
            <v>-12206586.67</v>
          </cell>
          <cell r="L37">
            <v>-7344071.45</v>
          </cell>
          <cell r="M37">
            <v>-1606725.15</v>
          </cell>
          <cell r="N37">
            <v>-1606417.44</v>
          </cell>
          <cell r="O37">
            <v>-3902278.36000001</v>
          </cell>
          <cell r="P37">
            <v>0</v>
          </cell>
        </row>
        <row r="38">
          <cell r="D38" t="str">
            <v>Broker Fees</v>
          </cell>
          <cell r="E38">
            <v>16723</v>
          </cell>
          <cell r="G38">
            <v>27768.9166666667</v>
          </cell>
          <cell r="H38">
            <v>27768.9166666667</v>
          </cell>
          <cell r="I38">
            <v>27768.9166666667</v>
          </cell>
          <cell r="J38">
            <v>27768.9166666667</v>
          </cell>
          <cell r="K38">
            <v>27768.9166666667</v>
          </cell>
          <cell r="L38">
            <v>27768.9166666667</v>
          </cell>
          <cell r="M38">
            <v>27768.9166666667</v>
          </cell>
          <cell r="N38">
            <v>27768.9166666667</v>
          </cell>
          <cell r="O38">
            <v>27768.9166666667</v>
          </cell>
          <cell r="P38">
            <v>27768.9166666667</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v>
          </cell>
          <cell r="H42">
            <v>274940.4</v>
          </cell>
          <cell r="I42">
            <v>274940.4</v>
          </cell>
          <cell r="J42">
            <v>274940.4</v>
          </cell>
          <cell r="K42">
            <v>274940.4</v>
          </cell>
          <cell r="L42">
            <v>274940.4</v>
          </cell>
          <cell r="M42">
            <v>274940.4</v>
          </cell>
          <cell r="N42">
            <v>274940.4</v>
          </cell>
          <cell r="O42">
            <v>274940.4</v>
          </cell>
          <cell r="P42">
            <v>274940.4</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v>
          </cell>
          <cell r="G53">
            <v>616104.1425000001</v>
          </cell>
          <cell r="H53">
            <v>616104.1425000001</v>
          </cell>
          <cell r="I53">
            <v>616104.1425000001</v>
          </cell>
          <cell r="J53">
            <v>616104.1425000001</v>
          </cell>
          <cell r="K53">
            <v>616104.1425000001</v>
          </cell>
          <cell r="L53">
            <v>616104.1425000001</v>
          </cell>
          <cell r="M53">
            <v>616104.1425000001</v>
          </cell>
          <cell r="N53">
            <v>616104.1425000001</v>
          </cell>
          <cell r="O53">
            <v>616104.1425000001</v>
          </cell>
          <cell r="P53">
            <v>616104.1425000001</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1"/>
  <sheetViews>
    <sheetView showZeros="0" workbookViewId="0" topLeftCell="A1">
      <selection activeCell="K23" sqref="K23"/>
    </sheetView>
  </sheetViews>
  <sheetFormatPr defaultColWidth="9.140625" defaultRowHeight="12.75"/>
  <cols>
    <col min="1" max="1" width="7.8515625" style="6" bestFit="1" customWidth="1"/>
    <col min="2" max="2" width="25.28125" style="0" customWidth="1"/>
    <col min="3" max="3" width="9.7109375" style="0" customWidth="1"/>
    <col min="4" max="4" width="15.8515625" style="0" bestFit="1" customWidth="1"/>
    <col min="5" max="5" width="9.421875" style="0" customWidth="1"/>
    <col min="6" max="7" width="3.140625" style="0" bestFit="1" customWidth="1"/>
    <col min="8" max="8" width="13.8515625" style="1" bestFit="1" customWidth="1"/>
    <col min="9" max="9" width="4.00390625" style="0" customWidth="1"/>
    <col min="11" max="11" width="14.8515625" style="0" bestFit="1" customWidth="1"/>
    <col min="12" max="12" width="11.28125" style="0" customWidth="1"/>
    <col min="13" max="13" width="11.00390625" style="0" customWidth="1"/>
  </cols>
  <sheetData>
    <row r="1" spans="2:7" ht="18">
      <c r="B1" s="142" t="s">
        <v>247</v>
      </c>
      <c r="C1" s="6"/>
      <c r="D1" s="6"/>
      <c r="E1" s="329"/>
      <c r="F1" s="329"/>
      <c r="G1" s="329"/>
    </row>
    <row r="2" spans="1:8" ht="12.75">
      <c r="A2" s="6" t="s">
        <v>248</v>
      </c>
      <c r="B2" s="9"/>
      <c r="C2" s="6"/>
      <c r="D2" s="23" t="s">
        <v>239</v>
      </c>
      <c r="E2" s="8"/>
      <c r="F2" s="8"/>
      <c r="G2" s="8"/>
      <c r="H2" s="144"/>
    </row>
    <row r="3" spans="1:7" ht="12.75">
      <c r="A3" s="6">
        <f>ROW()</f>
        <v>3</v>
      </c>
      <c r="B3" s="7" t="s">
        <v>20</v>
      </c>
      <c r="C3" s="6"/>
      <c r="D3" s="148">
        <f>'Exhibit A-4'!F43</f>
        <v>284728294.2756</v>
      </c>
      <c r="E3" s="8"/>
      <c r="F3" s="8"/>
      <c r="G3" s="8"/>
    </row>
    <row r="4" spans="1:7" ht="12.75">
      <c r="A4" s="6">
        <f>ROW()</f>
        <v>4</v>
      </c>
      <c r="B4" s="7" t="s">
        <v>21</v>
      </c>
      <c r="C4" s="6"/>
      <c r="D4" s="15">
        <f>'Exhibit A-2'!E68</f>
        <v>122217536.87</v>
      </c>
      <c r="E4" s="8"/>
      <c r="F4" s="8"/>
      <c r="G4" s="8"/>
    </row>
    <row r="5" spans="1:7" ht="12.75">
      <c r="A5" s="6">
        <f>ROW()</f>
        <v>5</v>
      </c>
      <c r="B5" s="7" t="s">
        <v>22</v>
      </c>
      <c r="C5" s="6"/>
      <c r="D5" s="16">
        <f>'Exhibit A-4'!F54</f>
        <v>482094766.7244</v>
      </c>
      <c r="E5" s="8"/>
      <c r="F5" s="8"/>
      <c r="G5" s="8"/>
    </row>
    <row r="6" spans="1:7" ht="12.75">
      <c r="A6" s="6">
        <f>ROW()</f>
        <v>6</v>
      </c>
      <c r="D6" s="149">
        <f>SUM(D3:D5)</f>
        <v>889040597.87</v>
      </c>
      <c r="E6" s="8"/>
      <c r="F6" s="8"/>
      <c r="G6" s="8"/>
    </row>
    <row r="7" spans="1:7" ht="12.75">
      <c r="A7" s="6">
        <f>ROW()</f>
        <v>7</v>
      </c>
      <c r="B7" s="7" t="s">
        <v>16</v>
      </c>
      <c r="C7" s="6"/>
      <c r="D7" s="14">
        <v>0.073</v>
      </c>
      <c r="E7" s="20"/>
      <c r="F7" s="8"/>
      <c r="G7" s="8"/>
    </row>
    <row r="8" spans="1:7" ht="12.75">
      <c r="A8" s="6">
        <f>ROW()</f>
        <v>8</v>
      </c>
      <c r="B8" s="7"/>
      <c r="C8" s="6"/>
      <c r="D8" s="1"/>
      <c r="E8" s="143" t="s">
        <v>254</v>
      </c>
      <c r="F8" s="8"/>
      <c r="G8" s="8"/>
    </row>
    <row r="9" spans="1:8" ht="12.75">
      <c r="A9" s="6">
        <f>ROW()</f>
        <v>9</v>
      </c>
      <c r="D9" s="1"/>
      <c r="E9" s="23" t="s">
        <v>255</v>
      </c>
      <c r="H9" s="145" t="s">
        <v>240</v>
      </c>
    </row>
    <row r="10" spans="1:7" ht="12.75">
      <c r="A10" s="6">
        <f>ROW()</f>
        <v>10</v>
      </c>
      <c r="B10" s="7" t="s">
        <v>483</v>
      </c>
      <c r="D10" s="150">
        <f>(D3*D7)/0.65</f>
        <v>31977177.66479815</v>
      </c>
      <c r="E10" s="152">
        <f>ROUND(D10/$D$28,3)</f>
        <v>1.677</v>
      </c>
      <c r="G10" t="s">
        <v>11</v>
      </c>
    </row>
    <row r="11" spans="1:8" ht="12.75">
      <c r="A11" s="6">
        <f>ROW()</f>
        <v>11</v>
      </c>
      <c r="B11" t="s">
        <v>482</v>
      </c>
      <c r="D11" s="4">
        <f>((D4+D5)*D7)/0.65</f>
        <v>67868920.2498326</v>
      </c>
      <c r="E11" s="152">
        <f aca="true" t="shared" si="0" ref="E11:E24">ROUND(D11/$D$28,3)</f>
        <v>3.56</v>
      </c>
      <c r="F11" t="s">
        <v>10</v>
      </c>
      <c r="H11" s="1">
        <f>D11/0.9716</f>
        <v>69852738.00929663</v>
      </c>
    </row>
    <row r="12" spans="1:7" ht="12.75">
      <c r="A12" s="6">
        <f>ROW()</f>
        <v>12</v>
      </c>
      <c r="B12" t="s">
        <v>5</v>
      </c>
      <c r="D12" s="1">
        <v>32511186</v>
      </c>
      <c r="E12" s="152">
        <f t="shared" si="0"/>
        <v>1.705</v>
      </c>
      <c r="G12" t="s">
        <v>11</v>
      </c>
    </row>
    <row r="13" spans="1:7" ht="12.75">
      <c r="A13" s="6">
        <f>ROW()</f>
        <v>13</v>
      </c>
      <c r="B13" t="s">
        <v>3</v>
      </c>
      <c r="D13" s="1">
        <f>527008073+72416</f>
        <v>527080489</v>
      </c>
      <c r="E13" s="152">
        <f t="shared" si="0"/>
        <v>27.648</v>
      </c>
      <c r="G13" t="s">
        <v>11</v>
      </c>
    </row>
    <row r="14" spans="1:8" ht="12.75">
      <c r="A14" s="6">
        <f>ROW()</f>
        <v>14</v>
      </c>
      <c r="B14" t="s">
        <v>6</v>
      </c>
      <c r="D14" s="1">
        <v>7447583</v>
      </c>
      <c r="E14" s="152">
        <f t="shared" si="0"/>
        <v>0.391</v>
      </c>
      <c r="F14" t="s">
        <v>10</v>
      </c>
      <c r="H14" s="1">
        <f>D14/0.9716</f>
        <v>7665276.862906545</v>
      </c>
    </row>
    <row r="15" spans="1:7" ht="12.75">
      <c r="A15" s="6">
        <f>ROW()</f>
        <v>15</v>
      </c>
      <c r="B15" t="s">
        <v>4</v>
      </c>
      <c r="D15" s="1">
        <v>61173325</v>
      </c>
      <c r="E15" s="152">
        <f t="shared" si="0"/>
        <v>3.209</v>
      </c>
      <c r="G15" t="s">
        <v>11</v>
      </c>
    </row>
    <row r="16" spans="1:7" ht="12.75">
      <c r="A16" s="6">
        <f>ROW()</f>
        <v>16</v>
      </c>
      <c r="B16" t="s">
        <v>103</v>
      </c>
      <c r="D16" s="1">
        <f>41435360</f>
        <v>41435360</v>
      </c>
      <c r="E16" s="152">
        <f t="shared" si="0"/>
        <v>2.174</v>
      </c>
      <c r="G16" t="s">
        <v>11</v>
      </c>
    </row>
    <row r="17" spans="1:7" ht="12.75">
      <c r="A17" s="6">
        <f>ROW()</f>
        <v>17</v>
      </c>
      <c r="B17" t="s">
        <v>18</v>
      </c>
      <c r="D17" s="1">
        <v>-6510985</v>
      </c>
      <c r="E17" s="152">
        <f t="shared" si="0"/>
        <v>-0.342</v>
      </c>
      <c r="G17" t="s">
        <v>11</v>
      </c>
    </row>
    <row r="18" spans="1:8" ht="12.75">
      <c r="A18" s="6">
        <f>ROW()</f>
        <v>18</v>
      </c>
      <c r="B18" t="s">
        <v>7</v>
      </c>
      <c r="D18" s="1">
        <v>51597583</v>
      </c>
      <c r="E18" s="152">
        <f t="shared" si="0"/>
        <v>2.707</v>
      </c>
      <c r="F18" t="s">
        <v>10</v>
      </c>
      <c r="H18" s="1">
        <f>D18/0.9716</f>
        <v>53105787.36105393</v>
      </c>
    </row>
    <row r="19" spans="1:7" ht="12.75">
      <c r="A19" s="6">
        <f>ROW()</f>
        <v>19</v>
      </c>
      <c r="B19" t="s">
        <v>8</v>
      </c>
      <c r="D19" s="1">
        <v>-37525193</v>
      </c>
      <c r="E19" s="152">
        <f t="shared" si="0"/>
        <v>-1.968</v>
      </c>
      <c r="G19" t="s">
        <v>11</v>
      </c>
    </row>
    <row r="20" spans="1:7" ht="12.75">
      <c r="A20" s="6">
        <f>ROW()</f>
        <v>20</v>
      </c>
      <c r="B20" t="s">
        <v>241</v>
      </c>
      <c r="D20" s="1">
        <v>1077379</v>
      </c>
      <c r="E20" s="152">
        <f t="shared" si="0"/>
        <v>0.057</v>
      </c>
      <c r="G20" t="s">
        <v>11</v>
      </c>
    </row>
    <row r="21" spans="1:8" ht="12.75">
      <c r="A21" s="6">
        <f>ROW()</f>
        <v>21</v>
      </c>
      <c r="B21" t="s">
        <v>238</v>
      </c>
      <c r="D21" s="1">
        <f>'Exhibit A-5'!D16</f>
        <v>342495</v>
      </c>
      <c r="E21" s="152">
        <f t="shared" si="0"/>
        <v>0.018</v>
      </c>
      <c r="F21" t="s">
        <v>10</v>
      </c>
      <c r="H21" s="1">
        <f>D21/0.9716</f>
        <v>352506.17538081517</v>
      </c>
    </row>
    <row r="22" spans="1:8" ht="12.75">
      <c r="A22" s="6">
        <f>ROW()</f>
        <v>22</v>
      </c>
      <c r="B22" s="9" t="s">
        <v>17</v>
      </c>
      <c r="D22" s="11">
        <f>('Exhibit A-4'!C22+'Exhibit A-2'!G64)*0.9716</f>
        <v>40979606.5336</v>
      </c>
      <c r="E22" s="152">
        <f t="shared" si="0"/>
        <v>2.15</v>
      </c>
      <c r="F22" t="s">
        <v>10</v>
      </c>
      <c r="H22" s="1">
        <f>D22/0.9716</f>
        <v>42177446</v>
      </c>
    </row>
    <row r="23" spans="1:7" ht="12.75">
      <c r="A23" s="6">
        <f>ROW()</f>
        <v>23</v>
      </c>
      <c r="B23" s="7" t="s">
        <v>23</v>
      </c>
      <c r="D23" s="1">
        <v>15035627</v>
      </c>
      <c r="E23" s="152">
        <f t="shared" si="0"/>
        <v>0.789</v>
      </c>
      <c r="G23" t="s">
        <v>11</v>
      </c>
    </row>
    <row r="24" spans="1:8" ht="13.5" thickBot="1">
      <c r="A24" s="6">
        <f>ROW()</f>
        <v>24</v>
      </c>
      <c r="B24" t="s">
        <v>0</v>
      </c>
      <c r="D24" s="2">
        <f>('Exhibit A-4'!C28+'Exhibit A-4'!C29+'Exhibit A-2'!E21)*0.9716</f>
        <v>13124556.4324</v>
      </c>
      <c r="E24" s="152">
        <f t="shared" si="0"/>
        <v>0.688</v>
      </c>
      <c r="F24" s="17" t="s">
        <v>10</v>
      </c>
      <c r="G24" s="17"/>
      <c r="H24" s="2">
        <f>D24/0.9716</f>
        <v>13508188.999999998</v>
      </c>
    </row>
    <row r="25" spans="1:10" ht="19.5" customHeight="1" thickBot="1">
      <c r="A25" s="6">
        <f>ROW()</f>
        <v>25</v>
      </c>
      <c r="B25" t="s">
        <v>252</v>
      </c>
      <c r="C25" s="12"/>
      <c r="D25" s="150">
        <f>SUM(D10:D24)</f>
        <v>847615109.8806307</v>
      </c>
      <c r="E25" s="151">
        <f>SUM(E10:E24)</f>
        <v>44.463000000000015</v>
      </c>
      <c r="F25" s="331" t="s">
        <v>9</v>
      </c>
      <c r="G25" s="331"/>
      <c r="H25" s="11">
        <f>SUM(H10:H24)</f>
        <v>186661943.4086379</v>
      </c>
      <c r="I25" s="6" t="s">
        <v>249</v>
      </c>
      <c r="J25" s="18"/>
    </row>
    <row r="26" spans="1:5" ht="12.75">
      <c r="A26" s="6">
        <f>ROW()</f>
        <v>26</v>
      </c>
      <c r="B26" t="s">
        <v>2</v>
      </c>
      <c r="D26" s="3">
        <v>0.9552337</v>
      </c>
      <c r="E26" s="5"/>
    </row>
    <row r="27" spans="1:5" ht="12.75">
      <c r="A27" s="6">
        <f>ROW()</f>
        <v>27</v>
      </c>
      <c r="D27" s="150">
        <f>D25/D26</f>
        <v>887337946.5994874</v>
      </c>
      <c r="E27" s="1"/>
    </row>
    <row r="28" spans="1:5" ht="12.75">
      <c r="A28" s="6">
        <f>ROW()</f>
        <v>28</v>
      </c>
      <c r="B28" t="s">
        <v>1</v>
      </c>
      <c r="D28" s="2">
        <f>(21053057500-1989190791-8317026)/1000+8317</f>
        <v>19063866.683</v>
      </c>
      <c r="E28" s="4" t="s">
        <v>484</v>
      </c>
    </row>
    <row r="29" spans="1:5" ht="12.75">
      <c r="A29" s="6">
        <f>ROW()</f>
        <v>29</v>
      </c>
      <c r="D29" s="154" t="s">
        <v>259</v>
      </c>
      <c r="E29" s="153" t="s">
        <v>258</v>
      </c>
    </row>
    <row r="30" spans="1:5" ht="38.25">
      <c r="A30" s="6">
        <f>ROW()</f>
        <v>30</v>
      </c>
      <c r="B30" s="10" t="s">
        <v>15</v>
      </c>
      <c r="D30" s="140"/>
      <c r="E30" s="140">
        <f>+E25/$D$26</f>
        <v>46.54672463921658</v>
      </c>
    </row>
    <row r="31" spans="1:5" ht="12.75">
      <c r="A31" s="6">
        <f>ROW()</f>
        <v>31</v>
      </c>
      <c r="B31" t="s">
        <v>12</v>
      </c>
      <c r="D31" s="141">
        <f>E24+E22+E18+E14+E11+E21</f>
        <v>9.514000000000001</v>
      </c>
      <c r="E31" s="141">
        <f>D31/$D$26</f>
        <v>9.95986636568622</v>
      </c>
    </row>
    <row r="32" spans="1:5" ht="12.75">
      <c r="A32" s="6">
        <f>ROW()</f>
        <v>32</v>
      </c>
      <c r="B32" t="s">
        <v>13</v>
      </c>
      <c r="D32" s="141">
        <f>E25</f>
        <v>44.463000000000015</v>
      </c>
      <c r="E32" s="141">
        <f>D32/$D$26</f>
        <v>46.54672463921658</v>
      </c>
    </row>
    <row r="33" spans="1:5" ht="12.75">
      <c r="A33" s="6">
        <f>ROW()</f>
        <v>33</v>
      </c>
      <c r="B33" s="330" t="s">
        <v>14</v>
      </c>
      <c r="C33" s="330"/>
      <c r="D33" s="141">
        <f>E23+E20+E19+E17+E16+E15+E13+E12+E10</f>
        <v>34.949</v>
      </c>
      <c r="E33" s="141">
        <f>D33/$D$26</f>
        <v>36.58685827353034</v>
      </c>
    </row>
    <row r="34" spans="1:3" ht="12.75">
      <c r="A34" s="6">
        <f>ROW()</f>
        <v>34</v>
      </c>
      <c r="B34" s="330"/>
      <c r="C34" s="330"/>
    </row>
    <row r="35" ht="12.75">
      <c r="A35" s="6">
        <f>ROW()</f>
        <v>35</v>
      </c>
    </row>
    <row r="36" spans="1:2" ht="12.75">
      <c r="A36" s="6">
        <f>ROW()</f>
        <v>36</v>
      </c>
      <c r="B36" s="7" t="s">
        <v>19</v>
      </c>
    </row>
    <row r="37" ht="12.75">
      <c r="A37" s="6">
        <f>ROW()</f>
        <v>37</v>
      </c>
    </row>
    <row r="38" spans="1:5" ht="12.75">
      <c r="A38" s="6">
        <f>ROW()</f>
        <v>38</v>
      </c>
      <c r="B38" s="332" t="s">
        <v>253</v>
      </c>
      <c r="C38" s="333"/>
      <c r="D38" s="333"/>
      <c r="E38" s="334"/>
    </row>
    <row r="39" spans="1:5" ht="12.75">
      <c r="A39" s="6">
        <f>ROW()</f>
        <v>39</v>
      </c>
      <c r="B39" s="335"/>
      <c r="C39" s="336"/>
      <c r="D39" s="336"/>
      <c r="E39" s="337"/>
    </row>
    <row r="40" spans="1:5" ht="12.75">
      <c r="A40" s="6">
        <f>ROW()</f>
        <v>40</v>
      </c>
      <c r="B40" s="335"/>
      <c r="C40" s="336"/>
      <c r="D40" s="336"/>
      <c r="E40" s="337"/>
    </row>
    <row r="41" spans="1:5" ht="12.75">
      <c r="A41" s="6">
        <f>ROW()</f>
        <v>41</v>
      </c>
      <c r="B41" s="338"/>
      <c r="C41" s="339"/>
      <c r="D41" s="339"/>
      <c r="E41" s="340"/>
    </row>
  </sheetData>
  <mergeCells count="4">
    <mergeCell ref="E1:G1"/>
    <mergeCell ref="B33:C34"/>
    <mergeCell ref="F25:G25"/>
    <mergeCell ref="B38:E41"/>
  </mergeCells>
  <printOptions/>
  <pageMargins left="0.83" right="0.55" top="1.22" bottom="1" header="0.5" footer="0.5"/>
  <pageSetup horizontalDpi="600" verticalDpi="600" orientation="portrait" scale="95" r:id="rId1"/>
  <headerFooter alignWithMargins="0">
    <oddHeader>&amp;L
PCA Collaborative</oddHeader>
    <oddFooter>&amp;C&amp;A&amp;RPage 1 of 1</oddFooter>
  </headerFooter>
</worksheet>
</file>

<file path=xl/worksheets/sheet10.xml><?xml version="1.0" encoding="utf-8"?>
<worksheet xmlns="http://schemas.openxmlformats.org/spreadsheetml/2006/main" xmlns:r="http://schemas.openxmlformats.org/officeDocument/2006/relationships">
  <dimension ref="A1:G40"/>
  <sheetViews>
    <sheetView workbookViewId="0" topLeftCell="A1">
      <selection activeCell="B32" sqref="B32"/>
    </sheetView>
  </sheetViews>
  <sheetFormatPr defaultColWidth="9.140625" defaultRowHeight="12.75"/>
  <cols>
    <col min="1" max="1" width="6.421875" style="6" customWidth="1"/>
    <col min="2" max="2" width="15.140625" style="0" customWidth="1"/>
    <col min="3" max="3" width="18.00390625" style="0" bestFit="1" customWidth="1"/>
    <col min="4" max="4" width="9.8515625" style="0" customWidth="1"/>
    <col min="6" max="6" width="10.421875" style="0" customWidth="1"/>
    <col min="7" max="7" width="9.28125" style="0" bestFit="1" customWidth="1"/>
    <col min="9" max="9" width="11.28125" style="0" customWidth="1"/>
  </cols>
  <sheetData>
    <row r="1" ht="18">
      <c r="B1" s="292" t="s">
        <v>413</v>
      </c>
    </row>
    <row r="2" ht="12.75">
      <c r="A2" s="6" t="s">
        <v>248</v>
      </c>
    </row>
    <row r="3" spans="1:2" ht="15.75">
      <c r="A3" s="6">
        <f>ROW()</f>
        <v>3</v>
      </c>
      <c r="B3" s="198" t="s">
        <v>414</v>
      </c>
    </row>
    <row r="4" ht="12.75">
      <c r="A4" s="6">
        <f>ROW()</f>
        <v>4</v>
      </c>
    </row>
    <row r="5" spans="1:5" ht="12.75">
      <c r="A5" s="6">
        <f>ROW()</f>
        <v>5</v>
      </c>
      <c r="C5" s="293" t="s">
        <v>415</v>
      </c>
      <c r="D5" s="293" t="s">
        <v>416</v>
      </c>
      <c r="E5" s="8"/>
    </row>
    <row r="6" spans="1:7" ht="12.75">
      <c r="A6" s="6">
        <f>ROW()</f>
        <v>6</v>
      </c>
      <c r="B6" s="8" t="s">
        <v>417</v>
      </c>
      <c r="C6" s="294">
        <v>307</v>
      </c>
      <c r="D6" s="294">
        <v>370</v>
      </c>
      <c r="E6" s="8"/>
      <c r="F6" t="s">
        <v>418</v>
      </c>
      <c r="G6" s="8" t="s">
        <v>419</v>
      </c>
    </row>
    <row r="7" spans="1:7" ht="12.75">
      <c r="A7" s="6">
        <f>ROW()</f>
        <v>7</v>
      </c>
      <c r="B7" s="295">
        <v>37438</v>
      </c>
      <c r="C7" s="296">
        <f>VLOOKUP($B7,'Exhibit F data'!$C$5:$F$70,2,FALSE)</f>
        <v>0.85</v>
      </c>
      <c r="D7" s="296">
        <f>VLOOKUP($B7,'Exhibit F data'!$C$5:$F$70,3,FALSE)</f>
        <v>0.85</v>
      </c>
      <c r="E7" s="296"/>
      <c r="F7" s="297">
        <f aca="true" t="shared" si="0" ref="F7:F18">SUMPRODUCT(C7:D7,$C$6:$D$6)/SUM($C$6:$D$6)</f>
        <v>0.8500000000000001</v>
      </c>
      <c r="G7" s="159">
        <f>VLOOKUP($B7,'Exhibit F data'!$C$5:$F$70,4,FALSE)</f>
        <v>31</v>
      </c>
    </row>
    <row r="8" spans="1:7" ht="12.75">
      <c r="A8" s="6">
        <f>ROW()</f>
        <v>8</v>
      </c>
      <c r="B8" s="298">
        <f aca="true" t="shared" si="1" ref="B8:B18">DATE(YEAR(B7),MONTH(B7)+1,DAY(B7))</f>
        <v>37469</v>
      </c>
      <c r="C8" s="296">
        <f>VLOOKUP($B8,'Exhibit F data'!$C$5:$F$70,2,FALSE)</f>
        <v>0.85</v>
      </c>
      <c r="D8" s="296">
        <f>VLOOKUP($B8,'Exhibit F data'!$C$5:$F$70,3,FALSE)</f>
        <v>0.85</v>
      </c>
      <c r="E8" s="296"/>
      <c r="F8" s="297">
        <f t="shared" si="0"/>
        <v>0.8500000000000001</v>
      </c>
      <c r="G8" s="159">
        <f>VLOOKUP($B8,'Exhibit F data'!$C$5:$F$70,4,FALSE)</f>
        <v>31</v>
      </c>
    </row>
    <row r="9" spans="1:7" ht="12.75">
      <c r="A9" s="6">
        <f>ROW()</f>
        <v>9</v>
      </c>
      <c r="B9" s="298">
        <f t="shared" si="1"/>
        <v>37500</v>
      </c>
      <c r="C9" s="296">
        <f>VLOOKUP($B9,'Exhibit F data'!$C$5:$F$70,2,FALSE)</f>
        <v>0.85</v>
      </c>
      <c r="D9" s="296">
        <f>VLOOKUP($B9,'Exhibit F data'!$C$5:$F$70,3,FALSE)</f>
        <v>0.85</v>
      </c>
      <c r="E9" s="296"/>
      <c r="F9" s="297">
        <f t="shared" si="0"/>
        <v>0.8500000000000001</v>
      </c>
      <c r="G9" s="159">
        <f>VLOOKUP($B9,'Exhibit F data'!$C$5:$F$70,4,FALSE)</f>
        <v>30</v>
      </c>
    </row>
    <row r="10" spans="1:7" ht="12.75">
      <c r="A10" s="6">
        <f>ROW()</f>
        <v>10</v>
      </c>
      <c r="B10" s="298">
        <f t="shared" si="1"/>
        <v>37530</v>
      </c>
      <c r="C10" s="296">
        <f>VLOOKUP($B10,'Exhibit F data'!$C$5:$F$70,2,FALSE)</f>
        <v>0.85</v>
      </c>
      <c r="D10" s="296">
        <f>VLOOKUP($B10,'Exhibit F data'!$C$5:$F$70,3,FALSE)</f>
        <v>0.85</v>
      </c>
      <c r="E10" s="296"/>
      <c r="F10" s="297">
        <f t="shared" si="0"/>
        <v>0.8500000000000001</v>
      </c>
      <c r="G10" s="159">
        <f>VLOOKUP($B10,'Exhibit F data'!$C$5:$F$70,4,FALSE)</f>
        <v>31</v>
      </c>
    </row>
    <row r="11" spans="1:7" ht="12.75">
      <c r="A11" s="6">
        <f>ROW()</f>
        <v>11</v>
      </c>
      <c r="B11" s="298">
        <f t="shared" si="1"/>
        <v>37561</v>
      </c>
      <c r="C11" s="296">
        <f>VLOOKUP($B11,'Exhibit F data'!$C$5:$F$70,2,FALSE)</f>
        <v>0.85</v>
      </c>
      <c r="D11" s="296">
        <f>VLOOKUP($B11,'Exhibit F data'!$C$5:$F$70,3,FALSE)</f>
        <v>0.85</v>
      </c>
      <c r="E11" s="296"/>
      <c r="F11" s="297">
        <f t="shared" si="0"/>
        <v>0.8500000000000001</v>
      </c>
      <c r="G11" s="159">
        <f>VLOOKUP($B11,'Exhibit F data'!$C$5:$F$70,4,FALSE)</f>
        <v>30</v>
      </c>
    </row>
    <row r="12" spans="1:7" ht="12.75">
      <c r="A12" s="6">
        <f>ROW()</f>
        <v>12</v>
      </c>
      <c r="B12" s="298">
        <f t="shared" si="1"/>
        <v>37591</v>
      </c>
      <c r="C12" s="296">
        <f>VLOOKUP($B12,'Exhibit F data'!$C$5:$F$70,2,FALSE)</f>
        <v>0.85</v>
      </c>
      <c r="D12" s="296">
        <f>VLOOKUP($B12,'Exhibit F data'!$C$5:$F$70,3,FALSE)</f>
        <v>0.85</v>
      </c>
      <c r="E12" s="296"/>
      <c r="F12" s="297">
        <f t="shared" si="0"/>
        <v>0.8500000000000001</v>
      </c>
      <c r="G12" s="159">
        <f>VLOOKUP($B12,'Exhibit F data'!$C$5:$F$70,4,FALSE)</f>
        <v>31</v>
      </c>
    </row>
    <row r="13" spans="1:7" ht="12.75">
      <c r="A13" s="6">
        <f>ROW()</f>
        <v>13</v>
      </c>
      <c r="B13" s="298">
        <f t="shared" si="1"/>
        <v>37622</v>
      </c>
      <c r="C13" s="296">
        <f>VLOOKUP($B13,'Exhibit F data'!$C$5:$F$70,2,FALSE)</f>
        <v>0.85</v>
      </c>
      <c r="D13" s="296">
        <f>VLOOKUP($B13,'Exhibit F data'!$C$5:$F$70,3,FALSE)</f>
        <v>0.85</v>
      </c>
      <c r="E13" s="296"/>
      <c r="F13" s="297">
        <f t="shared" si="0"/>
        <v>0.8500000000000001</v>
      </c>
      <c r="G13" s="159">
        <f>VLOOKUP($B13,'Exhibit F data'!$C$5:$F$70,4,FALSE)</f>
        <v>31</v>
      </c>
    </row>
    <row r="14" spans="1:7" ht="12.75">
      <c r="A14" s="6">
        <f>ROW()</f>
        <v>14</v>
      </c>
      <c r="B14" s="298">
        <f t="shared" si="1"/>
        <v>37653</v>
      </c>
      <c r="C14" s="296">
        <f>VLOOKUP($B14,'Exhibit F data'!$C$5:$F$70,2,FALSE)</f>
        <v>0.85</v>
      </c>
      <c r="D14" s="296">
        <f>VLOOKUP($B14,'Exhibit F data'!$C$5:$F$70,3,FALSE)</f>
        <v>0.85</v>
      </c>
      <c r="E14" s="296"/>
      <c r="F14" s="297">
        <f t="shared" si="0"/>
        <v>0.8500000000000001</v>
      </c>
      <c r="G14" s="159">
        <f>VLOOKUP($B14,'Exhibit F data'!$C$5:$F$70,4,FALSE)</f>
        <v>28</v>
      </c>
    </row>
    <row r="15" spans="1:7" ht="12.75">
      <c r="A15" s="6">
        <f>ROW()</f>
        <v>15</v>
      </c>
      <c r="B15" s="298">
        <f t="shared" si="1"/>
        <v>37681</v>
      </c>
      <c r="C15" s="296">
        <f>VLOOKUP($B15,'Exhibit F data'!$C$5:$F$70,2,FALSE)</f>
        <v>0.85</v>
      </c>
      <c r="D15" s="296">
        <f>VLOOKUP($B15,'Exhibit F data'!$C$5:$F$70,3,FALSE)</f>
        <v>0</v>
      </c>
      <c r="E15" s="296"/>
      <c r="F15" s="297">
        <f t="shared" si="0"/>
        <v>0.385450516986706</v>
      </c>
      <c r="G15" s="159">
        <f>VLOOKUP($B15,'Exhibit F data'!$C$5:$F$70,4,FALSE)</f>
        <v>31</v>
      </c>
    </row>
    <row r="16" spans="1:7" ht="12.75">
      <c r="A16" s="6">
        <f>ROW()</f>
        <v>16</v>
      </c>
      <c r="B16" s="298">
        <f t="shared" si="1"/>
        <v>37712</v>
      </c>
      <c r="C16" s="296">
        <f>VLOOKUP($B16,'Exhibit F data'!$C$5:$F$70,2,FALSE)</f>
        <v>0.85</v>
      </c>
      <c r="D16" s="296">
        <f>VLOOKUP($B16,'Exhibit F data'!$C$5:$F$70,3,FALSE)</f>
        <v>0</v>
      </c>
      <c r="E16" s="296"/>
      <c r="F16" s="297">
        <f t="shared" si="0"/>
        <v>0.385450516986706</v>
      </c>
      <c r="G16" s="159">
        <f>VLOOKUP($B16,'Exhibit F data'!$C$5:$F$70,4,FALSE)</f>
        <v>30</v>
      </c>
    </row>
    <row r="17" spans="1:7" ht="12.75">
      <c r="A17" s="6">
        <f>ROW()</f>
        <v>17</v>
      </c>
      <c r="B17" s="298">
        <f t="shared" si="1"/>
        <v>37742</v>
      </c>
      <c r="C17" s="296">
        <f>VLOOKUP($B17,'Exhibit F data'!$C$5:$F$70,2,FALSE)</f>
        <v>0.85</v>
      </c>
      <c r="D17" s="296">
        <f>VLOOKUP($B17,'Exhibit F data'!$C$5:$F$70,3,FALSE)</f>
        <v>0</v>
      </c>
      <c r="E17" s="296"/>
      <c r="F17" s="297">
        <f t="shared" si="0"/>
        <v>0.385450516986706</v>
      </c>
      <c r="G17" s="159">
        <f>VLOOKUP($B17,'Exhibit F data'!$C$5:$F$70,4,FALSE)</f>
        <v>31</v>
      </c>
    </row>
    <row r="18" spans="1:7" ht="12.75">
      <c r="A18" s="6">
        <f>ROW()</f>
        <v>18</v>
      </c>
      <c r="B18" s="298">
        <f t="shared" si="1"/>
        <v>37773</v>
      </c>
      <c r="C18" s="296">
        <f>VLOOKUP($B18,'Exhibit F data'!$C$5:$F$70,2,FALSE)</f>
        <v>0.85</v>
      </c>
      <c r="D18" s="296">
        <f>VLOOKUP($B18,'Exhibit F data'!$C$5:$F$70,3,FALSE)</f>
        <v>0</v>
      </c>
      <c r="E18" s="296"/>
      <c r="F18" s="297">
        <f t="shared" si="0"/>
        <v>0.385450516986706</v>
      </c>
      <c r="G18" s="159">
        <f>VLOOKUP($B18,'Exhibit F data'!$C$5:$F$70,4,FALSE)</f>
        <v>30</v>
      </c>
    </row>
    <row r="19" spans="1:4" ht="13.5" thickBot="1">
      <c r="A19" s="6">
        <f>ROW()</f>
        <v>19</v>
      </c>
      <c r="C19" s="296"/>
      <c r="D19" s="296"/>
    </row>
    <row r="20" spans="1:6" ht="20.25" customHeight="1" thickBot="1">
      <c r="A20" s="6">
        <f>ROW()</f>
        <v>20</v>
      </c>
      <c r="B20" t="s">
        <v>420</v>
      </c>
      <c r="C20" s="296">
        <f>SUMPRODUCT(C$7:C$18,$G$7:$G$18)/SUM($G$7:$G$18)</f>
        <v>0.85</v>
      </c>
      <c r="D20" s="296">
        <f>SUMPRODUCT(D$7:D$18,$G$7:$G$18)/SUM($G$7:$G$18)</f>
        <v>0.565890410958904</v>
      </c>
      <c r="F20" s="299">
        <f>SUMPRODUCT(F$7:F$18,$G$7:$G$18)/SUM($G$7:$G$18)</f>
        <v>0.6947259262256936</v>
      </c>
    </row>
    <row r="21" spans="1:6" ht="12.75">
      <c r="A21" s="6">
        <f>ROW()</f>
        <v>21</v>
      </c>
      <c r="B21" t="s">
        <v>421</v>
      </c>
      <c r="C21" s="296"/>
      <c r="D21" s="296"/>
      <c r="F21" t="s">
        <v>422</v>
      </c>
    </row>
    <row r="22" ht="12.75">
      <c r="A22" s="6">
        <f>ROW()</f>
        <v>22</v>
      </c>
    </row>
    <row r="23" spans="1:3" ht="12.75">
      <c r="A23" s="6">
        <f>ROW()</f>
        <v>23</v>
      </c>
      <c r="C23" s="296"/>
    </row>
    <row r="24" spans="1:2" ht="15.75">
      <c r="A24" s="6">
        <f>ROW()</f>
        <v>24</v>
      </c>
      <c r="B24" s="198" t="s">
        <v>423</v>
      </c>
    </row>
    <row r="25" spans="1:4" ht="12.75">
      <c r="A25" s="6">
        <f>ROW()</f>
        <v>25</v>
      </c>
      <c r="B25" t="s">
        <v>424</v>
      </c>
      <c r="C25" s="6" t="str">
        <f>+IF(F20&lt;70%,"yes","no")</f>
        <v>yes</v>
      </c>
      <c r="D25" t="str">
        <f>IF(C25="no","no penalty assessed","yes, penalty assessed")</f>
        <v>yes, penalty assessed</v>
      </c>
    </row>
    <row r="26" spans="1:3" ht="12.75">
      <c r="A26" s="6">
        <f>ROW()</f>
        <v>26</v>
      </c>
      <c r="B26" t="s">
        <v>425</v>
      </c>
      <c r="C26" s="296">
        <f>+F20</f>
        <v>0.6947259262256936</v>
      </c>
    </row>
    <row r="27" spans="1:4" ht="12.75">
      <c r="A27" s="6">
        <f>ROW()</f>
        <v>27</v>
      </c>
      <c r="B27" t="s">
        <v>426</v>
      </c>
      <c r="C27" s="300">
        <v>0.75</v>
      </c>
      <c r="D27" t="s">
        <v>427</v>
      </c>
    </row>
    <row r="28" spans="1:4" ht="12.75">
      <c r="A28" s="6">
        <f>ROW()</f>
        <v>28</v>
      </c>
      <c r="B28" t="s">
        <v>428</v>
      </c>
      <c r="C28" s="301">
        <f>IF(C25="yes",IF(C26-C27&lt;0,C26-C27,0),0)</f>
        <v>-0.055274073774306376</v>
      </c>
      <c r="D28" s="167">
        <f>IF(C26-C27&gt;0,"no penalty if actual ratio &gt;= 70% ","")</f>
      </c>
    </row>
    <row r="29" ht="12.75">
      <c r="A29" s="6">
        <f>ROW()</f>
        <v>29</v>
      </c>
    </row>
    <row r="30" ht="13.5" thickBot="1">
      <c r="A30" s="6">
        <f>ROW()</f>
        <v>30</v>
      </c>
    </row>
    <row r="31" spans="1:6" ht="13.5" thickBot="1">
      <c r="A31" s="6">
        <f>ROW()</f>
        <v>31</v>
      </c>
      <c r="B31" t="s">
        <v>429</v>
      </c>
      <c r="C31" s="302">
        <f>+F31/F32</f>
        <v>-0.0736987650324085</v>
      </c>
      <c r="D31" s="6" t="s">
        <v>430</v>
      </c>
      <c r="E31" s="6" t="s">
        <v>431</v>
      </c>
      <c r="F31" s="303">
        <f>+C28</f>
        <v>-0.055274073774306376</v>
      </c>
    </row>
    <row r="32" spans="1:7" ht="12.75">
      <c r="A32" s="6">
        <f>ROW()</f>
        <v>32</v>
      </c>
      <c r="E32" s="6" t="s">
        <v>432</v>
      </c>
      <c r="F32" s="304">
        <v>0.75</v>
      </c>
      <c r="G32" t="s">
        <v>427</v>
      </c>
    </row>
    <row r="33" ht="12.75">
      <c r="A33" s="6">
        <f>ROW()</f>
        <v>33</v>
      </c>
    </row>
    <row r="34" ht="12.75">
      <c r="A34" s="6">
        <f>ROW()</f>
        <v>34</v>
      </c>
    </row>
    <row r="35" spans="1:2" ht="15.75">
      <c r="A35" s="6">
        <f>ROW()</f>
        <v>35</v>
      </c>
      <c r="B35" s="198" t="s">
        <v>433</v>
      </c>
    </row>
    <row r="36" ht="12.75">
      <c r="A36" s="6">
        <f>ROW()</f>
        <v>36</v>
      </c>
    </row>
    <row r="37" spans="1:4" ht="12.75">
      <c r="A37" s="6">
        <f>ROW()</f>
        <v>37</v>
      </c>
      <c r="B37" t="s">
        <v>434</v>
      </c>
      <c r="C37" s="305">
        <v>77514638</v>
      </c>
      <c r="D37" s="167" t="s">
        <v>435</v>
      </c>
    </row>
    <row r="38" spans="1:4" ht="12.75">
      <c r="A38" s="6">
        <f>ROW()</f>
        <v>38</v>
      </c>
      <c r="D38" s="167"/>
    </row>
    <row r="39" spans="1:4" ht="13.5" thickBot="1">
      <c r="A39" s="6">
        <f>ROW()</f>
        <v>39</v>
      </c>
      <c r="B39" t="str">
        <f>+B31</f>
        <v>Penalty Ratio = </v>
      </c>
      <c r="C39" s="296">
        <f>+C31</f>
        <v>-0.0736987650324085</v>
      </c>
      <c r="D39" s="167"/>
    </row>
    <row r="40" spans="1:4" ht="15.75" thickBot="1">
      <c r="A40" s="6">
        <f>ROW()</f>
        <v>40</v>
      </c>
      <c r="B40" s="25" t="s">
        <v>436</v>
      </c>
      <c r="C40" s="306">
        <f>+C39*C37</f>
        <v>-5712733.092534204</v>
      </c>
      <c r="D40" s="307" t="s">
        <v>437</v>
      </c>
    </row>
  </sheetData>
  <printOptions/>
  <pageMargins left="0.75" right="0.36" top="1" bottom="1" header="0.5" footer="0.5"/>
  <pageSetup cellComments="asDisplayed" horizontalDpi="600" verticalDpi="600" orientation="portrait" scale="90" r:id="rId3"/>
  <headerFooter alignWithMargins="0">
    <oddHeader>&amp;LPCA Collaborative</oddHeader>
    <oddFooter>&amp;L&amp;F&amp;C&amp;A&amp;RPage 1 of 2</oddFooter>
  </headerFooter>
  <legacyDrawing r:id="rId2"/>
</worksheet>
</file>

<file path=xl/worksheets/sheet11.xml><?xml version="1.0" encoding="utf-8"?>
<worksheet xmlns="http://schemas.openxmlformats.org/spreadsheetml/2006/main" xmlns:r="http://schemas.openxmlformats.org/officeDocument/2006/relationships">
  <dimension ref="A1:I70"/>
  <sheetViews>
    <sheetView workbookViewId="0" topLeftCell="A10">
      <selection activeCell="J40" sqref="J40"/>
    </sheetView>
  </sheetViews>
  <sheetFormatPr defaultColWidth="9.140625" defaultRowHeight="12.75" outlineLevelRow="1"/>
  <sheetData>
    <row r="1" ht="12.75">
      <c r="B1" s="25" t="s">
        <v>438</v>
      </c>
    </row>
    <row r="2" ht="12.75">
      <c r="C2" t="s">
        <v>439</v>
      </c>
    </row>
    <row r="4" spans="1:6" ht="12.75">
      <c r="A4" s="6" t="s">
        <v>440</v>
      </c>
      <c r="D4" s="8" t="s">
        <v>415</v>
      </c>
      <c r="E4" s="8" t="s">
        <v>416</v>
      </c>
      <c r="F4" s="8" t="s">
        <v>419</v>
      </c>
    </row>
    <row r="5" spans="1:6" ht="12.75">
      <c r="A5" s="6">
        <f aca="true" t="shared" si="0" ref="A5:A36">+ROW()</f>
        <v>5</v>
      </c>
      <c r="C5" s="298">
        <v>36892</v>
      </c>
      <c r="D5" s="308">
        <v>0.9866</v>
      </c>
      <c r="E5" s="308">
        <v>0.8873</v>
      </c>
      <c r="F5">
        <v>31</v>
      </c>
    </row>
    <row r="6" spans="1:6" ht="12.75">
      <c r="A6" s="6">
        <f t="shared" si="0"/>
        <v>6</v>
      </c>
      <c r="C6" s="298">
        <v>36923</v>
      </c>
      <c r="D6" s="308">
        <v>0.8624</v>
      </c>
      <c r="E6" s="308">
        <v>0.9778</v>
      </c>
      <c r="F6">
        <v>28</v>
      </c>
    </row>
    <row r="7" spans="1:6" ht="12.75">
      <c r="A7" s="6">
        <f t="shared" si="0"/>
        <v>7</v>
      </c>
      <c r="C7" s="298">
        <v>36951</v>
      </c>
      <c r="D7" s="308">
        <v>0.9536</v>
      </c>
      <c r="E7" s="308">
        <v>0.7276</v>
      </c>
      <c r="F7">
        <v>31</v>
      </c>
    </row>
    <row r="8" spans="1:6" ht="12.75">
      <c r="A8" s="6">
        <f t="shared" si="0"/>
        <v>8</v>
      </c>
      <c r="C8" s="298">
        <v>36982</v>
      </c>
      <c r="D8" s="308">
        <v>0.9156</v>
      </c>
      <c r="E8" s="308">
        <v>0.482</v>
      </c>
      <c r="F8">
        <v>30</v>
      </c>
    </row>
    <row r="9" spans="1:6" ht="12.75">
      <c r="A9" s="6">
        <f t="shared" si="0"/>
        <v>9</v>
      </c>
      <c r="C9" s="298">
        <v>37012</v>
      </c>
      <c r="D9" s="308">
        <v>0.7512</v>
      </c>
      <c r="E9" s="308">
        <v>0.6974</v>
      </c>
      <c r="F9">
        <v>31</v>
      </c>
    </row>
    <row r="10" spans="1:6" ht="12.75">
      <c r="A10" s="6">
        <f t="shared" si="0"/>
        <v>10</v>
      </c>
      <c r="C10" s="298">
        <v>37043</v>
      </c>
      <c r="D10" s="300">
        <v>0.523</v>
      </c>
      <c r="E10" s="300">
        <v>0.7173</v>
      </c>
      <c r="F10">
        <v>30</v>
      </c>
    </row>
    <row r="11" spans="1:6" ht="12.75">
      <c r="A11" s="6">
        <f t="shared" si="0"/>
        <v>11</v>
      </c>
      <c r="C11" s="298">
        <v>37073</v>
      </c>
      <c r="D11" s="300">
        <v>0.9438</v>
      </c>
      <c r="E11" s="300">
        <v>0.9344</v>
      </c>
      <c r="F11">
        <v>31</v>
      </c>
    </row>
    <row r="12" spans="1:8" ht="12.75">
      <c r="A12" s="6">
        <f t="shared" si="0"/>
        <v>12</v>
      </c>
      <c r="C12" s="298">
        <v>37104</v>
      </c>
      <c r="D12" s="300">
        <v>0.9142</v>
      </c>
      <c r="E12" s="300">
        <v>0.9777</v>
      </c>
      <c r="F12">
        <v>31</v>
      </c>
      <c r="H12" s="294" t="s">
        <v>441</v>
      </c>
    </row>
    <row r="13" spans="1:6" ht="12.75">
      <c r="A13" s="6">
        <f t="shared" si="0"/>
        <v>13</v>
      </c>
      <c r="C13" s="298">
        <v>37135</v>
      </c>
      <c r="D13" s="300">
        <v>0.8002</v>
      </c>
      <c r="E13" s="300">
        <v>0.9318</v>
      </c>
      <c r="F13">
        <v>30</v>
      </c>
    </row>
    <row r="14" spans="1:6" ht="12.75">
      <c r="A14" s="6">
        <f t="shared" si="0"/>
        <v>14</v>
      </c>
      <c r="C14" s="298">
        <v>37165</v>
      </c>
      <c r="D14" s="300">
        <v>0.967</v>
      </c>
      <c r="E14" s="300">
        <v>0.9599</v>
      </c>
      <c r="F14">
        <v>31</v>
      </c>
    </row>
    <row r="15" spans="1:6" ht="12.75">
      <c r="A15" s="6">
        <f t="shared" si="0"/>
        <v>15</v>
      </c>
      <c r="C15" s="298">
        <v>37196</v>
      </c>
      <c r="D15" s="300">
        <v>0.9671</v>
      </c>
      <c r="E15" s="300">
        <v>0.904</v>
      </c>
      <c r="F15">
        <v>30</v>
      </c>
    </row>
    <row r="16" spans="1:6" ht="12.75">
      <c r="A16" s="6">
        <f t="shared" si="0"/>
        <v>16</v>
      </c>
      <c r="C16" s="298">
        <v>37226</v>
      </c>
      <c r="D16" s="300">
        <v>0.9064</v>
      </c>
      <c r="E16" s="300">
        <v>0.8621</v>
      </c>
      <c r="F16">
        <v>31</v>
      </c>
    </row>
    <row r="17" spans="1:6" ht="12.75">
      <c r="A17" s="6">
        <f t="shared" si="0"/>
        <v>17</v>
      </c>
      <c r="C17" s="298">
        <v>37257</v>
      </c>
      <c r="D17" s="300">
        <v>0.936</v>
      </c>
      <c r="E17" s="300">
        <v>0.4787</v>
      </c>
      <c r="F17">
        <v>31</v>
      </c>
    </row>
    <row r="18" spans="1:6" ht="12.75">
      <c r="A18" s="6">
        <f t="shared" si="0"/>
        <v>18</v>
      </c>
      <c r="C18" s="298">
        <v>37288</v>
      </c>
      <c r="D18" s="300">
        <v>0.9101</v>
      </c>
      <c r="E18" s="300">
        <v>0.7926</v>
      </c>
      <c r="F18">
        <v>28</v>
      </c>
    </row>
    <row r="19" spans="1:6" ht="12.75">
      <c r="A19" s="6">
        <f t="shared" si="0"/>
        <v>19</v>
      </c>
      <c r="C19" s="298">
        <v>37316</v>
      </c>
      <c r="D19" s="300">
        <v>0.9714</v>
      </c>
      <c r="E19" s="300">
        <v>0.8804</v>
      </c>
      <c r="F19">
        <v>31</v>
      </c>
    </row>
    <row r="20" spans="1:6" ht="12.75">
      <c r="A20" s="6">
        <f t="shared" si="0"/>
        <v>20</v>
      </c>
      <c r="C20" s="298">
        <v>37347</v>
      </c>
      <c r="D20" s="300">
        <v>0.9444</v>
      </c>
      <c r="E20" s="300">
        <v>0.9399</v>
      </c>
      <c r="F20">
        <v>30</v>
      </c>
    </row>
    <row r="21" spans="1:6" ht="12.75">
      <c r="A21" s="6">
        <f t="shared" si="0"/>
        <v>21</v>
      </c>
      <c r="C21" s="298">
        <v>37377</v>
      </c>
      <c r="D21" s="309">
        <v>0.85</v>
      </c>
      <c r="E21" s="309">
        <v>0.85</v>
      </c>
      <c r="F21">
        <v>31</v>
      </c>
    </row>
    <row r="22" spans="1:6" ht="12.75">
      <c r="A22" s="6">
        <f t="shared" si="0"/>
        <v>22</v>
      </c>
      <c r="C22" s="298">
        <v>37408</v>
      </c>
      <c r="D22" s="309">
        <v>0.85</v>
      </c>
      <c r="E22" s="309">
        <v>0.85</v>
      </c>
      <c r="F22">
        <v>30</v>
      </c>
    </row>
    <row r="23" spans="1:6" ht="12.75">
      <c r="A23" s="6">
        <f t="shared" si="0"/>
        <v>23</v>
      </c>
      <c r="C23" s="298">
        <v>37438</v>
      </c>
      <c r="D23" s="309">
        <v>0.85</v>
      </c>
      <c r="E23" s="309">
        <v>0.85</v>
      </c>
      <c r="F23">
        <v>31</v>
      </c>
    </row>
    <row r="24" spans="1:6" ht="12.75">
      <c r="A24" s="6">
        <f t="shared" si="0"/>
        <v>24</v>
      </c>
      <c r="C24" s="298">
        <v>37469</v>
      </c>
      <c r="D24" s="309">
        <v>0.85</v>
      </c>
      <c r="E24" s="309">
        <v>0.85</v>
      </c>
      <c r="F24">
        <v>31</v>
      </c>
    </row>
    <row r="25" spans="1:6" ht="12.75">
      <c r="A25" s="6">
        <f t="shared" si="0"/>
        <v>25</v>
      </c>
      <c r="C25" s="298">
        <v>37500</v>
      </c>
      <c r="D25" s="309">
        <v>0.85</v>
      </c>
      <c r="E25" s="309">
        <v>0.85</v>
      </c>
      <c r="F25">
        <v>30</v>
      </c>
    </row>
    <row r="26" spans="1:6" ht="12.75">
      <c r="A26" s="6">
        <f t="shared" si="0"/>
        <v>26</v>
      </c>
      <c r="C26" s="298">
        <v>37530</v>
      </c>
      <c r="D26" s="309">
        <v>0.85</v>
      </c>
      <c r="E26" s="309">
        <v>0.85</v>
      </c>
      <c r="F26">
        <v>31</v>
      </c>
    </row>
    <row r="27" spans="1:6" ht="12.75">
      <c r="A27" s="6">
        <f t="shared" si="0"/>
        <v>27</v>
      </c>
      <c r="C27" s="298">
        <v>37561</v>
      </c>
      <c r="D27" s="309">
        <v>0.85</v>
      </c>
      <c r="E27" s="309">
        <v>0.85</v>
      </c>
      <c r="F27">
        <v>30</v>
      </c>
    </row>
    <row r="28" spans="1:8" ht="12.75">
      <c r="A28" s="6">
        <f t="shared" si="0"/>
        <v>28</v>
      </c>
      <c r="C28" s="298">
        <v>37591</v>
      </c>
      <c r="D28" s="309">
        <v>0.85</v>
      </c>
      <c r="E28" s="309">
        <v>0.85</v>
      </c>
      <c r="F28">
        <v>31</v>
      </c>
      <c r="H28" s="189" t="s">
        <v>442</v>
      </c>
    </row>
    <row r="29" spans="1:6" ht="12.75">
      <c r="A29" s="6">
        <f t="shared" si="0"/>
        <v>29</v>
      </c>
      <c r="C29" s="298">
        <v>37622</v>
      </c>
      <c r="D29" s="309">
        <v>0.85</v>
      </c>
      <c r="E29" s="309">
        <v>0.85</v>
      </c>
      <c r="F29">
        <v>31</v>
      </c>
    </row>
    <row r="30" spans="1:6" ht="12.75">
      <c r="A30" s="6">
        <f t="shared" si="0"/>
        <v>30</v>
      </c>
      <c r="C30" s="298">
        <v>37653</v>
      </c>
      <c r="D30" s="309">
        <v>0.85</v>
      </c>
      <c r="E30" s="309">
        <v>0.85</v>
      </c>
      <c r="F30">
        <v>28</v>
      </c>
    </row>
    <row r="31" spans="1:6" ht="12.75">
      <c r="A31" s="6">
        <f t="shared" si="0"/>
        <v>31</v>
      </c>
      <c r="C31" s="298">
        <v>37681</v>
      </c>
      <c r="D31" s="309">
        <v>0.85</v>
      </c>
      <c r="E31" s="309">
        <v>0</v>
      </c>
      <c r="F31">
        <v>31</v>
      </c>
    </row>
    <row r="32" spans="1:6" ht="12.75">
      <c r="A32" s="6">
        <f t="shared" si="0"/>
        <v>32</v>
      </c>
      <c r="C32" s="298">
        <v>37712</v>
      </c>
      <c r="D32" s="309">
        <v>0.85</v>
      </c>
      <c r="E32" s="309">
        <v>0</v>
      </c>
      <c r="F32">
        <v>30</v>
      </c>
    </row>
    <row r="33" spans="1:6" ht="12.75">
      <c r="A33" s="6">
        <f t="shared" si="0"/>
        <v>33</v>
      </c>
      <c r="C33" s="298">
        <v>37742</v>
      </c>
      <c r="D33" s="309">
        <v>0.85</v>
      </c>
      <c r="E33" s="309">
        <v>0</v>
      </c>
      <c r="F33">
        <v>31</v>
      </c>
    </row>
    <row r="34" spans="1:6" ht="12.75">
      <c r="A34" s="6">
        <f t="shared" si="0"/>
        <v>34</v>
      </c>
      <c r="C34" s="298">
        <v>37773</v>
      </c>
      <c r="D34" s="309">
        <v>0.85</v>
      </c>
      <c r="E34" s="309">
        <v>0</v>
      </c>
      <c r="F34">
        <v>30</v>
      </c>
    </row>
    <row r="35" spans="1:6" ht="12.75">
      <c r="A35" s="6">
        <f t="shared" si="0"/>
        <v>35</v>
      </c>
      <c r="C35" s="298">
        <v>37803</v>
      </c>
      <c r="F35">
        <v>31</v>
      </c>
    </row>
    <row r="36" spans="1:6" ht="12.75">
      <c r="A36" s="6">
        <f t="shared" si="0"/>
        <v>36</v>
      </c>
      <c r="C36" s="298">
        <v>37834</v>
      </c>
      <c r="F36">
        <v>31</v>
      </c>
    </row>
    <row r="37" spans="1:6" ht="12.75">
      <c r="A37" s="6">
        <f aca="true" t="shared" si="1" ref="A37:A70">+ROW()</f>
        <v>37</v>
      </c>
      <c r="C37" s="298">
        <v>37865</v>
      </c>
      <c r="F37">
        <v>30</v>
      </c>
    </row>
    <row r="38" spans="1:6" ht="12.75">
      <c r="A38" s="6">
        <f t="shared" si="1"/>
        <v>38</v>
      </c>
      <c r="C38" s="298">
        <v>37895</v>
      </c>
      <c r="F38">
        <v>31</v>
      </c>
    </row>
    <row r="39" spans="1:6" ht="12.75">
      <c r="A39" s="6">
        <f t="shared" si="1"/>
        <v>39</v>
      </c>
      <c r="C39" s="298">
        <v>37926</v>
      </c>
      <c r="F39">
        <v>30</v>
      </c>
    </row>
    <row r="40" spans="1:6" ht="12.75">
      <c r="A40" s="6">
        <f t="shared" si="1"/>
        <v>40</v>
      </c>
      <c r="C40" s="298">
        <v>37956</v>
      </c>
      <c r="F40">
        <v>31</v>
      </c>
    </row>
    <row r="41" spans="1:6" ht="12.75">
      <c r="A41" s="6">
        <f t="shared" si="1"/>
        <v>41</v>
      </c>
      <c r="C41" s="298">
        <v>37987</v>
      </c>
      <c r="F41">
        <v>31</v>
      </c>
    </row>
    <row r="42" spans="1:6" ht="12.75">
      <c r="A42" s="6">
        <f t="shared" si="1"/>
        <v>42</v>
      </c>
      <c r="C42" s="298">
        <v>38018</v>
      </c>
      <c r="F42">
        <v>29</v>
      </c>
    </row>
    <row r="43" spans="1:6" ht="12.75">
      <c r="A43" s="6">
        <f t="shared" si="1"/>
        <v>43</v>
      </c>
      <c r="C43" s="298">
        <v>38047</v>
      </c>
      <c r="F43">
        <v>31</v>
      </c>
    </row>
    <row r="44" spans="1:6" ht="12.75">
      <c r="A44" s="6">
        <f t="shared" si="1"/>
        <v>44</v>
      </c>
      <c r="C44" s="298">
        <v>38078</v>
      </c>
      <c r="F44">
        <v>30</v>
      </c>
    </row>
    <row r="45" spans="1:6" ht="12.75">
      <c r="A45" s="6">
        <f t="shared" si="1"/>
        <v>45</v>
      </c>
      <c r="C45" s="298">
        <v>38108</v>
      </c>
      <c r="F45">
        <v>31</v>
      </c>
    </row>
    <row r="46" spans="1:6" ht="12.75">
      <c r="A46" s="6">
        <f t="shared" si="1"/>
        <v>46</v>
      </c>
      <c r="C46" s="298">
        <v>38139</v>
      </c>
      <c r="F46">
        <v>30</v>
      </c>
    </row>
    <row r="47" spans="1:6" ht="12.75" hidden="1" outlineLevel="1">
      <c r="A47" s="6">
        <f t="shared" si="1"/>
        <v>47</v>
      </c>
      <c r="C47" s="298">
        <v>38169</v>
      </c>
      <c r="F47">
        <v>31</v>
      </c>
    </row>
    <row r="48" spans="1:6" ht="12.75" hidden="1" outlineLevel="1">
      <c r="A48" s="6">
        <f t="shared" si="1"/>
        <v>48</v>
      </c>
      <c r="C48" s="298">
        <v>38200</v>
      </c>
      <c r="F48">
        <v>31</v>
      </c>
    </row>
    <row r="49" spans="1:6" ht="12.75" hidden="1" outlineLevel="1">
      <c r="A49" s="6">
        <f t="shared" si="1"/>
        <v>49</v>
      </c>
      <c r="C49" s="298">
        <v>38231</v>
      </c>
      <c r="F49">
        <v>30</v>
      </c>
    </row>
    <row r="50" spans="1:6" ht="12.75" hidden="1" outlineLevel="1">
      <c r="A50" s="6">
        <f t="shared" si="1"/>
        <v>50</v>
      </c>
      <c r="C50" s="298">
        <v>38261</v>
      </c>
      <c r="F50">
        <v>31</v>
      </c>
    </row>
    <row r="51" spans="1:6" ht="12.75" hidden="1" outlineLevel="1">
      <c r="A51" s="6">
        <f t="shared" si="1"/>
        <v>51</v>
      </c>
      <c r="C51" s="298">
        <v>38292</v>
      </c>
      <c r="F51">
        <v>30</v>
      </c>
    </row>
    <row r="52" spans="1:6" ht="12.75" hidden="1" outlineLevel="1">
      <c r="A52" s="6">
        <f t="shared" si="1"/>
        <v>52</v>
      </c>
      <c r="C52" s="298">
        <v>38322</v>
      </c>
      <c r="F52">
        <v>31</v>
      </c>
    </row>
    <row r="53" spans="1:6" ht="12.75" hidden="1" outlineLevel="1">
      <c r="A53" s="6">
        <f t="shared" si="1"/>
        <v>53</v>
      </c>
      <c r="C53" s="298">
        <v>38353</v>
      </c>
      <c r="F53">
        <v>31</v>
      </c>
    </row>
    <row r="54" spans="1:6" ht="12.75" hidden="1" outlineLevel="1">
      <c r="A54" s="6">
        <f t="shared" si="1"/>
        <v>54</v>
      </c>
      <c r="C54" s="298">
        <v>38384</v>
      </c>
      <c r="F54">
        <v>28</v>
      </c>
    </row>
    <row r="55" spans="1:6" ht="12.75" hidden="1" outlineLevel="1">
      <c r="A55" s="6">
        <f t="shared" si="1"/>
        <v>55</v>
      </c>
      <c r="C55" s="298">
        <v>38412</v>
      </c>
      <c r="F55">
        <v>31</v>
      </c>
    </row>
    <row r="56" spans="1:6" ht="12.75" hidden="1" outlineLevel="1">
      <c r="A56" s="6">
        <f t="shared" si="1"/>
        <v>56</v>
      </c>
      <c r="C56" s="298">
        <v>38443</v>
      </c>
      <c r="F56">
        <v>30</v>
      </c>
    </row>
    <row r="57" spans="1:6" ht="12.75" hidden="1" outlineLevel="1">
      <c r="A57" s="6">
        <f t="shared" si="1"/>
        <v>57</v>
      </c>
      <c r="C57" s="298">
        <v>38473</v>
      </c>
      <c r="F57">
        <v>31</v>
      </c>
    </row>
    <row r="58" spans="1:6" ht="12.75" hidden="1" outlineLevel="1">
      <c r="A58" s="6">
        <f t="shared" si="1"/>
        <v>58</v>
      </c>
      <c r="C58" s="298">
        <v>38504</v>
      </c>
      <c r="F58">
        <v>30</v>
      </c>
    </row>
    <row r="59" spans="1:9" ht="18.75" customHeight="1" collapsed="1">
      <c r="A59" s="310">
        <f t="shared" si="1"/>
        <v>59</v>
      </c>
      <c r="B59" s="311"/>
      <c r="C59" s="312">
        <v>38534</v>
      </c>
      <c r="D59" s="311"/>
      <c r="E59" s="311"/>
      <c r="F59" s="311">
        <v>31</v>
      </c>
      <c r="G59" s="311"/>
      <c r="H59" s="311"/>
      <c r="I59" s="311"/>
    </row>
    <row r="60" spans="1:6" ht="12.75">
      <c r="A60" s="6">
        <f t="shared" si="1"/>
        <v>60</v>
      </c>
      <c r="C60" s="298">
        <v>38565</v>
      </c>
      <c r="F60">
        <v>31</v>
      </c>
    </row>
    <row r="61" spans="1:6" ht="12.75">
      <c r="A61" s="6">
        <f t="shared" si="1"/>
        <v>61</v>
      </c>
      <c r="C61" s="298">
        <v>38596</v>
      </c>
      <c r="F61">
        <v>30</v>
      </c>
    </row>
    <row r="62" spans="1:6" ht="12.75">
      <c r="A62" s="6">
        <f t="shared" si="1"/>
        <v>62</v>
      </c>
      <c r="C62" s="298">
        <v>38626</v>
      </c>
      <c r="F62">
        <v>31</v>
      </c>
    </row>
    <row r="63" spans="1:6" ht="12.75">
      <c r="A63" s="6">
        <f t="shared" si="1"/>
        <v>63</v>
      </c>
      <c r="C63" s="298">
        <v>38657</v>
      </c>
      <c r="F63">
        <v>30</v>
      </c>
    </row>
    <row r="64" spans="1:6" ht="12.75">
      <c r="A64" s="6">
        <f t="shared" si="1"/>
        <v>64</v>
      </c>
      <c r="C64" s="298">
        <v>38687</v>
      </c>
      <c r="F64">
        <v>31</v>
      </c>
    </row>
    <row r="65" spans="1:6" ht="12.75">
      <c r="A65" s="6">
        <f t="shared" si="1"/>
        <v>65</v>
      </c>
      <c r="C65" s="298">
        <v>38718</v>
      </c>
      <c r="F65">
        <v>31</v>
      </c>
    </row>
    <row r="66" spans="1:6" ht="12.75">
      <c r="A66" s="6">
        <f t="shared" si="1"/>
        <v>66</v>
      </c>
      <c r="C66" s="298">
        <v>38749</v>
      </c>
      <c r="F66">
        <v>28</v>
      </c>
    </row>
    <row r="67" spans="1:6" ht="12.75">
      <c r="A67" s="6">
        <f t="shared" si="1"/>
        <v>67</v>
      </c>
      <c r="C67" s="298">
        <v>38777</v>
      </c>
      <c r="F67">
        <v>31</v>
      </c>
    </row>
    <row r="68" spans="1:6" ht="12.75">
      <c r="A68" s="6">
        <f t="shared" si="1"/>
        <v>68</v>
      </c>
      <c r="C68" s="298">
        <v>38808</v>
      </c>
      <c r="F68">
        <v>30</v>
      </c>
    </row>
    <row r="69" spans="1:6" ht="12.75">
      <c r="A69" s="6">
        <f t="shared" si="1"/>
        <v>69</v>
      </c>
      <c r="C69" s="298">
        <v>38838</v>
      </c>
      <c r="F69">
        <v>31</v>
      </c>
    </row>
    <row r="70" spans="1:6" ht="12.75">
      <c r="A70" s="6">
        <f t="shared" si="1"/>
        <v>70</v>
      </c>
      <c r="C70" s="298">
        <v>38869</v>
      </c>
      <c r="F70">
        <v>30</v>
      </c>
    </row>
  </sheetData>
  <printOptions/>
  <pageMargins left="0.89" right="0.75" top="0.88" bottom="1" header="0.5" footer="0.5"/>
  <pageSetup horizontalDpi="600" verticalDpi="600" orientation="portrait" scale="85" r:id="rId2"/>
  <headerFooter alignWithMargins="0">
    <oddHeader>&amp;LPCA Collaborative</oddHeader>
    <oddFooter>&amp;L&amp;F&amp;C&amp;A&amp;RPage 2 of 2</oddFooter>
  </headerFooter>
  <drawing r:id="rId1"/>
</worksheet>
</file>

<file path=xl/worksheets/sheet12.xml><?xml version="1.0" encoding="utf-8"?>
<worksheet xmlns="http://schemas.openxmlformats.org/spreadsheetml/2006/main" xmlns:r="http://schemas.openxmlformats.org/officeDocument/2006/relationships">
  <dimension ref="A1:F49"/>
  <sheetViews>
    <sheetView tabSelected="1" workbookViewId="0" topLeftCell="A31">
      <selection activeCell="A1" sqref="A1:F39"/>
    </sheetView>
  </sheetViews>
  <sheetFormatPr defaultColWidth="9.140625" defaultRowHeight="12.75"/>
  <cols>
    <col min="1" max="2" width="6.421875" style="6" customWidth="1"/>
    <col min="3" max="3" width="25.28125" style="0" customWidth="1"/>
    <col min="4" max="4" width="12.140625" style="0" customWidth="1"/>
    <col min="5" max="5" width="18.00390625" style="0" customWidth="1"/>
    <col min="6" max="6" width="26.8515625" style="0" customWidth="1"/>
    <col min="7" max="7" width="6.421875" style="0" customWidth="1"/>
    <col min="8" max="8" width="15.140625" style="0" customWidth="1"/>
    <col min="9" max="9" width="18.00390625" style="0" bestFit="1" customWidth="1"/>
    <col min="10" max="10" width="9.8515625" style="0" customWidth="1"/>
    <col min="12" max="12" width="10.421875" style="0" customWidth="1"/>
    <col min="13" max="13" width="9.28125" style="0" bestFit="1" customWidth="1"/>
    <col min="15" max="15" width="11.28125" style="0" customWidth="1"/>
  </cols>
  <sheetData>
    <row r="1" ht="18">
      <c r="C1" s="292" t="s">
        <v>443</v>
      </c>
    </row>
    <row r="2" ht="12.75">
      <c r="A2" s="6" t="s">
        <v>248</v>
      </c>
    </row>
    <row r="3" spans="1:2" ht="15.75">
      <c r="A3" s="6">
        <f>ROW()</f>
        <v>3</v>
      </c>
      <c r="B3" s="198" t="s">
        <v>444</v>
      </c>
    </row>
    <row r="4" ht="12.75">
      <c r="A4" s="6">
        <f>ROW()</f>
        <v>4</v>
      </c>
    </row>
    <row r="5" spans="1:6" ht="15.75">
      <c r="A5" s="6">
        <f>ROW()</f>
        <v>5</v>
      </c>
      <c r="C5" s="313" t="s">
        <v>445</v>
      </c>
      <c r="D5" s="325" t="s">
        <v>446</v>
      </c>
      <c r="E5" s="17"/>
      <c r="F5" s="17"/>
    </row>
    <row r="6" spans="1:6" ht="15.75">
      <c r="A6" s="6">
        <f>ROW()</f>
        <v>6</v>
      </c>
      <c r="C6" s="313" t="s">
        <v>123</v>
      </c>
      <c r="D6" s="325" t="s">
        <v>447</v>
      </c>
      <c r="E6" s="17"/>
      <c r="F6" s="17"/>
    </row>
    <row r="7" spans="1:6" ht="15.75">
      <c r="A7" s="6">
        <f>ROW()</f>
        <v>7</v>
      </c>
      <c r="C7" s="313"/>
      <c r="D7" s="325" t="s">
        <v>448</v>
      </c>
      <c r="E7" s="17"/>
      <c r="F7" s="17"/>
    </row>
    <row r="8" spans="1:6" ht="15.75">
      <c r="A8" s="6">
        <f>ROW()</f>
        <v>8</v>
      </c>
      <c r="C8" s="313"/>
      <c r="D8" s="325"/>
      <c r="E8" s="17"/>
      <c r="F8" s="17"/>
    </row>
    <row r="9" spans="1:4" ht="15.75">
      <c r="A9" s="6">
        <f>ROW()</f>
        <v>9</v>
      </c>
      <c r="C9" s="313"/>
      <c r="D9" s="326"/>
    </row>
    <row r="10" spans="1:6" ht="15.75">
      <c r="A10" s="6">
        <f>ROW()</f>
        <v>10</v>
      </c>
      <c r="C10" s="313" t="s">
        <v>371</v>
      </c>
      <c r="D10" s="325" t="s">
        <v>449</v>
      </c>
      <c r="E10" s="17"/>
      <c r="F10" s="159"/>
    </row>
    <row r="11" ht="12.75">
      <c r="A11" s="6">
        <f>ROW()</f>
        <v>11</v>
      </c>
    </row>
    <row r="12" ht="12.75">
      <c r="E12" s="6"/>
    </row>
    <row r="13" spans="1:4" ht="15.75">
      <c r="A13" s="6">
        <f>ROW()</f>
        <v>13</v>
      </c>
      <c r="B13" s="198" t="s">
        <v>269</v>
      </c>
      <c r="D13" s="162"/>
    </row>
    <row r="14" spans="1:5" ht="12.75">
      <c r="A14" s="6">
        <f>ROW()</f>
        <v>14</v>
      </c>
      <c r="C14" t="s">
        <v>270</v>
      </c>
      <c r="D14" s="168">
        <v>501</v>
      </c>
      <c r="E14" s="177">
        <v>0</v>
      </c>
    </row>
    <row r="15" spans="1:5" ht="12.75">
      <c r="A15" s="6">
        <f>ROW()</f>
        <v>15</v>
      </c>
      <c r="C15" t="s">
        <v>273</v>
      </c>
      <c r="D15" s="168">
        <v>547</v>
      </c>
      <c r="E15" s="323">
        <v>33000000</v>
      </c>
    </row>
    <row r="16" spans="1:5" ht="12.75">
      <c r="A16" s="6">
        <f>ROW()</f>
        <v>16</v>
      </c>
      <c r="C16" t="s">
        <v>274</v>
      </c>
      <c r="D16" s="168" t="s">
        <v>275</v>
      </c>
      <c r="E16" s="323">
        <v>0</v>
      </c>
    </row>
    <row r="17" spans="1:5" ht="12.75">
      <c r="A17" s="6">
        <f>ROW()</f>
        <v>17</v>
      </c>
      <c r="C17" t="s">
        <v>277</v>
      </c>
      <c r="D17" s="168">
        <v>555</v>
      </c>
      <c r="E17" s="323">
        <v>0</v>
      </c>
    </row>
    <row r="18" spans="1:5" ht="12.75">
      <c r="A18" s="6">
        <f>ROW()</f>
        <v>18</v>
      </c>
      <c r="C18" t="s">
        <v>278</v>
      </c>
      <c r="D18" s="168">
        <v>447</v>
      </c>
      <c r="E18" s="323">
        <v>0</v>
      </c>
    </row>
    <row r="19" spans="1:5" ht="12.75">
      <c r="A19" s="6">
        <f>ROW()</f>
        <v>19</v>
      </c>
      <c r="C19" t="s">
        <v>279</v>
      </c>
      <c r="D19" s="168">
        <v>565</v>
      </c>
      <c r="E19" s="323">
        <v>750000</v>
      </c>
    </row>
    <row r="20" spans="1:5" ht="20.25" customHeight="1">
      <c r="A20" s="6">
        <f>ROW()</f>
        <v>20</v>
      </c>
      <c r="C20" t="s">
        <v>280</v>
      </c>
      <c r="D20" s="168">
        <v>45600017</v>
      </c>
      <c r="E20" s="324">
        <v>0</v>
      </c>
    </row>
    <row r="21" spans="1:5" ht="12.75">
      <c r="A21" s="6">
        <f>ROW()</f>
        <v>21</v>
      </c>
      <c r="E21" s="174">
        <f>SUM(E14:E20)</f>
        <v>33750000</v>
      </c>
    </row>
    <row r="22" ht="12.75">
      <c r="A22" s="6">
        <f>ROW()</f>
        <v>22</v>
      </c>
    </row>
    <row r="23" spans="1:5" ht="12.75">
      <c r="A23" s="6">
        <f>ROW()</f>
        <v>23</v>
      </c>
      <c r="C23" t="s">
        <v>450</v>
      </c>
      <c r="D23" s="6" t="s">
        <v>451</v>
      </c>
      <c r="E23" s="323">
        <v>750000</v>
      </c>
    </row>
    <row r="24" spans="1:4" ht="12.75">
      <c r="A24" s="6">
        <f>ROW()</f>
        <v>24</v>
      </c>
      <c r="D24" s="6"/>
    </row>
    <row r="25" spans="1:5" ht="12.75">
      <c r="A25" s="6">
        <f>ROW()</f>
        <v>25</v>
      </c>
      <c r="C25" s="25" t="s">
        <v>452</v>
      </c>
      <c r="D25" s="143" t="s">
        <v>453</v>
      </c>
      <c r="E25" s="314">
        <f>+E21/E23</f>
        <v>45</v>
      </c>
    </row>
    <row r="26" spans="1:4" ht="12.75">
      <c r="A26" s="6">
        <f>ROW()</f>
        <v>26</v>
      </c>
      <c r="C26" t="s">
        <v>454</v>
      </c>
      <c r="D26" s="6"/>
    </row>
    <row r="27" spans="1:4" ht="12.75">
      <c r="A27" s="6">
        <f>ROW()</f>
        <v>27</v>
      </c>
      <c r="D27" s="6"/>
    </row>
    <row r="28" spans="1:5" ht="12.75">
      <c r="A28" s="6">
        <f>ROW()</f>
        <v>28</v>
      </c>
      <c r="C28" s="25" t="s">
        <v>455</v>
      </c>
      <c r="D28" s="143" t="s">
        <v>453</v>
      </c>
      <c r="E28" s="314">
        <v>44.482</v>
      </c>
    </row>
    <row r="29" ht="12.75">
      <c r="A29" s="6">
        <f>ROW()</f>
        <v>29</v>
      </c>
    </row>
    <row r="30" spans="1:5" ht="12.75">
      <c r="A30" s="6">
        <f>ROW()</f>
        <v>30</v>
      </c>
      <c r="C30" s="315" t="s">
        <v>456</v>
      </c>
      <c r="D30" s="316"/>
      <c r="E30" s="317"/>
    </row>
    <row r="31" spans="1:5" ht="12.75">
      <c r="A31" s="6">
        <f>ROW()</f>
        <v>31</v>
      </c>
      <c r="C31" s="318" t="str">
        <f>IF(E31=E25,C25,C28)</f>
        <v>Baseline Power Cost Rate</v>
      </c>
      <c r="D31" s="17"/>
      <c r="E31" s="319">
        <f>MIN(E28,E25)</f>
        <v>44.482</v>
      </c>
    </row>
    <row r="32" ht="12.75">
      <c r="A32" s="6">
        <f>ROW()</f>
        <v>32</v>
      </c>
    </row>
    <row r="33" spans="1:5" ht="15.75">
      <c r="A33" s="6">
        <f>ROW()</f>
        <v>33</v>
      </c>
      <c r="B33" s="320" t="s">
        <v>457</v>
      </c>
      <c r="E33" s="321" t="str">
        <f>IF(E31=E25,"No","Yes")</f>
        <v>Yes</v>
      </c>
    </row>
    <row r="34" spans="1:3" ht="12.75">
      <c r="A34" s="6">
        <f>ROW()</f>
        <v>34</v>
      </c>
      <c r="C34" s="35" t="s">
        <v>458</v>
      </c>
    </row>
    <row r="35" spans="1:5" ht="12.75">
      <c r="A35" s="6">
        <f>ROW()</f>
        <v>35</v>
      </c>
      <c r="E35" s="314"/>
    </row>
    <row r="36" spans="1:5" ht="12.75">
      <c r="A36" s="6">
        <f>ROW()</f>
        <v>36</v>
      </c>
      <c r="C36" t="s">
        <v>459</v>
      </c>
      <c r="D36" s="147" t="s">
        <v>453</v>
      </c>
      <c r="E36" s="322">
        <f>IF(E28&lt;E25,E28-E25,0)</f>
        <v>-0.5180000000000007</v>
      </c>
    </row>
    <row r="37" spans="1:5" ht="13.5" thickBot="1">
      <c r="A37" s="6">
        <f>ROW()</f>
        <v>37</v>
      </c>
      <c r="C37" t="s">
        <v>460</v>
      </c>
      <c r="D37" s="6" t="s">
        <v>451</v>
      </c>
      <c r="E37" s="159">
        <f>+E23</f>
        <v>750000</v>
      </c>
    </row>
    <row r="38" spans="1:6" ht="15.75" thickBot="1">
      <c r="A38" s="6">
        <f>ROW()</f>
        <v>38</v>
      </c>
      <c r="C38" s="25" t="s">
        <v>461</v>
      </c>
      <c r="D38" s="6" t="s">
        <v>462</v>
      </c>
      <c r="E38" s="306">
        <f>+E36*E23</f>
        <v>-388500.0000000005</v>
      </c>
      <c r="F38" t="s">
        <v>464</v>
      </c>
    </row>
    <row r="40" spans="1:2" ht="12.75">
      <c r="A40"/>
      <c r="B40"/>
    </row>
    <row r="41" spans="1:2" ht="12.75">
      <c r="A41"/>
      <c r="B41"/>
    </row>
    <row r="42" spans="1:2" ht="12.75">
      <c r="A42"/>
      <c r="B42"/>
    </row>
    <row r="43" spans="1:2" ht="12.75">
      <c r="A43"/>
      <c r="B43"/>
    </row>
    <row r="44" spans="1:2" ht="12.75">
      <c r="A44"/>
      <c r="B44"/>
    </row>
    <row r="45" spans="1:2" ht="12.75">
      <c r="A45"/>
      <c r="B45"/>
    </row>
    <row r="46" spans="1:2" ht="12.75">
      <c r="A46"/>
      <c r="B46"/>
    </row>
    <row r="47" spans="1:2" ht="12.75">
      <c r="A47"/>
      <c r="B47"/>
    </row>
    <row r="48" spans="1:2" ht="12.75">
      <c r="A48"/>
      <c r="B48"/>
    </row>
    <row r="49" spans="1:2" ht="12.75">
      <c r="A49"/>
      <c r="B49"/>
    </row>
  </sheetData>
  <printOptions/>
  <pageMargins left="0.75" right="0.36" top="1" bottom="1" header="0.5" footer="0.5"/>
  <pageSetup cellComments="asDisplayed" horizontalDpi="600" verticalDpi="600" orientation="portrait" scale="90" r:id="rId1"/>
  <headerFooter alignWithMargins="0">
    <oddHeader>&amp;LPCA Collaborative</oddHeader>
    <oddFooter>&amp;L&amp;F&amp;C&amp;A&amp;RPage 1 of 1</oddFooter>
  </headerFooter>
</worksheet>
</file>

<file path=xl/worksheets/sheet2.xml><?xml version="1.0" encoding="utf-8"?>
<worksheet xmlns="http://schemas.openxmlformats.org/spreadsheetml/2006/main" xmlns:r="http://schemas.openxmlformats.org/officeDocument/2006/relationships">
  <dimension ref="A1:G68"/>
  <sheetViews>
    <sheetView workbookViewId="0" topLeftCell="A1">
      <selection activeCell="B1" sqref="B1"/>
    </sheetView>
  </sheetViews>
  <sheetFormatPr defaultColWidth="9.140625" defaultRowHeight="12.75"/>
  <cols>
    <col min="1" max="1" width="7.00390625" style="0" customWidth="1"/>
    <col min="2" max="2" width="10.140625" style="0" customWidth="1"/>
    <col min="3" max="3" width="9.28125" style="0" customWidth="1"/>
    <col min="4" max="4" width="30.140625" style="0" customWidth="1"/>
    <col min="5" max="5" width="14.8515625" style="0" customWidth="1"/>
    <col min="6" max="6" width="16.28125" style="21" customWidth="1"/>
    <col min="7" max="7" width="16.57421875" style="0" customWidth="1"/>
    <col min="8" max="8" width="7.00390625" style="0" customWidth="1"/>
    <col min="9" max="9" width="1.8515625" style="0" customWidth="1"/>
    <col min="10" max="10" width="9.00390625" style="0" customWidth="1"/>
    <col min="11" max="11" width="8.00390625" style="0" customWidth="1"/>
    <col min="12" max="12" width="10.421875" style="0" customWidth="1"/>
    <col min="13" max="13" width="12.140625" style="0" customWidth="1"/>
  </cols>
  <sheetData>
    <row r="1" ht="18">
      <c r="B1" s="142" t="s">
        <v>250</v>
      </c>
    </row>
    <row r="3" ht="12.75">
      <c r="F3" s="22" t="s">
        <v>24</v>
      </c>
    </row>
    <row r="4" ht="12.75">
      <c r="F4" s="22" t="s">
        <v>25</v>
      </c>
    </row>
    <row r="5" ht="12.75">
      <c r="F5" s="22" t="s">
        <v>27</v>
      </c>
    </row>
    <row r="6" ht="12.75">
      <c r="F6" s="22" t="s">
        <v>28</v>
      </c>
    </row>
    <row r="7" spans="1:6" ht="12.75">
      <c r="A7" s="6" t="s">
        <v>248</v>
      </c>
      <c r="B7" t="s">
        <v>29</v>
      </c>
      <c r="E7" s="23" t="s">
        <v>30</v>
      </c>
      <c r="F7" s="24" t="s">
        <v>26</v>
      </c>
    </row>
    <row r="8" spans="1:2" ht="12.75">
      <c r="A8" s="6">
        <f>ROW()</f>
        <v>8</v>
      </c>
      <c r="B8" s="25" t="s">
        <v>31</v>
      </c>
    </row>
    <row r="9" ht="12.75">
      <c r="A9" s="6">
        <f>ROW()</f>
        <v>9</v>
      </c>
    </row>
    <row r="10" spans="1:6" ht="12.75">
      <c r="A10" s="6">
        <f>ROW()</f>
        <v>10</v>
      </c>
      <c r="B10" t="s">
        <v>32</v>
      </c>
      <c r="E10" s="26">
        <v>37072</v>
      </c>
      <c r="F10" s="21">
        <v>-15759774</v>
      </c>
    </row>
    <row r="11" spans="1:2" ht="12.75">
      <c r="A11" s="6">
        <f>ROW()</f>
        <v>11</v>
      </c>
      <c r="B11" s="25" t="s">
        <v>33</v>
      </c>
    </row>
    <row r="12" spans="1:2" ht="12.75">
      <c r="A12" s="6">
        <f>ROW()</f>
        <v>12</v>
      </c>
      <c r="B12" s="25" t="s">
        <v>34</v>
      </c>
    </row>
    <row r="13" ht="12.75">
      <c r="A13" s="6">
        <f>ROW()</f>
        <v>13</v>
      </c>
    </row>
    <row r="14" spans="1:2" ht="12.75">
      <c r="A14" s="6">
        <f>ROW()</f>
        <v>14</v>
      </c>
      <c r="B14" s="25" t="s">
        <v>35</v>
      </c>
    </row>
    <row r="15" spans="1:5" ht="12.75">
      <c r="A15" s="6">
        <f>ROW()</f>
        <v>15</v>
      </c>
      <c r="E15" s="23" t="s">
        <v>36</v>
      </c>
    </row>
    <row r="16" spans="1:5" ht="12.75">
      <c r="A16" s="6">
        <f>ROW()</f>
        <v>16</v>
      </c>
      <c r="B16" t="s">
        <v>37</v>
      </c>
      <c r="E16" s="28">
        <v>864630</v>
      </c>
    </row>
    <row r="17" spans="1:5" ht="12.75">
      <c r="A17" s="6">
        <f>ROW()</f>
        <v>17</v>
      </c>
      <c r="B17" t="s">
        <v>38</v>
      </c>
      <c r="E17" s="27">
        <v>1619726</v>
      </c>
    </row>
    <row r="18" spans="1:5" ht="12.75">
      <c r="A18" s="6">
        <f>ROW()</f>
        <v>18</v>
      </c>
      <c r="B18" t="s">
        <v>39</v>
      </c>
      <c r="E18" s="27"/>
    </row>
    <row r="19" spans="1:5" ht="12.75">
      <c r="A19" s="6">
        <f>ROW()</f>
        <v>19</v>
      </c>
      <c r="B19" t="s">
        <v>40</v>
      </c>
      <c r="E19" s="27">
        <v>1826626</v>
      </c>
    </row>
    <row r="20" spans="1:5" ht="12.75">
      <c r="A20" s="6">
        <f>ROW()</f>
        <v>20</v>
      </c>
      <c r="B20" t="s">
        <v>41</v>
      </c>
      <c r="E20" s="138">
        <v>127735</v>
      </c>
    </row>
    <row r="21" spans="1:5" ht="12.75">
      <c r="A21" s="6">
        <f>ROW()</f>
        <v>21</v>
      </c>
      <c r="B21" t="s">
        <v>42</v>
      </c>
      <c r="E21" s="13">
        <v>4438717</v>
      </c>
    </row>
    <row r="22" spans="1:5" ht="12.75">
      <c r="A22" s="6">
        <f>ROW()</f>
        <v>22</v>
      </c>
      <c r="E22" s="27"/>
    </row>
    <row r="23" spans="1:5" ht="12.75">
      <c r="A23" s="6">
        <f>ROW()</f>
        <v>23</v>
      </c>
      <c r="B23" t="s">
        <v>246</v>
      </c>
      <c r="E23" s="27">
        <v>41435360</v>
      </c>
    </row>
    <row r="24" ht="12.75">
      <c r="A24" s="6">
        <f>ROW()</f>
        <v>24</v>
      </c>
    </row>
    <row r="25" spans="1:2" ht="12.75">
      <c r="A25" s="6">
        <f>ROW()</f>
        <v>25</v>
      </c>
      <c r="B25" s="25" t="s">
        <v>43</v>
      </c>
    </row>
    <row r="26" ht="12.75">
      <c r="A26" s="6">
        <f>ROW()</f>
        <v>26</v>
      </c>
    </row>
    <row r="27" spans="1:7" ht="12.75">
      <c r="A27" s="6">
        <f>ROW()</f>
        <v>27</v>
      </c>
      <c r="D27" t="s">
        <v>44</v>
      </c>
      <c r="E27" t="s">
        <v>45</v>
      </c>
      <c r="F27" s="21" t="s">
        <v>46</v>
      </c>
      <c r="G27" t="s">
        <v>47</v>
      </c>
    </row>
    <row r="28" spans="1:7" ht="12.75">
      <c r="A28" s="6">
        <f>ROW()</f>
        <v>28</v>
      </c>
      <c r="C28" t="s">
        <v>48</v>
      </c>
      <c r="D28" t="s">
        <v>49</v>
      </c>
      <c r="E28" s="1">
        <v>685927</v>
      </c>
      <c r="F28" s="29">
        <v>264280.33</v>
      </c>
      <c r="G28" s="30">
        <v>17011</v>
      </c>
    </row>
    <row r="29" spans="1:7" ht="12.75">
      <c r="A29" s="6">
        <f>ROW()</f>
        <v>29</v>
      </c>
      <c r="C29" t="s">
        <v>50</v>
      </c>
      <c r="D29" t="s">
        <v>51</v>
      </c>
      <c r="E29" s="1">
        <v>1231131</v>
      </c>
      <c r="F29" s="29">
        <v>682186.38</v>
      </c>
      <c r="G29" s="30">
        <v>34964</v>
      </c>
    </row>
    <row r="30" spans="1:7" ht="12.75">
      <c r="A30" s="6">
        <f>ROW()</f>
        <v>30</v>
      </c>
      <c r="C30" t="s">
        <v>52</v>
      </c>
      <c r="D30" t="s">
        <v>53</v>
      </c>
      <c r="E30" s="1">
        <v>14474343</v>
      </c>
      <c r="F30" s="29">
        <v>5917036</v>
      </c>
      <c r="G30" s="30">
        <v>374885</v>
      </c>
    </row>
    <row r="31" spans="1:7" ht="12.75">
      <c r="A31" s="6">
        <f>ROW()</f>
        <v>31</v>
      </c>
      <c r="C31" t="s">
        <v>54</v>
      </c>
      <c r="D31" t="s">
        <v>55</v>
      </c>
      <c r="E31" s="1">
        <v>49007</v>
      </c>
      <c r="F31" s="29">
        <v>39833.67</v>
      </c>
      <c r="G31" s="30">
        <v>774</v>
      </c>
    </row>
    <row r="32" spans="1:7" ht="12.75">
      <c r="A32" s="6">
        <f>ROW()</f>
        <v>32</v>
      </c>
      <c r="C32" t="s">
        <v>56</v>
      </c>
      <c r="D32" t="s">
        <v>57</v>
      </c>
      <c r="E32" s="1">
        <v>13158153</v>
      </c>
      <c r="F32" s="29">
        <v>5749080</v>
      </c>
      <c r="G32" s="30">
        <v>369744</v>
      </c>
    </row>
    <row r="33" spans="1:7" ht="12.75">
      <c r="A33" s="6">
        <f>ROW()</f>
        <v>33</v>
      </c>
      <c r="C33" t="s">
        <v>58</v>
      </c>
      <c r="D33" t="s">
        <v>59</v>
      </c>
      <c r="E33" s="2">
        <v>113968</v>
      </c>
      <c r="F33" s="31">
        <v>43838.84</v>
      </c>
      <c r="G33" s="32">
        <v>2872</v>
      </c>
    </row>
    <row r="34" spans="1:7" ht="12.75">
      <c r="A34" s="6">
        <f>ROW()</f>
        <v>34</v>
      </c>
      <c r="B34" t="s">
        <v>60</v>
      </c>
      <c r="E34" s="4">
        <f>SUM(E28:E33)</f>
        <v>29712529</v>
      </c>
      <c r="F34" s="33">
        <f>SUM(F28:F33)</f>
        <v>12696255.219999999</v>
      </c>
      <c r="G34" s="33">
        <f>SUM(G28:G33)</f>
        <v>800250</v>
      </c>
    </row>
    <row r="35" spans="1:7" ht="12.75">
      <c r="A35" s="6">
        <f>ROW()</f>
        <v>35</v>
      </c>
      <c r="F35" s="34"/>
      <c r="G35" s="35"/>
    </row>
    <row r="36" spans="1:7" ht="12.75">
      <c r="A36" s="6">
        <f>ROW()</f>
        <v>36</v>
      </c>
      <c r="D36" t="s">
        <v>61</v>
      </c>
      <c r="E36" s="1"/>
      <c r="F36" s="36"/>
      <c r="G36" s="36"/>
    </row>
    <row r="37" spans="1:7" ht="12.75">
      <c r="A37" s="6">
        <f>ROW()</f>
        <v>37</v>
      </c>
      <c r="C37" t="s">
        <v>48</v>
      </c>
      <c r="D37" t="s">
        <v>49</v>
      </c>
      <c r="E37" s="1">
        <v>1071124</v>
      </c>
      <c r="F37" s="29">
        <v>396584.8</v>
      </c>
      <c r="G37" s="30">
        <v>27314</v>
      </c>
    </row>
    <row r="38" spans="1:7" ht="12.75">
      <c r="A38" s="6">
        <f>ROW()</f>
        <v>38</v>
      </c>
      <c r="C38" t="s">
        <v>62</v>
      </c>
      <c r="D38" t="s">
        <v>63</v>
      </c>
      <c r="E38" s="1">
        <v>478326</v>
      </c>
      <c r="F38" s="29">
        <v>188636.39</v>
      </c>
      <c r="G38" s="30">
        <v>11719</v>
      </c>
    </row>
    <row r="39" spans="1:7" ht="12.75">
      <c r="A39" s="6">
        <f>ROW()</f>
        <v>39</v>
      </c>
      <c r="C39" t="s">
        <v>50</v>
      </c>
      <c r="D39" t="s">
        <v>51</v>
      </c>
      <c r="E39" s="1">
        <v>17687015</v>
      </c>
      <c r="F39" s="29">
        <v>6706154</v>
      </c>
      <c r="G39" s="30">
        <v>578365</v>
      </c>
    </row>
    <row r="40" spans="1:7" ht="12.75">
      <c r="A40" s="6">
        <f>ROW()</f>
        <v>40</v>
      </c>
      <c r="C40" t="s">
        <v>52</v>
      </c>
      <c r="D40" t="s">
        <v>53</v>
      </c>
      <c r="E40" s="1">
        <v>20422516</v>
      </c>
      <c r="F40" s="29">
        <v>8020387</v>
      </c>
      <c r="G40" s="30">
        <v>541197</v>
      </c>
    </row>
    <row r="41" spans="1:7" ht="12.75">
      <c r="A41" s="6">
        <f>ROW()</f>
        <v>41</v>
      </c>
      <c r="C41" t="s">
        <v>54</v>
      </c>
      <c r="D41" t="s">
        <v>55</v>
      </c>
      <c r="E41" s="1">
        <v>122619</v>
      </c>
      <c r="F41" s="29">
        <v>58219.84</v>
      </c>
      <c r="G41" s="30">
        <v>3298</v>
      </c>
    </row>
    <row r="42" spans="1:7" ht="12.75">
      <c r="A42" s="6">
        <f>ROW()</f>
        <v>42</v>
      </c>
      <c r="C42" t="s">
        <v>56</v>
      </c>
      <c r="D42" t="s">
        <v>64</v>
      </c>
      <c r="E42" s="1">
        <v>20015734</v>
      </c>
      <c r="F42" s="29">
        <v>8474189</v>
      </c>
      <c r="G42" s="30">
        <v>572450</v>
      </c>
    </row>
    <row r="43" spans="1:7" ht="12.75">
      <c r="A43" s="6">
        <f>ROW()</f>
        <v>43</v>
      </c>
      <c r="C43" t="s">
        <v>58</v>
      </c>
      <c r="D43" t="s">
        <v>59</v>
      </c>
      <c r="E43" s="2">
        <v>341015</v>
      </c>
      <c r="F43" s="31">
        <v>127820.39</v>
      </c>
      <c r="G43" s="32">
        <v>8730</v>
      </c>
    </row>
    <row r="44" spans="1:7" ht="12.75">
      <c r="A44" s="6">
        <f>ROW()</f>
        <v>44</v>
      </c>
      <c r="B44" t="s">
        <v>65</v>
      </c>
      <c r="E44" s="1">
        <f>SUM(E37:E43)</f>
        <v>60138349</v>
      </c>
      <c r="F44" s="36">
        <f>SUM(F37:F43)</f>
        <v>23971991.42</v>
      </c>
      <c r="G44" s="36">
        <f>SUM(G37:G43)</f>
        <v>1743073</v>
      </c>
    </row>
    <row r="45" spans="1:7" ht="12.75">
      <c r="A45" s="6">
        <f>ROW()</f>
        <v>45</v>
      </c>
      <c r="E45" s="1"/>
      <c r="F45" s="36"/>
      <c r="G45" s="36"/>
    </row>
    <row r="46" spans="1:7" ht="12.75">
      <c r="A46" s="6">
        <f>ROW()</f>
        <v>46</v>
      </c>
      <c r="D46" t="s">
        <v>66</v>
      </c>
      <c r="E46" s="1"/>
      <c r="F46" s="36"/>
      <c r="G46" s="36"/>
    </row>
    <row r="47" spans="1:7" ht="12.75">
      <c r="A47" s="6">
        <f>ROW()</f>
        <v>47</v>
      </c>
      <c r="C47" t="s">
        <v>62</v>
      </c>
      <c r="D47" t="s">
        <v>63</v>
      </c>
      <c r="E47" s="1">
        <v>1276264</v>
      </c>
      <c r="F47" s="29">
        <v>183546.59</v>
      </c>
      <c r="G47" s="36">
        <v>22845</v>
      </c>
    </row>
    <row r="48" spans="1:7" ht="12.75">
      <c r="A48" s="6">
        <f>ROW()</f>
        <v>48</v>
      </c>
      <c r="C48" t="s">
        <v>50</v>
      </c>
      <c r="D48" t="s">
        <v>51</v>
      </c>
      <c r="E48" s="1">
        <v>31157075</v>
      </c>
      <c r="F48" s="29">
        <v>5529150</v>
      </c>
      <c r="G48" s="36">
        <v>716613</v>
      </c>
    </row>
    <row r="49" spans="1:7" ht="12.75">
      <c r="A49" s="6">
        <f>ROW()</f>
        <v>49</v>
      </c>
      <c r="C49" t="s">
        <v>52</v>
      </c>
      <c r="D49" t="s">
        <v>53</v>
      </c>
      <c r="E49" s="1">
        <v>22781417</v>
      </c>
      <c r="F49" s="29">
        <v>3276322.35</v>
      </c>
      <c r="G49" s="36">
        <v>430569</v>
      </c>
    </row>
    <row r="50" spans="1:7" ht="12.75">
      <c r="A50" s="6">
        <f>ROW()</f>
        <v>50</v>
      </c>
      <c r="C50" t="s">
        <v>54</v>
      </c>
      <c r="D50" t="s">
        <v>55</v>
      </c>
      <c r="E50" s="1">
        <v>204200</v>
      </c>
      <c r="F50" s="29">
        <v>19786.98</v>
      </c>
      <c r="G50" s="36">
        <v>5268</v>
      </c>
    </row>
    <row r="51" spans="1:7" ht="12.75">
      <c r="A51" s="6">
        <f>ROW()</f>
        <v>51</v>
      </c>
      <c r="C51" t="s">
        <v>56</v>
      </c>
      <c r="D51" t="s">
        <v>67</v>
      </c>
      <c r="E51" s="1">
        <v>23458461</v>
      </c>
      <c r="F51" s="29">
        <v>4528227.47</v>
      </c>
      <c r="G51" s="36">
        <v>609920</v>
      </c>
    </row>
    <row r="52" spans="1:7" ht="12.75">
      <c r="A52" s="6">
        <f>ROW()</f>
        <v>52</v>
      </c>
      <c r="C52" t="s">
        <v>58</v>
      </c>
      <c r="D52" t="s">
        <v>59</v>
      </c>
      <c r="E52" s="2">
        <v>59215</v>
      </c>
      <c r="F52" s="31">
        <v>4140.89</v>
      </c>
      <c r="G52" s="37">
        <v>628</v>
      </c>
    </row>
    <row r="53" spans="1:7" ht="12.75">
      <c r="A53" s="6">
        <f>ROW()</f>
        <v>53</v>
      </c>
      <c r="B53" t="s">
        <v>68</v>
      </c>
      <c r="E53" s="1">
        <f>SUM(E47:E52)</f>
        <v>78936632</v>
      </c>
      <c r="F53" s="36">
        <f>SUM(F47:F52)</f>
        <v>13541174.280000001</v>
      </c>
      <c r="G53" s="36">
        <f>SUM(G47:G52)</f>
        <v>1785843</v>
      </c>
    </row>
    <row r="54" spans="1:7" ht="12.75">
      <c r="A54" s="6">
        <f>ROW()</f>
        <v>54</v>
      </c>
      <c r="F54" s="34"/>
      <c r="G54" s="35"/>
    </row>
    <row r="55" spans="1:7" ht="12.75">
      <c r="A55" s="6">
        <f>ROW()</f>
        <v>55</v>
      </c>
      <c r="D55" t="s">
        <v>69</v>
      </c>
      <c r="F55" s="34"/>
      <c r="G55" s="35"/>
    </row>
    <row r="56" spans="1:7" ht="12.75">
      <c r="A56" s="6">
        <f>ROW()</f>
        <v>56</v>
      </c>
      <c r="C56" t="s">
        <v>48</v>
      </c>
      <c r="D56" t="s">
        <v>70</v>
      </c>
      <c r="F56" s="29">
        <v>0</v>
      </c>
      <c r="G56" s="36">
        <v>0</v>
      </c>
    </row>
    <row r="57" spans="1:7" ht="12.75">
      <c r="A57" s="6">
        <f>ROW()</f>
        <v>57</v>
      </c>
      <c r="C57" t="s">
        <v>52</v>
      </c>
      <c r="D57" t="s">
        <v>71</v>
      </c>
      <c r="E57" s="1">
        <v>5744097</v>
      </c>
      <c r="F57" s="29">
        <f>526416.08+7187.93</f>
        <v>533604.01</v>
      </c>
      <c r="G57" s="36">
        <v>106840</v>
      </c>
    </row>
    <row r="58" spans="1:7" ht="12.75">
      <c r="A58" s="6">
        <f>ROW()</f>
        <v>58</v>
      </c>
      <c r="C58" t="s">
        <v>54</v>
      </c>
      <c r="D58" t="s">
        <v>72</v>
      </c>
      <c r="E58" s="1">
        <v>11219</v>
      </c>
      <c r="F58" s="29">
        <v>1701.95</v>
      </c>
      <c r="G58" s="36">
        <v>289</v>
      </c>
    </row>
    <row r="59" spans="1:7" ht="12.75">
      <c r="A59" s="6">
        <f>ROW()</f>
        <v>59</v>
      </c>
      <c r="C59" t="s">
        <v>56</v>
      </c>
      <c r="D59" t="s">
        <v>73</v>
      </c>
      <c r="E59" s="1">
        <v>7460099</v>
      </c>
      <c r="F59" s="29">
        <f>895017.41+9335.26</f>
        <v>904352.67</v>
      </c>
      <c r="G59" s="36">
        <v>193963</v>
      </c>
    </row>
    <row r="60" spans="1:7" ht="12.75">
      <c r="A60" s="6">
        <f>ROW()</f>
        <v>60</v>
      </c>
      <c r="C60" t="s">
        <v>54</v>
      </c>
      <c r="D60" t="s">
        <v>74</v>
      </c>
      <c r="E60" s="1">
        <v>3398685</v>
      </c>
      <c r="F60" s="29">
        <v>416679.82</v>
      </c>
      <c r="G60" s="36">
        <v>87686</v>
      </c>
    </row>
    <row r="61" spans="1:7" ht="12.75">
      <c r="A61" s="6">
        <f>ROW()</f>
        <v>61</v>
      </c>
      <c r="C61" t="s">
        <v>56</v>
      </c>
      <c r="D61" t="s">
        <v>75</v>
      </c>
      <c r="E61" s="2">
        <v>5142699</v>
      </c>
      <c r="F61" s="31">
        <v>501238.76</v>
      </c>
      <c r="G61" s="37">
        <v>133710</v>
      </c>
    </row>
    <row r="62" spans="1:7" ht="12.75">
      <c r="A62" s="6">
        <f>ROW()</f>
        <v>62</v>
      </c>
      <c r="B62" t="s">
        <v>76</v>
      </c>
      <c r="E62" s="1">
        <f>SUM(E57:E61)</f>
        <v>21756799</v>
      </c>
      <c r="F62" s="36">
        <f>SUM(F57:F61)</f>
        <v>2357577.21</v>
      </c>
      <c r="G62" s="36">
        <f>SUM(G57:G61)</f>
        <v>522488</v>
      </c>
    </row>
    <row r="63" spans="1:7" ht="12.75">
      <c r="A63" s="6">
        <f>ROW()</f>
        <v>63</v>
      </c>
      <c r="E63" s="1"/>
      <c r="F63" s="1"/>
      <c r="G63" s="1"/>
    </row>
    <row r="64" spans="1:7" ht="12.75">
      <c r="A64" s="6">
        <f>ROW()</f>
        <v>64</v>
      </c>
      <c r="B64" t="s">
        <v>77</v>
      </c>
      <c r="E64" s="19">
        <f>E62+E53+E44+E34</f>
        <v>190544309</v>
      </c>
      <c r="F64" s="19">
        <f>F62+F53+F44+F34</f>
        <v>52566998.13</v>
      </c>
      <c r="G64" s="19">
        <f>G62+G53+G44+G34</f>
        <v>4851654</v>
      </c>
    </row>
    <row r="65" spans="1:2" ht="12.75">
      <c r="A65" s="6">
        <f>ROW()</f>
        <v>65</v>
      </c>
      <c r="B65" t="s">
        <v>78</v>
      </c>
    </row>
    <row r="66" spans="1:5" ht="12.75">
      <c r="A66" s="6">
        <f>ROW()</f>
        <v>66</v>
      </c>
      <c r="B66" t="s">
        <v>79</v>
      </c>
      <c r="E66" s="19">
        <f>F64</f>
        <v>52566998.13</v>
      </c>
    </row>
    <row r="67" spans="1:5" ht="12.75">
      <c r="A67" s="6">
        <f>ROW()</f>
        <v>67</v>
      </c>
      <c r="B67" t="s">
        <v>80</v>
      </c>
      <c r="E67" s="38">
        <f>-F10</f>
        <v>15759774</v>
      </c>
    </row>
    <row r="68" spans="1:5" ht="12.75">
      <c r="A68" s="6">
        <f>ROW()</f>
        <v>68</v>
      </c>
      <c r="B68" t="s">
        <v>81</v>
      </c>
      <c r="E68" s="1">
        <f>E64-E66-E67</f>
        <v>122217536.87</v>
      </c>
    </row>
  </sheetData>
  <printOptions/>
  <pageMargins left="0.94" right="0.22" top="1" bottom="0.88" header="0.5" footer="0.38"/>
  <pageSetup horizontalDpi="600" verticalDpi="600" orientation="portrait" scale="70" r:id="rId1"/>
  <headerFooter alignWithMargins="0">
    <oddHeader>&amp;L
PCA Collaborative</oddHeader>
    <oddFooter>&amp;C&amp;A&amp;RPage 1 of 1</oddFooter>
  </headerFooter>
</worksheet>
</file>

<file path=xl/worksheets/sheet3.xml><?xml version="1.0" encoding="utf-8"?>
<worksheet xmlns="http://schemas.openxmlformats.org/spreadsheetml/2006/main" xmlns:r="http://schemas.openxmlformats.org/officeDocument/2006/relationships">
  <dimension ref="A1:T97"/>
  <sheetViews>
    <sheetView workbookViewId="0" topLeftCell="A66">
      <selection activeCell="P72" sqref="P72"/>
    </sheetView>
  </sheetViews>
  <sheetFormatPr defaultColWidth="9.140625" defaultRowHeight="12.75"/>
  <cols>
    <col min="1" max="1" width="9.140625" style="147" customWidth="1"/>
    <col min="2" max="2" width="11.140625" style="35" customWidth="1"/>
    <col min="3" max="3" width="26.28125" style="35" customWidth="1"/>
    <col min="4" max="4" width="13.00390625" style="35" customWidth="1"/>
    <col min="5" max="15" width="12.28125" style="35" hidden="1" customWidth="1"/>
    <col min="16" max="16" width="12.140625" style="35" customWidth="1"/>
    <col min="17" max="17" width="12.8515625" style="35" customWidth="1"/>
    <col min="18" max="18" width="7.57421875" style="35" customWidth="1"/>
    <col min="19" max="20" width="13.00390625" style="35" customWidth="1"/>
    <col min="21" max="16384" width="9.140625" style="35" customWidth="1"/>
  </cols>
  <sheetData>
    <row r="1" spans="1:7" ht="18">
      <c r="A1" s="6"/>
      <c r="B1" s="142" t="s">
        <v>251</v>
      </c>
      <c r="G1" s="21"/>
    </row>
    <row r="2" ht="12.75">
      <c r="A2" s="147" t="s">
        <v>248</v>
      </c>
    </row>
    <row r="3" spans="2:20" ht="12.75">
      <c r="B3" s="146" t="s">
        <v>104</v>
      </c>
      <c r="T3" s="255" t="s">
        <v>368</v>
      </c>
    </row>
    <row r="4" spans="1:4" ht="12.75">
      <c r="A4" s="147">
        <f>ROW()</f>
        <v>4</v>
      </c>
      <c r="C4" s="35" t="s">
        <v>105</v>
      </c>
      <c r="D4" s="36">
        <f>D63</f>
        <v>647044432.07</v>
      </c>
    </row>
    <row r="5" spans="1:4" ht="12.75">
      <c r="A5" s="147">
        <f>ROW()</f>
        <v>5</v>
      </c>
      <c r="C5" s="35" t="s">
        <v>106</v>
      </c>
      <c r="D5" s="36">
        <f>-T63</f>
        <v>-329162408.73</v>
      </c>
    </row>
    <row r="6" spans="1:4" ht="12.75">
      <c r="A6" s="147">
        <f>ROW()</f>
        <v>6</v>
      </c>
      <c r="C6" s="35" t="s">
        <v>107</v>
      </c>
      <c r="D6" s="37">
        <f>-93634221</f>
        <v>-93634221</v>
      </c>
    </row>
    <row r="7" spans="1:4" ht="12.75">
      <c r="A7" s="147">
        <f>ROW()</f>
        <v>7</v>
      </c>
      <c r="C7" s="35" t="s">
        <v>108</v>
      </c>
      <c r="D7" s="41">
        <f>SUM(D4:D6)</f>
        <v>224247802.34000003</v>
      </c>
    </row>
    <row r="8" spans="1:4" ht="12.75">
      <c r="A8" s="147">
        <f>ROW()</f>
        <v>8</v>
      </c>
      <c r="C8" s="35" t="s">
        <v>109</v>
      </c>
      <c r="D8" s="42">
        <v>0.073</v>
      </c>
    </row>
    <row r="9" spans="1:4" ht="12.75">
      <c r="A9" s="147">
        <f>ROW()</f>
        <v>9</v>
      </c>
      <c r="C9" s="35" t="s">
        <v>110</v>
      </c>
      <c r="D9" s="43">
        <f>D7*D8</f>
        <v>16370089.570820002</v>
      </c>
    </row>
    <row r="10" spans="1:16" ht="12.75">
      <c r="A10" s="147">
        <f>ROW()</f>
        <v>10</v>
      </c>
      <c r="C10" s="35" t="s">
        <v>111</v>
      </c>
      <c r="D10" s="43">
        <f>D9/0.65</f>
        <v>25184753.185876925</v>
      </c>
      <c r="P10" s="35" t="s">
        <v>112</v>
      </c>
    </row>
    <row r="11" spans="1:4" ht="12.75">
      <c r="A11" s="147">
        <f>ROW()</f>
        <v>11</v>
      </c>
      <c r="C11" s="35" t="s">
        <v>113</v>
      </c>
      <c r="D11" s="44">
        <f>D96</f>
        <v>52329883.51</v>
      </c>
    </row>
    <row r="12" spans="1:16" ht="12.75">
      <c r="A12" s="147">
        <f>ROW()</f>
        <v>12</v>
      </c>
      <c r="C12" s="35" t="s">
        <v>114</v>
      </c>
      <c r="D12" s="43">
        <f>D11+D10</f>
        <v>77514636.69587693</v>
      </c>
      <c r="P12" s="35" t="s">
        <v>115</v>
      </c>
    </row>
    <row r="13" ht="12.75">
      <c r="A13" s="147">
        <f>ROW()</f>
        <v>13</v>
      </c>
    </row>
    <row r="14" spans="1:2" ht="13.5" customHeight="1">
      <c r="A14" s="147">
        <f>ROW()</f>
        <v>14</v>
      </c>
      <c r="B14" s="35" t="s">
        <v>242</v>
      </c>
    </row>
    <row r="15" spans="1:20" s="49" customFormat="1" ht="22.5">
      <c r="A15" s="147">
        <f>ROW()</f>
        <v>15</v>
      </c>
      <c r="B15" s="45" t="s">
        <v>82</v>
      </c>
      <c r="C15" s="45" t="s">
        <v>83</v>
      </c>
      <c r="D15" s="46">
        <v>36707</v>
      </c>
      <c r="E15" s="46">
        <v>36738</v>
      </c>
      <c r="F15" s="46">
        <v>36769</v>
      </c>
      <c r="G15" s="46">
        <v>36799</v>
      </c>
      <c r="H15" s="46">
        <v>36830</v>
      </c>
      <c r="I15" s="46">
        <v>36860</v>
      </c>
      <c r="J15" s="46">
        <v>36891</v>
      </c>
      <c r="K15" s="46">
        <v>36922</v>
      </c>
      <c r="L15" s="46">
        <v>36950</v>
      </c>
      <c r="M15" s="46">
        <v>36981</v>
      </c>
      <c r="N15" s="46">
        <v>37011</v>
      </c>
      <c r="O15" s="46">
        <v>37042</v>
      </c>
      <c r="P15" s="46">
        <v>37072</v>
      </c>
      <c r="Q15" s="45" t="s">
        <v>84</v>
      </c>
      <c r="R15" s="47" t="s">
        <v>85</v>
      </c>
      <c r="S15" s="45" t="s">
        <v>86</v>
      </c>
      <c r="T15" s="48" t="s">
        <v>87</v>
      </c>
    </row>
    <row r="16" spans="1:20" s="54" customFormat="1" ht="12.75">
      <c r="A16" s="147">
        <f>ROW()</f>
        <v>16</v>
      </c>
      <c r="B16" s="50"/>
      <c r="C16" s="51" t="s">
        <v>88</v>
      </c>
      <c r="D16" s="52"/>
      <c r="E16" s="52"/>
      <c r="F16" s="52"/>
      <c r="G16" s="52"/>
      <c r="H16" s="52"/>
      <c r="I16" s="52"/>
      <c r="J16" s="52"/>
      <c r="K16" s="52"/>
      <c r="L16" s="52"/>
      <c r="M16" s="52"/>
      <c r="N16" s="52"/>
      <c r="O16" s="52"/>
      <c r="P16" s="52"/>
      <c r="Q16" s="30"/>
      <c r="R16" s="53"/>
      <c r="S16" s="30"/>
      <c r="T16" s="29"/>
    </row>
    <row r="17" spans="1:20" s="54" customFormat="1" ht="12.75">
      <c r="A17" s="147">
        <f>ROW()</f>
        <v>17</v>
      </c>
      <c r="B17" s="50" t="s">
        <v>89</v>
      </c>
      <c r="C17" s="51" t="s">
        <v>63</v>
      </c>
      <c r="D17" s="52">
        <v>6931939</v>
      </c>
      <c r="E17" s="52">
        <v>6931939</v>
      </c>
      <c r="F17" s="52">
        <v>6931939</v>
      </c>
      <c r="G17" s="52">
        <v>6931939</v>
      </c>
      <c r="H17" s="52">
        <v>6931939</v>
      </c>
      <c r="I17" s="52">
        <v>6931939</v>
      </c>
      <c r="J17" s="52">
        <v>7097390</v>
      </c>
      <c r="K17" s="52">
        <v>7097390</v>
      </c>
      <c r="L17" s="52">
        <v>7097390</v>
      </c>
      <c r="M17" s="52">
        <v>7097390</v>
      </c>
      <c r="N17" s="52">
        <v>7097390</v>
      </c>
      <c r="O17" s="52">
        <v>7097390</v>
      </c>
      <c r="P17" s="52">
        <v>7097390</v>
      </c>
      <c r="Q17" s="30">
        <f>ROUND(((D17+P17)+(SUM(E17:O17)*2))/24,0)</f>
        <v>7021558</v>
      </c>
      <c r="R17" s="55">
        <v>0.0303</v>
      </c>
      <c r="S17" s="30">
        <f>ROUND(Q17*R17,0)</f>
        <v>212753</v>
      </c>
      <c r="T17" s="29">
        <v>4519381.54</v>
      </c>
    </row>
    <row r="18" spans="1:20" s="54" customFormat="1" ht="12.75">
      <c r="A18" s="147">
        <f>ROW()</f>
        <v>18</v>
      </c>
      <c r="B18" s="50" t="s">
        <v>90</v>
      </c>
      <c r="C18" s="51" t="s">
        <v>91</v>
      </c>
      <c r="D18" s="52">
        <v>46965650</v>
      </c>
      <c r="E18" s="52">
        <v>46965650</v>
      </c>
      <c r="F18" s="52">
        <v>46965650</v>
      </c>
      <c r="G18" s="52">
        <v>48284938</v>
      </c>
      <c r="H18" s="52">
        <v>48284938</v>
      </c>
      <c r="I18" s="52">
        <v>49448625</v>
      </c>
      <c r="J18" s="52">
        <v>45951547</v>
      </c>
      <c r="K18" s="52">
        <v>45951547</v>
      </c>
      <c r="L18" s="52">
        <v>45951547</v>
      </c>
      <c r="M18" s="52">
        <v>45951547</v>
      </c>
      <c r="N18" s="52">
        <v>47283258</v>
      </c>
      <c r="O18" s="52">
        <v>47283258</v>
      </c>
      <c r="P18" s="52">
        <v>48224007</v>
      </c>
      <c r="Q18" s="30">
        <f>ROUND(((D18+P18)+(SUM(E18:O18)*2))/24,0)</f>
        <v>47159778</v>
      </c>
      <c r="R18" s="55">
        <v>0.0312</v>
      </c>
      <c r="S18" s="30">
        <f>ROUND(Q18*R18,0)</f>
        <v>1471385</v>
      </c>
      <c r="T18" s="29">
        <v>30962573</v>
      </c>
    </row>
    <row r="19" spans="1:20" s="54" customFormat="1" ht="12.75">
      <c r="A19" s="147">
        <f>ROW()</f>
        <v>19</v>
      </c>
      <c r="B19" s="50" t="s">
        <v>92</v>
      </c>
      <c r="C19" s="51" t="s">
        <v>93</v>
      </c>
      <c r="D19" s="52">
        <v>12437937</v>
      </c>
      <c r="E19" s="52">
        <v>12437937</v>
      </c>
      <c r="F19" s="52">
        <v>12437937</v>
      </c>
      <c r="G19" s="52">
        <v>12437937</v>
      </c>
      <c r="H19" s="52">
        <v>12437937</v>
      </c>
      <c r="I19" s="52">
        <v>12437937</v>
      </c>
      <c r="J19" s="52">
        <v>12437937</v>
      </c>
      <c r="K19" s="52">
        <v>12437937</v>
      </c>
      <c r="L19" s="52">
        <v>12437937</v>
      </c>
      <c r="M19" s="52">
        <v>12437937</v>
      </c>
      <c r="N19" s="52">
        <v>12437937</v>
      </c>
      <c r="O19" s="52">
        <v>12437937</v>
      </c>
      <c r="P19" s="52">
        <v>12437937</v>
      </c>
      <c r="Q19" s="30">
        <f>ROUND(((D19+P19)+(SUM(E19:O19)*2))/24,0)</f>
        <v>12437937</v>
      </c>
      <c r="R19" s="55">
        <v>0.0329</v>
      </c>
      <c r="S19" s="30">
        <f>ROUND(Q19*R19,0)</f>
        <v>409208</v>
      </c>
      <c r="T19" s="29">
        <v>8005683</v>
      </c>
    </row>
    <row r="20" spans="1:20" s="54" customFormat="1" ht="12.75">
      <c r="A20" s="147">
        <f>ROW()</f>
        <v>20</v>
      </c>
      <c r="B20" s="50" t="s">
        <v>94</v>
      </c>
      <c r="C20" s="51" t="s">
        <v>95</v>
      </c>
      <c r="D20" s="52">
        <v>7042053</v>
      </c>
      <c r="E20" s="52">
        <v>7042053</v>
      </c>
      <c r="F20" s="52">
        <v>7042053</v>
      </c>
      <c r="G20" s="52">
        <v>7042053</v>
      </c>
      <c r="H20" s="52">
        <v>7042053</v>
      </c>
      <c r="I20" s="52">
        <v>7042053</v>
      </c>
      <c r="J20" s="52">
        <v>7043604</v>
      </c>
      <c r="K20" s="52">
        <v>7043604</v>
      </c>
      <c r="L20" s="52">
        <v>7043604</v>
      </c>
      <c r="M20" s="52">
        <v>7043604</v>
      </c>
      <c r="N20" s="52">
        <v>7043604</v>
      </c>
      <c r="O20" s="52">
        <v>7043604</v>
      </c>
      <c r="P20" s="52">
        <v>7043604</v>
      </c>
      <c r="Q20" s="30">
        <f>ROUND(((D20+P20)+(SUM(E20:O20)*2))/24,0)</f>
        <v>7042893</v>
      </c>
      <c r="R20" s="55">
        <v>0.0271</v>
      </c>
      <c r="S20" s="30">
        <f>ROUND(Q20*R20,0)</f>
        <v>190862</v>
      </c>
      <c r="T20" s="29">
        <v>4440863.78</v>
      </c>
    </row>
    <row r="21" spans="1:20" s="54" customFormat="1" ht="12.75">
      <c r="A21" s="147">
        <f>ROW()</f>
        <v>21</v>
      </c>
      <c r="B21" s="50" t="s">
        <v>96</v>
      </c>
      <c r="C21" s="51" t="s">
        <v>97</v>
      </c>
      <c r="D21" s="52">
        <v>365117.27</v>
      </c>
      <c r="E21" s="52">
        <v>365117.27</v>
      </c>
      <c r="F21" s="52">
        <v>365117.27</v>
      </c>
      <c r="G21" s="52">
        <v>365117.27</v>
      </c>
      <c r="H21" s="52">
        <v>365117.27</v>
      </c>
      <c r="I21" s="52">
        <v>365117.27</v>
      </c>
      <c r="J21" s="52">
        <v>426565.49</v>
      </c>
      <c r="K21" s="52">
        <v>426565.49</v>
      </c>
      <c r="L21" s="52">
        <v>426565.49</v>
      </c>
      <c r="M21" s="52">
        <v>426565.49</v>
      </c>
      <c r="N21" s="52">
        <v>426565.49</v>
      </c>
      <c r="O21" s="52">
        <v>426565.49</v>
      </c>
      <c r="P21" s="52">
        <v>426565.49</v>
      </c>
      <c r="Q21" s="30">
        <f>ROUND(((D21+P21)+(SUM(E21:O21)*2))/24,0)</f>
        <v>398402</v>
      </c>
      <c r="R21" s="56">
        <v>0.0387</v>
      </c>
      <c r="S21" s="30">
        <f>ROUND(Q21*R21,0)</f>
        <v>15418</v>
      </c>
      <c r="T21" s="29">
        <v>215986.99</v>
      </c>
    </row>
    <row r="22" spans="1:20" s="54" customFormat="1" ht="12.75">
      <c r="A22" s="147">
        <f>ROW()</f>
        <v>22</v>
      </c>
      <c r="B22" s="50"/>
      <c r="C22" s="51" t="s">
        <v>98</v>
      </c>
      <c r="D22" s="57">
        <f>SUM(D16:D21)</f>
        <v>73742696.27</v>
      </c>
      <c r="E22" s="57">
        <f>SUM(E16:E21)</f>
        <v>73742696.27</v>
      </c>
      <c r="F22" s="57">
        <f>SUM(F16:F21)</f>
        <v>73742696.27</v>
      </c>
      <c r="G22" s="57">
        <f>SUM(G16:G21)</f>
        <v>75061984.27</v>
      </c>
      <c r="H22" s="57">
        <f>SUM(H16:H21)</f>
        <v>75061984.27</v>
      </c>
      <c r="I22" s="57">
        <f aca="true" t="shared" si="0" ref="I22:Q22">SUM(I16:I21)</f>
        <v>76225671.27</v>
      </c>
      <c r="J22" s="57">
        <f t="shared" si="0"/>
        <v>72957043.49</v>
      </c>
      <c r="K22" s="57">
        <f t="shared" si="0"/>
        <v>72957043.49</v>
      </c>
      <c r="L22" s="57">
        <f t="shared" si="0"/>
        <v>72957043.49</v>
      </c>
      <c r="M22" s="57">
        <f t="shared" si="0"/>
        <v>72957043.49</v>
      </c>
      <c r="N22" s="57">
        <f>SUM(N16:N21)</f>
        <v>74288754.49</v>
      </c>
      <c r="O22" s="57">
        <f>SUM(O16:O21)</f>
        <v>74288754.49</v>
      </c>
      <c r="P22" s="57">
        <f>SUM(P16:P21)</f>
        <v>75229503.49</v>
      </c>
      <c r="Q22" s="58">
        <f t="shared" si="0"/>
        <v>74060568</v>
      </c>
      <c r="R22" s="53">
        <f>ROUND(+S22/Q22,4)</f>
        <v>0.0311</v>
      </c>
      <c r="S22" s="58">
        <f>SUM(S16:S21)</f>
        <v>2299626</v>
      </c>
      <c r="T22" s="57">
        <f>SUM(T16:T21)</f>
        <v>48144488.31</v>
      </c>
    </row>
    <row r="23" spans="1:20" s="54" customFormat="1" ht="12.75">
      <c r="A23" s="147">
        <f>ROW()</f>
        <v>23</v>
      </c>
      <c r="B23" s="50"/>
      <c r="C23" s="51" t="s">
        <v>99</v>
      </c>
      <c r="D23" s="52"/>
      <c r="E23" s="52"/>
      <c r="F23" s="52"/>
      <c r="G23" s="52"/>
      <c r="H23" s="52"/>
      <c r="I23" s="52"/>
      <c r="J23" s="52"/>
      <c r="K23" s="52"/>
      <c r="L23" s="52"/>
      <c r="M23" s="52"/>
      <c r="N23" s="52"/>
      <c r="O23" s="52"/>
      <c r="P23" s="52"/>
      <c r="Q23" s="30"/>
      <c r="R23" s="53"/>
      <c r="S23" s="30"/>
      <c r="T23" s="29"/>
    </row>
    <row r="24" spans="1:20" s="54" customFormat="1" ht="12.75">
      <c r="A24" s="147">
        <f>ROW()</f>
        <v>24</v>
      </c>
      <c r="B24" s="50" t="s">
        <v>89</v>
      </c>
      <c r="C24" s="51" t="s">
        <v>63</v>
      </c>
      <c r="D24" s="52">
        <v>5317756.88</v>
      </c>
      <c r="E24" s="52">
        <v>5317756.88</v>
      </c>
      <c r="F24" s="52">
        <v>5317756.88</v>
      </c>
      <c r="G24" s="52">
        <v>5317756.88</v>
      </c>
      <c r="H24" s="52">
        <v>5317756.88</v>
      </c>
      <c r="I24" s="52">
        <v>5317756.88</v>
      </c>
      <c r="J24" s="52">
        <v>5573640</v>
      </c>
      <c r="K24" s="52">
        <v>5573640</v>
      </c>
      <c r="L24" s="52">
        <v>5573640</v>
      </c>
      <c r="M24" s="52">
        <v>5573640</v>
      </c>
      <c r="N24" s="52">
        <v>5573640</v>
      </c>
      <c r="O24" s="52">
        <v>5573640</v>
      </c>
      <c r="P24" s="52">
        <v>5573640</v>
      </c>
      <c r="Q24" s="30">
        <f>ROUND(((D24+P24)+(SUM(E24:O24)*2))/24,0)</f>
        <v>5456360</v>
      </c>
      <c r="R24" s="55">
        <v>0.0306</v>
      </c>
      <c r="S24" s="30">
        <f>ROUND(Q24*R24,0)</f>
        <v>166965</v>
      </c>
      <c r="T24" s="29">
        <v>3343898.06</v>
      </c>
    </row>
    <row r="25" spans="1:20" s="54" customFormat="1" ht="12.75">
      <c r="A25" s="147">
        <f>ROW()</f>
        <v>25</v>
      </c>
      <c r="B25" s="50" t="s">
        <v>90</v>
      </c>
      <c r="C25" s="51" t="s">
        <v>91</v>
      </c>
      <c r="D25" s="52">
        <v>39821935</v>
      </c>
      <c r="E25" s="52">
        <v>39821935</v>
      </c>
      <c r="F25" s="52">
        <v>39821935</v>
      </c>
      <c r="G25" s="52">
        <v>39821935</v>
      </c>
      <c r="H25" s="52">
        <v>39821935</v>
      </c>
      <c r="I25" s="52">
        <v>39821935</v>
      </c>
      <c r="J25" s="52">
        <v>40460296</v>
      </c>
      <c r="K25" s="52">
        <v>40460296</v>
      </c>
      <c r="L25" s="52">
        <v>40460296</v>
      </c>
      <c r="M25" s="52">
        <v>40460296</v>
      </c>
      <c r="N25" s="52">
        <v>40460296</v>
      </c>
      <c r="O25" s="52">
        <v>40460296</v>
      </c>
      <c r="P25" s="52">
        <v>40460296</v>
      </c>
      <c r="Q25" s="30">
        <f>ROUND(((D25+P25)+(SUM(E25:O25)*2))/24,0)</f>
        <v>40167714</v>
      </c>
      <c r="R25" s="55">
        <v>0.0305</v>
      </c>
      <c r="S25" s="30">
        <f>ROUND(Q25*R25,0)</f>
        <v>1225115</v>
      </c>
      <c r="T25" s="29">
        <v>26457593</v>
      </c>
    </row>
    <row r="26" spans="1:20" s="54" customFormat="1" ht="12.75">
      <c r="A26" s="147">
        <f>ROW()</f>
        <v>26</v>
      </c>
      <c r="B26" s="50" t="s">
        <v>92</v>
      </c>
      <c r="C26" s="51" t="s">
        <v>93</v>
      </c>
      <c r="D26" s="52">
        <v>12178755</v>
      </c>
      <c r="E26" s="52">
        <v>12178755</v>
      </c>
      <c r="F26" s="52">
        <v>12178755</v>
      </c>
      <c r="G26" s="52">
        <v>12178755</v>
      </c>
      <c r="H26" s="52">
        <v>12178755</v>
      </c>
      <c r="I26" s="52">
        <v>12178755</v>
      </c>
      <c r="J26" s="52">
        <v>12519462</v>
      </c>
      <c r="K26" s="52">
        <v>12519462</v>
      </c>
      <c r="L26" s="52">
        <v>12519462</v>
      </c>
      <c r="M26" s="52">
        <v>12519462</v>
      </c>
      <c r="N26" s="52">
        <v>12519462</v>
      </c>
      <c r="O26" s="52">
        <v>12519462</v>
      </c>
      <c r="P26" s="52">
        <v>12519462</v>
      </c>
      <c r="Q26" s="30">
        <f>ROUND(((D26+P26)+(SUM(E26:O26)*2))/24,0)</f>
        <v>12363305</v>
      </c>
      <c r="R26" s="55">
        <v>0.0326</v>
      </c>
      <c r="S26" s="30">
        <f>ROUND(Q26*R26,0)</f>
        <v>403044</v>
      </c>
      <c r="T26" s="29">
        <v>7691610</v>
      </c>
    </row>
    <row r="27" spans="1:20" s="54" customFormat="1" ht="12.75">
      <c r="A27" s="147">
        <f>ROW()</f>
        <v>27</v>
      </c>
      <c r="B27" s="50" t="s">
        <v>94</v>
      </c>
      <c r="C27" s="51" t="s">
        <v>95</v>
      </c>
      <c r="D27" s="52">
        <v>4536517.94</v>
      </c>
      <c r="E27" s="52">
        <v>4536517.94</v>
      </c>
      <c r="F27" s="52">
        <v>4536517.94</v>
      </c>
      <c r="G27" s="52">
        <v>4536517.94</v>
      </c>
      <c r="H27" s="52">
        <v>4536517.94</v>
      </c>
      <c r="I27" s="52">
        <v>4536517.94</v>
      </c>
      <c r="J27" s="52">
        <v>4592474.41</v>
      </c>
      <c r="K27" s="52">
        <v>4592474.41</v>
      </c>
      <c r="L27" s="52">
        <v>4592474.41</v>
      </c>
      <c r="M27" s="52">
        <v>4592474.41</v>
      </c>
      <c r="N27" s="52">
        <v>4592474.41</v>
      </c>
      <c r="O27" s="52">
        <v>4592474.41</v>
      </c>
      <c r="P27" s="52">
        <v>4592474.41</v>
      </c>
      <c r="Q27" s="30">
        <f>ROUND(((D27+P27)+(SUM(E27:O27)*2))/24,0)</f>
        <v>4566828</v>
      </c>
      <c r="R27" s="55">
        <v>0.0269</v>
      </c>
      <c r="S27" s="30">
        <f>ROUND(Q27*R27,0)</f>
        <v>122848</v>
      </c>
      <c r="T27" s="29">
        <v>2797275.05</v>
      </c>
    </row>
    <row r="28" spans="1:20" s="54" customFormat="1" ht="12.75">
      <c r="A28" s="147">
        <f>ROW()</f>
        <v>28</v>
      </c>
      <c r="B28" s="50" t="s">
        <v>96</v>
      </c>
      <c r="C28" s="51" t="s">
        <v>97</v>
      </c>
      <c r="D28" s="52">
        <v>365930.5</v>
      </c>
      <c r="E28" s="52">
        <v>365930.5</v>
      </c>
      <c r="F28" s="52">
        <v>365930.5</v>
      </c>
      <c r="G28" s="52">
        <v>365930.5</v>
      </c>
      <c r="H28" s="52">
        <v>365930.5</v>
      </c>
      <c r="I28" s="52">
        <v>365930.5</v>
      </c>
      <c r="J28" s="52">
        <v>427378.6</v>
      </c>
      <c r="K28" s="52">
        <v>427378.6</v>
      </c>
      <c r="L28" s="52">
        <v>427378.6</v>
      </c>
      <c r="M28" s="52">
        <v>427378.6</v>
      </c>
      <c r="N28" s="52">
        <v>427378.6</v>
      </c>
      <c r="O28" s="52">
        <v>427378.6</v>
      </c>
      <c r="P28" s="52">
        <v>427378.6</v>
      </c>
      <c r="Q28" s="30">
        <f>ROUND(((D28+P28)+(SUM(E28:O28)*2))/24,0)</f>
        <v>399215</v>
      </c>
      <c r="R28" s="56">
        <v>0.0361</v>
      </c>
      <c r="S28" s="30">
        <f>ROUND(Q28*R28,0)</f>
        <v>14412</v>
      </c>
      <c r="T28" s="29">
        <v>217888.21</v>
      </c>
    </row>
    <row r="29" spans="1:20" s="54" customFormat="1" ht="12.75">
      <c r="A29" s="147">
        <f>ROW()</f>
        <v>29</v>
      </c>
      <c r="B29" s="50"/>
      <c r="C29" s="51" t="s">
        <v>98</v>
      </c>
      <c r="D29" s="57">
        <f>SUM(D23:D28)</f>
        <v>62220895.32</v>
      </c>
      <c r="E29" s="57">
        <f>SUM(E23:E28)</f>
        <v>62220895.32</v>
      </c>
      <c r="F29" s="57">
        <f>SUM(F23:F28)</f>
        <v>62220895.32</v>
      </c>
      <c r="G29" s="57">
        <f>SUM(G23:G28)</f>
        <v>62220895.32</v>
      </c>
      <c r="H29" s="57">
        <f>SUM(H23:H28)</f>
        <v>62220895.32</v>
      </c>
      <c r="I29" s="57">
        <f aca="true" t="shared" si="1" ref="I29:N29">SUM(I23:I28)</f>
        <v>62220895.32</v>
      </c>
      <c r="J29" s="57">
        <f t="shared" si="1"/>
        <v>63573251.01</v>
      </c>
      <c r="K29" s="57">
        <f t="shared" si="1"/>
        <v>63573251.01</v>
      </c>
      <c r="L29" s="57">
        <f t="shared" si="1"/>
        <v>63573251.01</v>
      </c>
      <c r="M29" s="57">
        <f t="shared" si="1"/>
        <v>63573251.01</v>
      </c>
      <c r="N29" s="57">
        <f t="shared" si="1"/>
        <v>63573251.01</v>
      </c>
      <c r="O29" s="57">
        <f>SUM(O23:O28)</f>
        <v>63573251.01</v>
      </c>
      <c r="P29" s="57">
        <f>SUM(P23:P28)</f>
        <v>63573251.01</v>
      </c>
      <c r="Q29" s="58">
        <f>SUM(Q23:Q28)</f>
        <v>62953422</v>
      </c>
      <c r="R29" s="53">
        <f>ROUND(+S29/Q29,4)</f>
        <v>0.0307</v>
      </c>
      <c r="S29" s="58">
        <f>SUM(S23:S28)</f>
        <v>1932384</v>
      </c>
      <c r="T29" s="57">
        <f>SUM(T23:T28)</f>
        <v>40508264.32</v>
      </c>
    </row>
    <row r="30" spans="1:20" s="54" customFormat="1" ht="12.75">
      <c r="A30" s="147">
        <f>ROW()</f>
        <v>30</v>
      </c>
      <c r="B30" s="50"/>
      <c r="C30" s="51" t="s">
        <v>100</v>
      </c>
      <c r="D30" s="52"/>
      <c r="E30" s="52"/>
      <c r="F30" s="52"/>
      <c r="G30" s="52"/>
      <c r="H30" s="52"/>
      <c r="I30" s="52"/>
      <c r="J30" s="52"/>
      <c r="K30" s="52"/>
      <c r="L30" s="52"/>
      <c r="M30" s="52"/>
      <c r="N30" s="52"/>
      <c r="O30" s="52"/>
      <c r="P30" s="52"/>
      <c r="Q30" s="30"/>
      <c r="R30" s="53"/>
      <c r="S30" s="30"/>
      <c r="T30" s="29"/>
    </row>
    <row r="31" spans="1:20" s="54" customFormat="1" ht="12.75">
      <c r="A31" s="147">
        <f>ROW()</f>
        <v>31</v>
      </c>
      <c r="B31" s="50" t="s">
        <v>89</v>
      </c>
      <c r="C31" s="51" t="s">
        <v>63</v>
      </c>
      <c r="D31" s="52">
        <v>30345256</v>
      </c>
      <c r="E31" s="52">
        <v>30345256</v>
      </c>
      <c r="F31" s="52">
        <v>30345256</v>
      </c>
      <c r="G31" s="52">
        <v>30345256</v>
      </c>
      <c r="H31" s="52">
        <v>30345256</v>
      </c>
      <c r="I31" s="52">
        <v>30345256</v>
      </c>
      <c r="J31" s="52">
        <v>31983349</v>
      </c>
      <c r="K31" s="52">
        <v>31983349</v>
      </c>
      <c r="L31" s="52">
        <v>31983349</v>
      </c>
      <c r="M31" s="52">
        <v>31983349</v>
      </c>
      <c r="N31" s="52">
        <v>31983349</v>
      </c>
      <c r="O31" s="52">
        <v>31983349</v>
      </c>
      <c r="P31" s="52">
        <v>31983349</v>
      </c>
      <c r="Q31" s="30">
        <f>ROUND(((D31+P31)+(SUM(E31:O31)*2))/24,0)</f>
        <v>31232556</v>
      </c>
      <c r="R31" s="55">
        <v>0.0316</v>
      </c>
      <c r="S31" s="30">
        <f>ROUND(Q31*R31,0)</f>
        <v>986949</v>
      </c>
      <c r="T31" s="29">
        <v>18788553</v>
      </c>
    </row>
    <row r="32" spans="1:20" s="54" customFormat="1" ht="12.75">
      <c r="A32" s="147">
        <f>ROW()</f>
        <v>32</v>
      </c>
      <c r="B32" s="50" t="s">
        <v>90</v>
      </c>
      <c r="C32" s="51" t="s">
        <v>91</v>
      </c>
      <c r="D32" s="52">
        <v>8623422</v>
      </c>
      <c r="E32" s="52">
        <v>8623422</v>
      </c>
      <c r="F32" s="52">
        <v>8623422</v>
      </c>
      <c r="G32" s="52">
        <v>8623422</v>
      </c>
      <c r="H32" s="52">
        <v>8623422</v>
      </c>
      <c r="I32" s="52">
        <v>8623422</v>
      </c>
      <c r="J32" s="52">
        <v>8679337</v>
      </c>
      <c r="K32" s="52">
        <v>8679337</v>
      </c>
      <c r="L32" s="52">
        <v>8679337</v>
      </c>
      <c r="M32" s="52">
        <v>8679337</v>
      </c>
      <c r="N32" s="52">
        <v>8679337</v>
      </c>
      <c r="O32" s="52">
        <v>8679337</v>
      </c>
      <c r="P32" s="52">
        <v>8679337</v>
      </c>
      <c r="Q32" s="30">
        <f>ROUND(((D32+P32)+(SUM(E32:O32)*2))/24,0)</f>
        <v>8653709</v>
      </c>
      <c r="R32" s="55">
        <v>0.0318</v>
      </c>
      <c r="S32" s="30">
        <f>ROUND(Q32*R32,0)</f>
        <v>275188</v>
      </c>
      <c r="T32" s="29">
        <v>5533214</v>
      </c>
    </row>
    <row r="33" spans="1:20" s="54" customFormat="1" ht="12.75">
      <c r="A33" s="147">
        <f>ROW()</f>
        <v>33</v>
      </c>
      <c r="B33" s="50" t="s">
        <v>92</v>
      </c>
      <c r="C33" s="51" t="s">
        <v>93</v>
      </c>
      <c r="D33" s="52">
        <v>3918857.57</v>
      </c>
      <c r="E33" s="52">
        <v>3918857.57</v>
      </c>
      <c r="F33" s="52">
        <v>3918857.57</v>
      </c>
      <c r="G33" s="52">
        <v>3918857.57</v>
      </c>
      <c r="H33" s="52">
        <v>3918857.57</v>
      </c>
      <c r="I33" s="52">
        <v>3918857.57</v>
      </c>
      <c r="J33" s="52">
        <v>3918857.57</v>
      </c>
      <c r="K33" s="52">
        <v>3918857.57</v>
      </c>
      <c r="L33" s="52">
        <v>3918857.57</v>
      </c>
      <c r="M33" s="52">
        <v>3918857.57</v>
      </c>
      <c r="N33" s="52">
        <v>3918857.57</v>
      </c>
      <c r="O33" s="52">
        <v>3918857.57</v>
      </c>
      <c r="P33" s="52">
        <v>3918857.57</v>
      </c>
      <c r="Q33" s="30">
        <f>ROUND(((D33+P33)+(SUM(E33:O33)*2))/24,0)</f>
        <v>3918858</v>
      </c>
      <c r="R33" s="55">
        <v>0.0331</v>
      </c>
      <c r="S33" s="30">
        <f>ROUND(Q33*R33,0)</f>
        <v>129714</v>
      </c>
      <c r="T33" s="29">
        <v>2382313.11</v>
      </c>
    </row>
    <row r="34" spans="1:20" s="54" customFormat="1" ht="12.75">
      <c r="A34" s="147">
        <f>ROW()</f>
        <v>34</v>
      </c>
      <c r="B34" s="50" t="s">
        <v>94</v>
      </c>
      <c r="C34" s="51" t="s">
        <v>95</v>
      </c>
      <c r="D34" s="52">
        <v>2377983.53</v>
      </c>
      <c r="E34" s="52">
        <v>2377983.53</v>
      </c>
      <c r="F34" s="52">
        <v>2377983.53</v>
      </c>
      <c r="G34" s="52">
        <v>2377983.53</v>
      </c>
      <c r="H34" s="52">
        <v>2377983.53</v>
      </c>
      <c r="I34" s="52">
        <v>2377983.53</v>
      </c>
      <c r="J34" s="52">
        <v>2420179.29</v>
      </c>
      <c r="K34" s="52">
        <v>2420179.29</v>
      </c>
      <c r="L34" s="52">
        <v>2420179.29</v>
      </c>
      <c r="M34" s="52">
        <v>2420179.29</v>
      </c>
      <c r="N34" s="52">
        <v>2420179.29</v>
      </c>
      <c r="O34" s="52">
        <v>2420179.29</v>
      </c>
      <c r="P34" s="52">
        <v>2420179.29</v>
      </c>
      <c r="Q34" s="30">
        <f>ROUND(((D34+P34)+(SUM(E34:O34)*2))/24,0)</f>
        <v>2400840</v>
      </c>
      <c r="R34" s="55">
        <v>0.0307</v>
      </c>
      <c r="S34" s="30">
        <f>ROUND(Q34*R34,0)</f>
        <v>73706</v>
      </c>
      <c r="T34" s="29">
        <v>1334875.17</v>
      </c>
    </row>
    <row r="35" spans="1:20" s="54" customFormat="1" ht="12.75">
      <c r="A35" s="147">
        <f>ROW()</f>
        <v>35</v>
      </c>
      <c r="B35" s="50" t="s">
        <v>96</v>
      </c>
      <c r="C35" s="51" t="s">
        <v>97</v>
      </c>
      <c r="D35" s="52">
        <v>6235545</v>
      </c>
      <c r="E35" s="52">
        <v>6235545</v>
      </c>
      <c r="F35" s="52">
        <v>6235545</v>
      </c>
      <c r="G35" s="52">
        <v>6235545</v>
      </c>
      <c r="H35" s="52">
        <v>6235545</v>
      </c>
      <c r="I35" s="52">
        <v>6235545</v>
      </c>
      <c r="J35" s="52">
        <v>6561728</v>
      </c>
      <c r="K35" s="52">
        <v>6561728</v>
      </c>
      <c r="L35" s="52">
        <v>6561728</v>
      </c>
      <c r="M35" s="52">
        <v>6561728</v>
      </c>
      <c r="N35" s="52">
        <v>6561728</v>
      </c>
      <c r="O35" s="52">
        <v>6561728</v>
      </c>
      <c r="P35" s="52">
        <v>6561728</v>
      </c>
      <c r="Q35" s="30">
        <f>ROUND(((D35+P35)+(SUM(E35:O35)*2))/24,0)</f>
        <v>6412227</v>
      </c>
      <c r="R35" s="56">
        <v>0.0382</v>
      </c>
      <c r="S35" s="30">
        <f>ROUND(Q35*R35,0)</f>
        <v>244947</v>
      </c>
      <c r="T35" s="29">
        <v>3136065.21</v>
      </c>
    </row>
    <row r="36" spans="1:20" s="54" customFormat="1" ht="12.75">
      <c r="A36" s="147">
        <f>ROW()</f>
        <v>36</v>
      </c>
      <c r="B36" s="50"/>
      <c r="C36" s="51" t="s">
        <v>98</v>
      </c>
      <c r="D36" s="57">
        <f>SUM(D30:D35)</f>
        <v>51501064.1</v>
      </c>
      <c r="E36" s="57">
        <f>SUM(E30:E35)</f>
        <v>51501064.1</v>
      </c>
      <c r="F36" s="57">
        <f>SUM(F30:F35)</f>
        <v>51501064.1</v>
      </c>
      <c r="G36" s="57">
        <f>SUM(G30:G35)</f>
        <v>51501064.1</v>
      </c>
      <c r="H36" s="57">
        <f>SUM(H30:H35)</f>
        <v>51501064.1</v>
      </c>
      <c r="I36" s="57">
        <f aca="true" t="shared" si="2" ref="I36:N36">SUM(I30:I35)</f>
        <v>51501064.1</v>
      </c>
      <c r="J36" s="57">
        <f t="shared" si="2"/>
        <v>53563450.86</v>
      </c>
      <c r="K36" s="57">
        <f t="shared" si="2"/>
        <v>53563450.86</v>
      </c>
      <c r="L36" s="57">
        <f t="shared" si="2"/>
        <v>53563450.86</v>
      </c>
      <c r="M36" s="57">
        <f t="shared" si="2"/>
        <v>53563450.86</v>
      </c>
      <c r="N36" s="57">
        <f t="shared" si="2"/>
        <v>53563450.86</v>
      </c>
      <c r="O36" s="57">
        <f>SUM(O30:O35)</f>
        <v>53563450.86</v>
      </c>
      <c r="P36" s="57">
        <f>SUM(P30:P35)</f>
        <v>53563450.86</v>
      </c>
      <c r="Q36" s="58">
        <f>SUM(Q30:Q35)</f>
        <v>52618190</v>
      </c>
      <c r="R36" s="53">
        <f>ROUND(+S36/Q36,4)</f>
        <v>0.0325</v>
      </c>
      <c r="S36" s="58">
        <f>SUM(S30:S35)</f>
        <v>1710504</v>
      </c>
      <c r="T36" s="57">
        <f>SUM(T30:T35)</f>
        <v>31175020.490000002</v>
      </c>
    </row>
    <row r="37" spans="1:20" s="54" customFormat="1" ht="12.75">
      <c r="A37" s="147">
        <f>ROW()</f>
        <v>37</v>
      </c>
      <c r="B37" s="50"/>
      <c r="C37" s="51" t="s">
        <v>116</v>
      </c>
      <c r="D37" s="52"/>
      <c r="E37" s="52"/>
      <c r="F37" s="52"/>
      <c r="G37" s="52"/>
      <c r="H37" s="52"/>
      <c r="I37" s="52"/>
      <c r="J37" s="52"/>
      <c r="K37" s="52"/>
      <c r="L37" s="52"/>
      <c r="M37" s="52"/>
      <c r="N37" s="52"/>
      <c r="O37" s="52"/>
      <c r="P37" s="52"/>
      <c r="Q37" s="30"/>
      <c r="R37" s="53"/>
      <c r="S37" s="30"/>
      <c r="T37" s="29"/>
    </row>
    <row r="38" spans="1:20" s="54" customFormat="1" ht="12.75">
      <c r="A38" s="147">
        <f>ROW()</f>
        <v>38</v>
      </c>
      <c r="B38" s="50" t="s">
        <v>89</v>
      </c>
      <c r="C38" s="51" t="s">
        <v>63</v>
      </c>
      <c r="D38" s="52">
        <v>28829642</v>
      </c>
      <c r="E38" s="52">
        <v>28829642</v>
      </c>
      <c r="F38" s="52">
        <v>28829642</v>
      </c>
      <c r="G38" s="52">
        <v>28829642</v>
      </c>
      <c r="H38" s="52">
        <v>28829642</v>
      </c>
      <c r="I38" s="52">
        <v>28829642</v>
      </c>
      <c r="J38" s="52">
        <v>28882948</v>
      </c>
      <c r="K38" s="52">
        <v>28882948</v>
      </c>
      <c r="L38" s="52">
        <v>28882948</v>
      </c>
      <c r="M38" s="52">
        <v>28882948</v>
      </c>
      <c r="N38" s="52">
        <v>28882948</v>
      </c>
      <c r="O38" s="52">
        <v>28882948</v>
      </c>
      <c r="P38" s="52">
        <v>28882948</v>
      </c>
      <c r="Q38" s="30">
        <f>ROUND(((D38+P38)+(SUM(E38:O38)*2))/24,0)</f>
        <v>28858516</v>
      </c>
      <c r="R38" s="55">
        <v>0.0245</v>
      </c>
      <c r="S38" s="30">
        <f>ROUND(Q38*R38,0)</f>
        <v>707034</v>
      </c>
      <c r="T38" s="29">
        <v>14566340</v>
      </c>
    </row>
    <row r="39" spans="1:20" s="54" customFormat="1" ht="12.75">
      <c r="A39" s="147">
        <f>ROW()</f>
        <v>39</v>
      </c>
      <c r="B39" s="50" t="s">
        <v>90</v>
      </c>
      <c r="C39" s="51" t="s">
        <v>91</v>
      </c>
      <c r="D39" s="52">
        <v>113898277</v>
      </c>
      <c r="E39" s="52">
        <v>113898277</v>
      </c>
      <c r="F39" s="52">
        <v>113898277</v>
      </c>
      <c r="G39" s="52">
        <v>114243466</v>
      </c>
      <c r="H39" s="52">
        <v>114243466</v>
      </c>
      <c r="I39" s="52">
        <v>114753003</v>
      </c>
      <c r="J39" s="52">
        <v>112667814</v>
      </c>
      <c r="K39" s="52">
        <v>112667814</v>
      </c>
      <c r="L39" s="52">
        <v>112667814</v>
      </c>
      <c r="M39" s="52">
        <v>112667814</v>
      </c>
      <c r="N39" s="52">
        <v>113440870</v>
      </c>
      <c r="O39" s="52">
        <v>113440870</v>
      </c>
      <c r="P39" s="52">
        <v>115756485</v>
      </c>
      <c r="Q39" s="30">
        <f>ROUND(((D39+P39)+(SUM(E39:O39)*2))/24,0)</f>
        <v>113618072</v>
      </c>
      <c r="R39" s="55">
        <v>0.0268</v>
      </c>
      <c r="S39" s="30">
        <f>ROUND(Q39*R39,0)</f>
        <v>3044964</v>
      </c>
      <c r="T39" s="29">
        <v>57262237</v>
      </c>
    </row>
    <row r="40" spans="1:20" s="54" customFormat="1" ht="12.75">
      <c r="A40" s="147">
        <f>ROW()</f>
        <v>40</v>
      </c>
      <c r="B40" s="50" t="s">
        <v>92</v>
      </c>
      <c r="C40" s="51" t="s">
        <v>93</v>
      </c>
      <c r="D40" s="52">
        <v>32936825</v>
      </c>
      <c r="E40" s="52">
        <v>32936825</v>
      </c>
      <c r="F40" s="52">
        <v>32936825</v>
      </c>
      <c r="G40" s="52">
        <v>32936825</v>
      </c>
      <c r="H40" s="52">
        <v>32936825</v>
      </c>
      <c r="I40" s="52">
        <v>32936825</v>
      </c>
      <c r="J40" s="52">
        <v>33180681</v>
      </c>
      <c r="K40" s="52">
        <v>33180681</v>
      </c>
      <c r="L40" s="52">
        <v>33180681</v>
      </c>
      <c r="M40" s="52">
        <v>33180681</v>
      </c>
      <c r="N40" s="52">
        <v>33180681</v>
      </c>
      <c r="O40" s="52">
        <v>33180681</v>
      </c>
      <c r="P40" s="52">
        <v>33180681</v>
      </c>
      <c r="Q40" s="30">
        <f>ROUND(((D40+P40)+(SUM(E40:O40)*2))/24,0)</f>
        <v>33068914</v>
      </c>
      <c r="R40" s="55">
        <v>0.0297</v>
      </c>
      <c r="S40" s="30">
        <f>ROUND(Q40*R40,0)</f>
        <v>982147</v>
      </c>
      <c r="T40" s="29">
        <v>14166239</v>
      </c>
    </row>
    <row r="41" spans="1:20" s="54" customFormat="1" ht="12.75">
      <c r="A41" s="147">
        <f>ROW()</f>
        <v>41</v>
      </c>
      <c r="B41" s="50" t="s">
        <v>94</v>
      </c>
      <c r="C41" s="51" t="s">
        <v>95</v>
      </c>
      <c r="D41" s="52">
        <v>6401615</v>
      </c>
      <c r="E41" s="52">
        <v>6401615</v>
      </c>
      <c r="F41" s="52">
        <v>6401615</v>
      </c>
      <c r="G41" s="52">
        <v>6401615</v>
      </c>
      <c r="H41" s="52">
        <v>6401615</v>
      </c>
      <c r="I41" s="52">
        <v>6401615</v>
      </c>
      <c r="J41" s="52">
        <v>6401615</v>
      </c>
      <c r="K41" s="52">
        <v>6401615</v>
      </c>
      <c r="L41" s="52">
        <v>6401615</v>
      </c>
      <c r="M41" s="52">
        <v>6401615</v>
      </c>
      <c r="N41" s="52">
        <v>6401615</v>
      </c>
      <c r="O41" s="52">
        <v>6401615</v>
      </c>
      <c r="P41" s="52">
        <v>6401615</v>
      </c>
      <c r="Q41" s="30">
        <f>ROUND(((D41+P41)+(SUM(E41:O41)*2))/24,0)</f>
        <v>6401615</v>
      </c>
      <c r="R41" s="55">
        <v>0.0247</v>
      </c>
      <c r="S41" s="30">
        <f>ROUND(Q41*R41,0)</f>
        <v>158120</v>
      </c>
      <c r="T41" s="29">
        <v>2874151.02</v>
      </c>
    </row>
    <row r="42" spans="1:20" s="54" customFormat="1" ht="12.75">
      <c r="A42" s="147">
        <f>ROW()</f>
        <v>42</v>
      </c>
      <c r="B42" s="50" t="s">
        <v>96</v>
      </c>
      <c r="C42" s="51" t="s">
        <v>97</v>
      </c>
      <c r="D42" s="52">
        <v>454761.51</v>
      </c>
      <c r="E42" s="52">
        <v>454761.51</v>
      </c>
      <c r="F42" s="52">
        <v>454761.51</v>
      </c>
      <c r="G42" s="52">
        <v>454761.51</v>
      </c>
      <c r="H42" s="52">
        <v>454761.51</v>
      </c>
      <c r="I42" s="52">
        <v>454761.51</v>
      </c>
      <c r="J42" s="52">
        <v>480140.25</v>
      </c>
      <c r="K42" s="52">
        <v>480140.25</v>
      </c>
      <c r="L42" s="52">
        <v>480140.25</v>
      </c>
      <c r="M42" s="52">
        <v>480140.25</v>
      </c>
      <c r="N42" s="52">
        <v>480140.25</v>
      </c>
      <c r="O42" s="52">
        <v>480140.25</v>
      </c>
      <c r="P42" s="52">
        <v>480140.25</v>
      </c>
      <c r="Q42" s="30">
        <f>ROUND(((D42+P42)+(SUM(E42:O42)*2))/24,0)</f>
        <v>468508</v>
      </c>
      <c r="R42" s="56">
        <v>0.0286</v>
      </c>
      <c r="S42" s="30">
        <f>ROUND(Q42*R42,0)</f>
        <v>13399</v>
      </c>
      <c r="T42" s="29">
        <v>210034.32</v>
      </c>
    </row>
    <row r="43" spans="1:20" s="54" customFormat="1" ht="12.75">
      <c r="A43" s="147">
        <f>ROW()</f>
        <v>43</v>
      </c>
      <c r="B43" s="50"/>
      <c r="C43" s="51" t="s">
        <v>98</v>
      </c>
      <c r="D43" s="57">
        <f>SUM(D37:D42)</f>
        <v>182521120.51</v>
      </c>
      <c r="E43" s="57">
        <f>SUM(E37:E42)</f>
        <v>182521120.51</v>
      </c>
      <c r="F43" s="57">
        <f>SUM(F37:F42)</f>
        <v>182521120.51</v>
      </c>
      <c r="G43" s="57">
        <f>SUM(G37:G42)</f>
        <v>182866309.51</v>
      </c>
      <c r="H43" s="57">
        <f>SUM(H37:H42)</f>
        <v>182866309.51</v>
      </c>
      <c r="I43" s="57">
        <f aca="true" t="shared" si="3" ref="I43:N43">SUM(I37:I42)</f>
        <v>183375846.51</v>
      </c>
      <c r="J43" s="57">
        <f t="shared" si="3"/>
        <v>181613198.25</v>
      </c>
      <c r="K43" s="57">
        <f t="shared" si="3"/>
        <v>181613198.25</v>
      </c>
      <c r="L43" s="57">
        <f t="shared" si="3"/>
        <v>181613198.25</v>
      </c>
      <c r="M43" s="57">
        <f t="shared" si="3"/>
        <v>181613198.25</v>
      </c>
      <c r="N43" s="57">
        <f t="shared" si="3"/>
        <v>182386254.25</v>
      </c>
      <c r="O43" s="57">
        <f>SUM(O37:O42)</f>
        <v>182386254.25</v>
      </c>
      <c r="P43" s="57">
        <f>SUM(P37:P42)</f>
        <v>184701869.25</v>
      </c>
      <c r="Q43" s="58">
        <f>SUM(Q37:Q42)</f>
        <v>182415625</v>
      </c>
      <c r="R43" s="53">
        <f>ROUND(+S43/Q43,4)</f>
        <v>0.0269</v>
      </c>
      <c r="S43" s="58">
        <f>SUM(S37:S42)</f>
        <v>4905664</v>
      </c>
      <c r="T43" s="57">
        <f>SUM(T37:T42)</f>
        <v>89079001.33999999</v>
      </c>
    </row>
    <row r="44" spans="1:20" s="54" customFormat="1" ht="12.75">
      <c r="A44" s="147">
        <f>ROW()</f>
        <v>44</v>
      </c>
      <c r="B44" s="50"/>
      <c r="C44" s="51" t="s">
        <v>117</v>
      </c>
      <c r="D44" s="52"/>
      <c r="E44" s="52"/>
      <c r="F44" s="52"/>
      <c r="G44" s="52"/>
      <c r="H44" s="52"/>
      <c r="I44" s="52"/>
      <c r="J44" s="52"/>
      <c r="K44" s="52"/>
      <c r="L44" s="52"/>
      <c r="M44" s="52"/>
      <c r="N44" s="52"/>
      <c r="O44" s="52"/>
      <c r="P44" s="52"/>
      <c r="Q44" s="30"/>
      <c r="R44" s="53"/>
      <c r="S44" s="30"/>
      <c r="T44" s="29"/>
    </row>
    <row r="45" spans="1:20" s="54" customFormat="1" ht="12.75">
      <c r="A45" s="147">
        <f>ROW()</f>
        <v>45</v>
      </c>
      <c r="B45" s="50" t="s">
        <v>89</v>
      </c>
      <c r="C45" s="51" t="s">
        <v>63</v>
      </c>
      <c r="D45" s="52">
        <v>26542394</v>
      </c>
      <c r="E45" s="52">
        <v>26542394</v>
      </c>
      <c r="F45" s="52">
        <v>26542394</v>
      </c>
      <c r="G45" s="52">
        <v>26542394</v>
      </c>
      <c r="H45" s="52">
        <v>26542394</v>
      </c>
      <c r="I45" s="52">
        <v>26542394</v>
      </c>
      <c r="J45" s="52">
        <v>26595701</v>
      </c>
      <c r="K45" s="52">
        <v>26595701</v>
      </c>
      <c r="L45" s="52">
        <v>26595701</v>
      </c>
      <c r="M45" s="52">
        <v>26595701</v>
      </c>
      <c r="N45" s="52">
        <v>26595701</v>
      </c>
      <c r="O45" s="52">
        <v>26595701</v>
      </c>
      <c r="P45" s="52">
        <v>26595701</v>
      </c>
      <c r="Q45" s="30">
        <f>ROUND(((D45+P45)+(SUM(E45:O45)*2))/24,0)</f>
        <v>26571269</v>
      </c>
      <c r="R45" s="55">
        <v>0.0254</v>
      </c>
      <c r="S45" s="30">
        <f>ROUND(Q45*R45,0)</f>
        <v>674910</v>
      </c>
      <c r="T45" s="29">
        <v>11552369</v>
      </c>
    </row>
    <row r="46" spans="1:20" s="54" customFormat="1" ht="12.75">
      <c r="A46" s="147">
        <f>ROW()</f>
        <v>46</v>
      </c>
      <c r="B46" s="50" t="s">
        <v>90</v>
      </c>
      <c r="C46" s="51" t="s">
        <v>91</v>
      </c>
      <c r="D46" s="52">
        <v>99709843</v>
      </c>
      <c r="E46" s="52">
        <v>99709843</v>
      </c>
      <c r="F46" s="52">
        <v>99709843</v>
      </c>
      <c r="G46" s="52">
        <v>99709843</v>
      </c>
      <c r="H46" s="52">
        <v>99709843</v>
      </c>
      <c r="I46" s="52">
        <v>99709843</v>
      </c>
      <c r="J46" s="52">
        <v>100508440</v>
      </c>
      <c r="K46" s="52">
        <v>100508440</v>
      </c>
      <c r="L46" s="52">
        <v>100508440</v>
      </c>
      <c r="M46" s="52">
        <v>100508440</v>
      </c>
      <c r="N46" s="52">
        <v>100508440</v>
      </c>
      <c r="O46" s="52">
        <v>100508440</v>
      </c>
      <c r="P46" s="52">
        <v>100508440</v>
      </c>
      <c r="Q46" s="30">
        <f>ROUND(((D46+P46)+(SUM(E46:O46)*2))/24,0)</f>
        <v>100142416</v>
      </c>
      <c r="R46" s="55">
        <v>0.0275</v>
      </c>
      <c r="S46" s="30">
        <f>ROUND(Q46*R46,0)</f>
        <v>2753916</v>
      </c>
      <c r="T46" s="29">
        <v>43898286</v>
      </c>
    </row>
    <row r="47" spans="1:20" s="54" customFormat="1" ht="12.75">
      <c r="A47" s="147">
        <f>ROW()</f>
        <v>47</v>
      </c>
      <c r="B47" s="50" t="s">
        <v>92</v>
      </c>
      <c r="C47" s="51" t="s">
        <v>93</v>
      </c>
      <c r="D47" s="52">
        <v>27895777</v>
      </c>
      <c r="E47" s="52">
        <v>27895777</v>
      </c>
      <c r="F47" s="52">
        <v>27895777</v>
      </c>
      <c r="G47" s="52">
        <v>27895777</v>
      </c>
      <c r="H47" s="52">
        <v>27895777</v>
      </c>
      <c r="I47" s="52">
        <v>27895777</v>
      </c>
      <c r="J47" s="52">
        <v>28602598</v>
      </c>
      <c r="K47" s="52">
        <v>28602598</v>
      </c>
      <c r="L47" s="52">
        <v>28602598</v>
      </c>
      <c r="M47" s="52">
        <v>28602598</v>
      </c>
      <c r="N47" s="52">
        <v>28602598</v>
      </c>
      <c r="O47" s="52">
        <v>28602598</v>
      </c>
      <c r="P47" s="52">
        <v>28602598</v>
      </c>
      <c r="Q47" s="30">
        <f>ROUND(((D47+P47)+(SUM(E47:O47)*2))/24,0)</f>
        <v>28278638</v>
      </c>
      <c r="R47" s="55">
        <v>0.0294</v>
      </c>
      <c r="S47" s="30">
        <f>ROUND(Q47*R47,0)</f>
        <v>831392</v>
      </c>
      <c r="T47" s="29">
        <v>10813318</v>
      </c>
    </row>
    <row r="48" spans="1:20" s="54" customFormat="1" ht="12.75">
      <c r="A48" s="147">
        <f>ROW()</f>
        <v>48</v>
      </c>
      <c r="B48" s="50" t="s">
        <v>94</v>
      </c>
      <c r="C48" s="51" t="s">
        <v>95</v>
      </c>
      <c r="D48" s="52">
        <v>5589362</v>
      </c>
      <c r="E48" s="52">
        <v>5589362</v>
      </c>
      <c r="F48" s="52">
        <v>5589362</v>
      </c>
      <c r="G48" s="52">
        <v>5589362</v>
      </c>
      <c r="H48" s="52">
        <v>5589362</v>
      </c>
      <c r="I48" s="52">
        <v>5589362</v>
      </c>
      <c r="J48" s="52">
        <v>5596707</v>
      </c>
      <c r="K48" s="52">
        <v>5596707</v>
      </c>
      <c r="L48" s="52">
        <v>5596707</v>
      </c>
      <c r="M48" s="52">
        <v>5596707</v>
      </c>
      <c r="N48" s="52">
        <v>5596707</v>
      </c>
      <c r="O48" s="52">
        <v>5596707</v>
      </c>
      <c r="P48" s="52">
        <v>5596707</v>
      </c>
      <c r="Q48" s="30">
        <f>ROUND(((D48+P48)+(SUM(E48:O48)*2))/24,0)</f>
        <v>5593341</v>
      </c>
      <c r="R48" s="55">
        <v>0.0252</v>
      </c>
      <c r="S48" s="30">
        <f>ROUND(Q48*R48,0)</f>
        <v>140952</v>
      </c>
      <c r="T48" s="29">
        <v>2163849.3</v>
      </c>
    </row>
    <row r="49" spans="1:20" s="54" customFormat="1" ht="12.75">
      <c r="A49" s="147">
        <f>ROW()</f>
        <v>49</v>
      </c>
      <c r="B49" s="50" t="s">
        <v>96</v>
      </c>
      <c r="C49" s="51" t="s">
        <v>97</v>
      </c>
      <c r="D49" s="52">
        <v>650784.31</v>
      </c>
      <c r="E49" s="52">
        <v>650784.31</v>
      </c>
      <c r="F49" s="52">
        <v>650784.31</v>
      </c>
      <c r="G49" s="52">
        <v>650784.31</v>
      </c>
      <c r="H49" s="52">
        <v>650784.31</v>
      </c>
      <c r="I49" s="52">
        <v>650784.31</v>
      </c>
      <c r="J49" s="52">
        <v>676163</v>
      </c>
      <c r="K49" s="52">
        <v>676163</v>
      </c>
      <c r="L49" s="52">
        <v>676163</v>
      </c>
      <c r="M49" s="52">
        <v>676163</v>
      </c>
      <c r="N49" s="52">
        <v>676163</v>
      </c>
      <c r="O49" s="52">
        <v>676163</v>
      </c>
      <c r="P49" s="52">
        <v>676163</v>
      </c>
      <c r="Q49" s="30">
        <f>ROUND(((D49+P49)+(SUM(E49:O49)*2))/24,0)</f>
        <v>664531</v>
      </c>
      <c r="R49" s="56">
        <v>0.0279</v>
      </c>
      <c r="S49" s="30">
        <f>ROUND(Q49*R49,0)</f>
        <v>18540</v>
      </c>
      <c r="T49" s="29">
        <v>277867.28</v>
      </c>
    </row>
    <row r="50" spans="1:20" s="54" customFormat="1" ht="12.75">
      <c r="A50" s="147">
        <f>ROW()</f>
        <v>50</v>
      </c>
      <c r="B50" s="50"/>
      <c r="C50" s="51" t="s">
        <v>98</v>
      </c>
      <c r="D50" s="57">
        <f>SUM(D44:D49)</f>
        <v>160388160.31</v>
      </c>
      <c r="E50" s="57">
        <f>SUM(E44:E49)</f>
        <v>160388160.31</v>
      </c>
      <c r="F50" s="57">
        <f>SUM(F44:F49)</f>
        <v>160388160.31</v>
      </c>
      <c r="G50" s="57">
        <f>SUM(G44:G49)</f>
        <v>160388160.31</v>
      </c>
      <c r="H50" s="57">
        <f>SUM(H44:H49)</f>
        <v>160388160.31</v>
      </c>
      <c r="I50" s="57">
        <f aca="true" t="shared" si="4" ref="I50:N50">SUM(I44:I49)</f>
        <v>160388160.31</v>
      </c>
      <c r="J50" s="57">
        <f t="shared" si="4"/>
        <v>161979609</v>
      </c>
      <c r="K50" s="57">
        <f t="shared" si="4"/>
        <v>161979609</v>
      </c>
      <c r="L50" s="57">
        <f t="shared" si="4"/>
        <v>161979609</v>
      </c>
      <c r="M50" s="57">
        <f t="shared" si="4"/>
        <v>161979609</v>
      </c>
      <c r="N50" s="57">
        <f t="shared" si="4"/>
        <v>161979609</v>
      </c>
      <c r="O50" s="57">
        <f>SUM(O44:O49)</f>
        <v>161979609</v>
      </c>
      <c r="P50" s="57">
        <f>SUM(P44:P49)</f>
        <v>161979609</v>
      </c>
      <c r="Q50" s="58">
        <f>SUM(Q44:Q49)</f>
        <v>161250195</v>
      </c>
      <c r="R50" s="53">
        <f>ROUND(+S50/Q50,4)</f>
        <v>0.0274</v>
      </c>
      <c r="S50" s="58">
        <f>SUM(S44:S49)</f>
        <v>4419710</v>
      </c>
      <c r="T50" s="57">
        <f>SUM(T44:T49)</f>
        <v>68705689.58</v>
      </c>
    </row>
    <row r="51" spans="1:20" s="54" customFormat="1" ht="12.75">
      <c r="A51" s="147">
        <f>ROW()</f>
        <v>51</v>
      </c>
      <c r="B51" s="50"/>
      <c r="C51" s="51" t="s">
        <v>101</v>
      </c>
      <c r="D51" s="52" t="s">
        <v>29</v>
      </c>
      <c r="E51" s="52" t="s">
        <v>29</v>
      </c>
      <c r="F51" s="52" t="s">
        <v>29</v>
      </c>
      <c r="G51" s="52" t="s">
        <v>29</v>
      </c>
      <c r="H51" s="52" t="s">
        <v>29</v>
      </c>
      <c r="I51" s="52" t="s">
        <v>29</v>
      </c>
      <c r="J51" s="52" t="s">
        <v>29</v>
      </c>
      <c r="K51" s="52" t="s">
        <v>29</v>
      </c>
      <c r="L51" s="52" t="s">
        <v>29</v>
      </c>
      <c r="M51" s="52" t="s">
        <v>29</v>
      </c>
      <c r="N51" s="52" t="s">
        <v>29</v>
      </c>
      <c r="O51" s="52" t="s">
        <v>29</v>
      </c>
      <c r="P51" s="52" t="s">
        <v>29</v>
      </c>
      <c r="Q51" s="30"/>
      <c r="R51" s="53"/>
      <c r="S51" s="30"/>
      <c r="T51" s="29"/>
    </row>
    <row r="52" spans="1:20" s="54" customFormat="1" ht="12.75">
      <c r="A52" s="147">
        <f>ROW()</f>
        <v>52</v>
      </c>
      <c r="B52" s="50" t="s">
        <v>89</v>
      </c>
      <c r="C52" s="51" t="s">
        <v>63</v>
      </c>
      <c r="D52" s="52">
        <v>71951771</v>
      </c>
      <c r="E52" s="52">
        <v>71951771</v>
      </c>
      <c r="F52" s="52">
        <v>71951771</v>
      </c>
      <c r="G52" s="52">
        <v>71951771</v>
      </c>
      <c r="H52" s="52">
        <v>71951771</v>
      </c>
      <c r="I52" s="52">
        <v>71951771</v>
      </c>
      <c r="J52" s="52">
        <v>72034845</v>
      </c>
      <c r="K52" s="52">
        <v>72034845</v>
      </c>
      <c r="L52" s="52">
        <v>72034845</v>
      </c>
      <c r="M52" s="52">
        <v>72034845</v>
      </c>
      <c r="N52" s="52">
        <v>72034845</v>
      </c>
      <c r="O52" s="52">
        <v>72034845</v>
      </c>
      <c r="P52" s="52">
        <v>72034845</v>
      </c>
      <c r="Q52" s="30">
        <f>ROUND(((D52+P52)+(SUM(E52:O52)*2))/24,0)</f>
        <v>71996769</v>
      </c>
      <c r="R52" s="55">
        <v>0.0233</v>
      </c>
      <c r="S52" s="30">
        <f>ROUND(Q52*R52,0)</f>
        <v>1677525</v>
      </c>
      <c r="T52" s="29">
        <v>35209226</v>
      </c>
    </row>
    <row r="53" spans="1:20" s="54" customFormat="1" ht="12.75">
      <c r="A53" s="147">
        <f>ROW()</f>
        <v>53</v>
      </c>
      <c r="B53" s="50" t="s">
        <v>90</v>
      </c>
      <c r="C53" s="51" t="s">
        <v>91</v>
      </c>
      <c r="D53" s="52">
        <v>20855440</v>
      </c>
      <c r="E53" s="52">
        <v>20855440</v>
      </c>
      <c r="F53" s="52">
        <v>20855440</v>
      </c>
      <c r="G53" s="52">
        <v>20855440</v>
      </c>
      <c r="H53" s="52">
        <v>20855440</v>
      </c>
      <c r="I53" s="52">
        <v>20855440</v>
      </c>
      <c r="J53" s="52">
        <v>20915298</v>
      </c>
      <c r="K53" s="52">
        <v>20915298</v>
      </c>
      <c r="L53" s="52">
        <v>20915298</v>
      </c>
      <c r="M53" s="52">
        <v>20915298</v>
      </c>
      <c r="N53" s="52">
        <v>20915298</v>
      </c>
      <c r="O53" s="52">
        <v>20915298</v>
      </c>
      <c r="P53" s="52">
        <v>20915298</v>
      </c>
      <c r="Q53" s="30">
        <f>ROUND(((D53+P53)+(SUM(E53:O53)*2))/24,0)</f>
        <v>20887863</v>
      </c>
      <c r="R53" s="55">
        <v>0.0248</v>
      </c>
      <c r="S53" s="30">
        <f>ROUND(Q53*R53,0)</f>
        <v>518019</v>
      </c>
      <c r="T53" s="29">
        <v>10585040</v>
      </c>
    </row>
    <row r="54" spans="1:20" s="54" customFormat="1" ht="12.75">
      <c r="A54" s="147">
        <f>ROW()</f>
        <v>54</v>
      </c>
      <c r="B54" s="50" t="s">
        <v>92</v>
      </c>
      <c r="C54" s="51" t="s">
        <v>93</v>
      </c>
      <c r="D54" s="52">
        <v>274553.4</v>
      </c>
      <c r="E54" s="52">
        <v>274553.4</v>
      </c>
      <c r="F54" s="52">
        <v>274553.4</v>
      </c>
      <c r="G54" s="52">
        <v>274553.4</v>
      </c>
      <c r="H54" s="52">
        <v>274553.4</v>
      </c>
      <c r="I54" s="52">
        <v>274553.4</v>
      </c>
      <c r="J54" s="52">
        <v>274553.4</v>
      </c>
      <c r="K54" s="52">
        <v>274553.4</v>
      </c>
      <c r="L54" s="52">
        <v>274553.4</v>
      </c>
      <c r="M54" s="52">
        <v>274553.4</v>
      </c>
      <c r="N54" s="52">
        <v>274553.4</v>
      </c>
      <c r="O54" s="52">
        <v>274553.4</v>
      </c>
      <c r="P54" s="52">
        <v>274553.4</v>
      </c>
      <c r="Q54" s="30">
        <f>ROUND(((D54+P54)+(SUM(E54:O54)*2))/24,0)</f>
        <v>274553</v>
      </c>
      <c r="R54" s="55">
        <v>0.0262</v>
      </c>
      <c r="S54" s="30">
        <f>ROUND(Q54*R54,0)</f>
        <v>7193</v>
      </c>
      <c r="T54" s="29">
        <v>125852.24</v>
      </c>
    </row>
    <row r="55" spans="1:20" s="54" customFormat="1" ht="12.75">
      <c r="A55" s="147">
        <f>ROW()</f>
        <v>55</v>
      </c>
      <c r="B55" s="50" t="s">
        <v>94</v>
      </c>
      <c r="C55" s="51" t="s">
        <v>95</v>
      </c>
      <c r="D55" s="52">
        <v>7706935</v>
      </c>
      <c r="E55" s="52">
        <v>7706935</v>
      </c>
      <c r="F55" s="52">
        <v>7706935</v>
      </c>
      <c r="G55" s="52">
        <v>7706935</v>
      </c>
      <c r="H55" s="52">
        <v>7706935</v>
      </c>
      <c r="I55" s="52">
        <v>7706935</v>
      </c>
      <c r="J55" s="52">
        <v>7748971</v>
      </c>
      <c r="K55" s="52">
        <v>7748971</v>
      </c>
      <c r="L55" s="52">
        <v>7748971</v>
      </c>
      <c r="M55" s="52">
        <v>7748971</v>
      </c>
      <c r="N55" s="52">
        <v>7748971</v>
      </c>
      <c r="O55" s="52">
        <v>7748971</v>
      </c>
      <c r="P55" s="52">
        <v>7748971</v>
      </c>
      <c r="Q55" s="30">
        <f>ROUND(((D55+P55)+(SUM(E55:O55)*2))/24,0)</f>
        <v>7729705</v>
      </c>
      <c r="R55" s="55">
        <v>0.0231</v>
      </c>
      <c r="S55" s="30">
        <f>ROUND(Q55*R55,0)</f>
        <v>178556</v>
      </c>
      <c r="T55" s="29">
        <v>3422068.42</v>
      </c>
    </row>
    <row r="56" spans="1:20" s="54" customFormat="1" ht="12.75">
      <c r="A56" s="147">
        <f>ROW()</f>
        <v>56</v>
      </c>
      <c r="B56" s="50" t="s">
        <v>96</v>
      </c>
      <c r="C56" s="51" t="s">
        <v>97</v>
      </c>
      <c r="D56" s="52">
        <v>4861281.68</v>
      </c>
      <c r="E56" s="52">
        <v>4861281.68</v>
      </c>
      <c r="F56" s="52">
        <v>4861281.68</v>
      </c>
      <c r="G56" s="52">
        <v>4861281.68</v>
      </c>
      <c r="H56" s="52">
        <v>4861281.68</v>
      </c>
      <c r="I56" s="52">
        <v>4861281.68</v>
      </c>
      <c r="J56" s="52">
        <v>5098460.05</v>
      </c>
      <c r="K56" s="52">
        <v>5098460.05</v>
      </c>
      <c r="L56" s="52">
        <v>5098460.05</v>
      </c>
      <c r="M56" s="52">
        <v>5098460.05</v>
      </c>
      <c r="N56" s="52">
        <v>5098460.05</v>
      </c>
      <c r="O56" s="52">
        <v>5098460.05</v>
      </c>
      <c r="P56" s="52">
        <v>5098460.05</v>
      </c>
      <c r="Q56" s="30">
        <f>ROUND(((D56+P56)+(SUM(E56:O56)*2))/24,0)</f>
        <v>4989753</v>
      </c>
      <c r="R56" s="56">
        <v>0.0279</v>
      </c>
      <c r="S56" s="30">
        <f>ROUND(Q56*R56,0)</f>
        <v>139214</v>
      </c>
      <c r="T56" s="29">
        <v>2083870.34</v>
      </c>
    </row>
    <row r="57" spans="1:20" s="54" customFormat="1" ht="12.75">
      <c r="A57" s="147">
        <f>ROW()</f>
        <v>57</v>
      </c>
      <c r="B57" s="50"/>
      <c r="C57" s="51" t="s">
        <v>98</v>
      </c>
      <c r="D57" s="57">
        <f>SUM(D51:D56)</f>
        <v>105649981.08000001</v>
      </c>
      <c r="E57" s="57">
        <f>SUM(E51:E56)</f>
        <v>105649981.08000001</v>
      </c>
      <c r="F57" s="57">
        <f>SUM(F51:F56)</f>
        <v>105649981.08000001</v>
      </c>
      <c r="G57" s="57">
        <f>SUM(G51:G56)</f>
        <v>105649981.08000001</v>
      </c>
      <c r="H57" s="57">
        <f>SUM(H51:H56)</f>
        <v>105649981.08000001</v>
      </c>
      <c r="I57" s="57">
        <f aca="true" t="shared" si="5" ref="I57:N57">SUM(I51:I56)</f>
        <v>105649981.08000001</v>
      </c>
      <c r="J57" s="57">
        <f t="shared" si="5"/>
        <v>106072127.45</v>
      </c>
      <c r="K57" s="57">
        <f t="shared" si="5"/>
        <v>106072127.45</v>
      </c>
      <c r="L57" s="57">
        <f t="shared" si="5"/>
        <v>106072127.45</v>
      </c>
      <c r="M57" s="57">
        <f t="shared" si="5"/>
        <v>106072127.45</v>
      </c>
      <c r="N57" s="57">
        <f t="shared" si="5"/>
        <v>106072127.45</v>
      </c>
      <c r="O57" s="57">
        <f>SUM(O51:O56)</f>
        <v>106072127.45</v>
      </c>
      <c r="P57" s="57">
        <f>SUM(P51:P56)</f>
        <v>106072127.45</v>
      </c>
      <c r="Q57" s="58">
        <f>SUM(Q51:Q56)</f>
        <v>105878643</v>
      </c>
      <c r="R57" s="53">
        <f>ROUND(+S57/Q57,4)</f>
        <v>0.0238</v>
      </c>
      <c r="S57" s="58">
        <f>SUM(S51:S56)</f>
        <v>2520507</v>
      </c>
      <c r="T57" s="57">
        <f>SUM(T51:T56)</f>
        <v>51426057.00000001</v>
      </c>
    </row>
    <row r="58" spans="1:20" s="54" customFormat="1" ht="12.75">
      <c r="A58" s="147">
        <f>ROW()</f>
        <v>58</v>
      </c>
      <c r="B58" s="50"/>
      <c r="C58" s="51" t="s">
        <v>102</v>
      </c>
      <c r="D58" s="52"/>
      <c r="E58" s="52"/>
      <c r="F58" s="52"/>
      <c r="G58" s="52"/>
      <c r="H58" s="52"/>
      <c r="I58" s="52"/>
      <c r="J58" s="52"/>
      <c r="K58" s="52"/>
      <c r="L58" s="52"/>
      <c r="M58" s="52"/>
      <c r="N58" s="52"/>
      <c r="O58" s="52"/>
      <c r="P58" s="52"/>
      <c r="Q58" s="30"/>
      <c r="R58" s="53"/>
      <c r="S58" s="30"/>
      <c r="T58" s="29"/>
    </row>
    <row r="59" spans="1:20" s="54" customFormat="1" ht="12.75">
      <c r="A59" s="147">
        <f>ROW()</f>
        <v>59</v>
      </c>
      <c r="B59" s="50" t="s">
        <v>96</v>
      </c>
      <c r="C59" s="51" t="s">
        <v>97</v>
      </c>
      <c r="D59" s="52">
        <v>253865.48</v>
      </c>
      <c r="E59" s="52">
        <v>253865.48</v>
      </c>
      <c r="F59" s="52">
        <v>253865.48</v>
      </c>
      <c r="G59" s="52">
        <v>253865.48</v>
      </c>
      <c r="H59" s="52">
        <v>253865.48</v>
      </c>
      <c r="I59" s="52">
        <v>253865.48</v>
      </c>
      <c r="J59" s="52">
        <v>253865.48</v>
      </c>
      <c r="K59" s="52">
        <v>253865.48</v>
      </c>
      <c r="L59" s="52">
        <v>253865.48</v>
      </c>
      <c r="M59" s="52">
        <v>253865.48</v>
      </c>
      <c r="N59" s="52">
        <v>253865.48</v>
      </c>
      <c r="O59" s="52">
        <v>253865.48</v>
      </c>
      <c r="P59" s="52">
        <v>253865.48</v>
      </c>
      <c r="Q59" s="30">
        <f>ROUND(((D59+P59)+(SUM(E59:O59)*2))/24,0)</f>
        <v>253865</v>
      </c>
      <c r="R59" s="56">
        <v>0.0246</v>
      </c>
      <c r="S59" s="30">
        <f>ROUND(Q59*R59,0)</f>
        <v>6245</v>
      </c>
      <c r="T59" s="29">
        <v>123887.69</v>
      </c>
    </row>
    <row r="60" spans="1:20" s="54" customFormat="1" ht="12.75">
      <c r="A60" s="147">
        <f>ROW()</f>
        <v>60</v>
      </c>
      <c r="B60" s="50"/>
      <c r="C60" s="51" t="s">
        <v>98</v>
      </c>
      <c r="D60" s="57">
        <f>SUM(D59)</f>
        <v>253865.48</v>
      </c>
      <c r="E60" s="57">
        <f>SUM(E59)</f>
        <v>253865.48</v>
      </c>
      <c r="F60" s="57">
        <f>SUM(F59)</f>
        <v>253865.48</v>
      </c>
      <c r="G60" s="57">
        <f>SUM(G59)</f>
        <v>253865.48</v>
      </c>
      <c r="H60" s="57">
        <f>SUM(H59)</f>
        <v>253865.48</v>
      </c>
      <c r="I60" s="57">
        <f aca="true" t="shared" si="6" ref="I60:N60">SUM(I59)</f>
        <v>253865.48</v>
      </c>
      <c r="J60" s="57">
        <f t="shared" si="6"/>
        <v>253865.48</v>
      </c>
      <c r="K60" s="57">
        <f t="shared" si="6"/>
        <v>253865.48</v>
      </c>
      <c r="L60" s="57">
        <f t="shared" si="6"/>
        <v>253865.48</v>
      </c>
      <c r="M60" s="57">
        <f t="shared" si="6"/>
        <v>253865.48</v>
      </c>
      <c r="N60" s="57">
        <f t="shared" si="6"/>
        <v>253865.48</v>
      </c>
      <c r="O60" s="57">
        <f>SUM(O59)</f>
        <v>253865.48</v>
      </c>
      <c r="P60" s="57">
        <f>SUM(P59)</f>
        <v>253865.48</v>
      </c>
      <c r="Q60" s="57">
        <f>SUM(Q59)</f>
        <v>253865</v>
      </c>
      <c r="R60" s="53">
        <f>ROUND(+S60/Q60,4)</f>
        <v>0.0246</v>
      </c>
      <c r="S60" s="58">
        <f>SUM(S59:S59)</f>
        <v>6245</v>
      </c>
      <c r="T60" s="57">
        <f>SUM(T59)</f>
        <v>123887.69</v>
      </c>
    </row>
    <row r="61" spans="1:20" s="54" customFormat="1" ht="12.75">
      <c r="A61" s="147">
        <f>ROW()</f>
        <v>61</v>
      </c>
      <c r="B61" s="51" t="s">
        <v>118</v>
      </c>
      <c r="D61" s="52">
        <v>8316981</v>
      </c>
      <c r="E61" s="52"/>
      <c r="F61" s="52"/>
      <c r="G61" s="52"/>
      <c r="H61" s="52"/>
      <c r="I61" s="52"/>
      <c r="J61" s="52"/>
      <c r="K61" s="52"/>
      <c r="L61" s="52"/>
      <c r="M61" s="52"/>
      <c r="N61" s="52"/>
      <c r="O61" s="52"/>
      <c r="P61" s="52"/>
      <c r="Q61" s="52"/>
      <c r="R61" s="53"/>
      <c r="S61" s="30"/>
      <c r="T61" s="52"/>
    </row>
    <row r="62" spans="1:20" s="54" customFormat="1" ht="12.75">
      <c r="A62" s="147">
        <f>ROW()</f>
        <v>62</v>
      </c>
      <c r="B62" s="51" t="s">
        <v>119</v>
      </c>
      <c r="D62" s="59">
        <v>2449668</v>
      </c>
      <c r="E62" s="52"/>
      <c r="F62" s="52"/>
      <c r="G62" s="52"/>
      <c r="H62" s="52"/>
      <c r="I62" s="52"/>
      <c r="J62" s="52"/>
      <c r="K62" s="52"/>
      <c r="L62" s="52"/>
      <c r="M62" s="52"/>
      <c r="N62" s="52"/>
      <c r="O62" s="52"/>
      <c r="P62" s="52"/>
      <c r="Q62" s="52"/>
      <c r="R62" s="53"/>
      <c r="S62" s="30"/>
      <c r="T62" s="52"/>
    </row>
    <row r="63" spans="1:20" ht="12.75">
      <c r="A63" s="147">
        <f>ROW()</f>
        <v>63</v>
      </c>
      <c r="C63" s="35" t="s">
        <v>120</v>
      </c>
      <c r="D63" s="41">
        <f>D60+D57+D50+D43+D36+D29+D22+D61+D62</f>
        <v>647044432.07</v>
      </c>
      <c r="S63" s="41">
        <f>S60+S57+S50+S43+S36+S29+S22</f>
        <v>17794640</v>
      </c>
      <c r="T63" s="41">
        <f>T60+T57+T50+T43+T36+T29+T22</f>
        <v>329162408.73</v>
      </c>
    </row>
    <row r="64" spans="4:20" ht="12.75">
      <c r="D64" s="41"/>
      <c r="S64" s="41"/>
      <c r="T64" s="41"/>
    </row>
    <row r="65" spans="4:20" ht="12.75">
      <c r="D65" s="41"/>
      <c r="S65" s="41"/>
      <c r="T65" s="41"/>
    </row>
    <row r="66" spans="4:20" ht="12.75">
      <c r="D66" s="41"/>
      <c r="S66" s="41"/>
      <c r="T66" s="41"/>
    </row>
    <row r="67" spans="4:19" ht="12.75">
      <c r="D67" s="41"/>
      <c r="S67" s="41"/>
    </row>
    <row r="68" spans="4:20" ht="12.75">
      <c r="D68" s="41"/>
      <c r="S68" s="41"/>
      <c r="T68" s="254" t="s">
        <v>369</v>
      </c>
    </row>
    <row r="69" spans="1:2" ht="12.75">
      <c r="A69" s="147">
        <f>ROW()</f>
        <v>69</v>
      </c>
      <c r="B69" s="35" t="s">
        <v>243</v>
      </c>
    </row>
    <row r="70" spans="1:4" ht="12.75">
      <c r="A70" s="147">
        <f>ROW()</f>
        <v>70</v>
      </c>
      <c r="D70" s="35" t="s">
        <v>121</v>
      </c>
    </row>
    <row r="71" spans="1:4" ht="12.75">
      <c r="A71" s="147">
        <f>ROW()</f>
        <v>71</v>
      </c>
      <c r="B71" s="35" t="s">
        <v>122</v>
      </c>
      <c r="C71" s="35" t="s">
        <v>123</v>
      </c>
      <c r="D71" s="35" t="s">
        <v>124</v>
      </c>
    </row>
    <row r="72" spans="1:16" ht="12.75">
      <c r="A72" s="147">
        <f>ROW()</f>
        <v>72</v>
      </c>
      <c r="B72" s="60" t="s">
        <v>125</v>
      </c>
      <c r="C72" s="35" t="s">
        <v>126</v>
      </c>
      <c r="D72" s="36">
        <v>76685.22</v>
      </c>
      <c r="P72" s="36"/>
    </row>
    <row r="73" spans="1:16" ht="12.75">
      <c r="A73" s="147">
        <f>ROW()</f>
        <v>73</v>
      </c>
      <c r="B73" s="60" t="s">
        <v>127</v>
      </c>
      <c r="C73" s="35" t="s">
        <v>128</v>
      </c>
      <c r="D73" s="36">
        <v>108580.86</v>
      </c>
      <c r="P73" s="36"/>
    </row>
    <row r="74" spans="1:16" ht="12.75">
      <c r="A74" s="147">
        <f>ROW()</f>
        <v>74</v>
      </c>
      <c r="B74" s="60" t="s">
        <v>129</v>
      </c>
      <c r="C74" s="35" t="s">
        <v>130</v>
      </c>
      <c r="D74" s="36">
        <v>1217034.05</v>
      </c>
      <c r="P74" s="36"/>
    </row>
    <row r="75" spans="1:16" ht="12.75">
      <c r="A75" s="147">
        <f>ROW()</f>
        <v>75</v>
      </c>
      <c r="B75" s="60" t="s">
        <v>131</v>
      </c>
      <c r="C75" s="35" t="s">
        <v>132</v>
      </c>
      <c r="D75" s="36">
        <v>624831.02</v>
      </c>
      <c r="P75" s="36"/>
    </row>
    <row r="76" spans="1:16" ht="12.75">
      <c r="A76" s="147">
        <f>ROW()</f>
        <v>76</v>
      </c>
      <c r="B76" s="60" t="s">
        <v>133</v>
      </c>
      <c r="C76" s="35" t="s">
        <v>134</v>
      </c>
      <c r="D76" s="36">
        <v>-208932.75</v>
      </c>
      <c r="P76" s="36"/>
    </row>
    <row r="77" spans="1:16" ht="12.75">
      <c r="A77" s="147">
        <f>ROW()</f>
        <v>77</v>
      </c>
      <c r="B77" s="60" t="s">
        <v>135</v>
      </c>
      <c r="C77" s="35" t="s">
        <v>136</v>
      </c>
      <c r="D77" s="36">
        <v>-223912.97</v>
      </c>
      <c r="P77" s="36"/>
    </row>
    <row r="78" spans="1:16" ht="12.75">
      <c r="A78" s="147">
        <f>ROW()</f>
        <v>78</v>
      </c>
      <c r="B78" s="60" t="s">
        <v>137</v>
      </c>
      <c r="C78" s="35" t="s">
        <v>138</v>
      </c>
      <c r="D78" s="36">
        <v>3320268.65</v>
      </c>
      <c r="P78" s="36"/>
    </row>
    <row r="79" spans="1:16" ht="12.75">
      <c r="A79" s="147">
        <f>ROW()</f>
        <v>79</v>
      </c>
      <c r="B79" s="60" t="s">
        <v>139</v>
      </c>
      <c r="C79" s="35" t="s">
        <v>140</v>
      </c>
      <c r="D79" s="36">
        <v>2515968.17</v>
      </c>
      <c r="P79" s="36"/>
    </row>
    <row r="80" spans="1:16" ht="12.75">
      <c r="A80" s="147">
        <f>ROW()</f>
        <v>80</v>
      </c>
      <c r="B80" s="60" t="s">
        <v>141</v>
      </c>
      <c r="C80" s="35" t="s">
        <v>142</v>
      </c>
      <c r="D80" s="36">
        <v>-2398.71</v>
      </c>
      <c r="P80" s="36"/>
    </row>
    <row r="81" spans="1:16" ht="12.75">
      <c r="A81" s="147">
        <f>ROW()</f>
        <v>81</v>
      </c>
      <c r="B81" s="60" t="s">
        <v>143</v>
      </c>
      <c r="C81" s="35" t="s">
        <v>144</v>
      </c>
      <c r="D81" s="36">
        <v>95991.43</v>
      </c>
      <c r="P81" s="36"/>
    </row>
    <row r="82" spans="1:16" ht="12.75">
      <c r="A82" s="147">
        <f>ROW()</f>
        <v>82</v>
      </c>
      <c r="B82" s="60" t="s">
        <v>145</v>
      </c>
      <c r="C82" s="35" t="s">
        <v>146</v>
      </c>
      <c r="D82" s="36">
        <v>131692.2</v>
      </c>
      <c r="P82" s="36"/>
    </row>
    <row r="83" spans="1:16" ht="12.75">
      <c r="A83" s="147">
        <f>ROW()</f>
        <v>83</v>
      </c>
      <c r="B83" s="60" t="s">
        <v>147</v>
      </c>
      <c r="C83" s="35" t="s">
        <v>148</v>
      </c>
      <c r="D83" s="36">
        <v>669151.43</v>
      </c>
      <c r="P83" s="36"/>
    </row>
    <row r="84" spans="1:16" ht="12.75">
      <c r="A84" s="147">
        <f>ROW()</f>
        <v>84</v>
      </c>
      <c r="B84" s="60" t="s">
        <v>149</v>
      </c>
      <c r="C84" s="35" t="s">
        <v>150</v>
      </c>
      <c r="D84" s="36">
        <v>539405.27</v>
      </c>
      <c r="P84" s="36"/>
    </row>
    <row r="85" spans="1:16" ht="12.75">
      <c r="A85" s="147">
        <f>ROW()</f>
        <v>85</v>
      </c>
      <c r="B85" s="60" t="s">
        <v>151</v>
      </c>
      <c r="C85" s="35" t="s">
        <v>152</v>
      </c>
      <c r="D85" s="36">
        <v>405072.28</v>
      </c>
      <c r="P85" s="36"/>
    </row>
    <row r="86" spans="1:16" ht="12.75">
      <c r="A86" s="147">
        <f>ROW()</f>
        <v>86</v>
      </c>
      <c r="B86" s="60" t="s">
        <v>153</v>
      </c>
      <c r="C86" s="35" t="s">
        <v>154</v>
      </c>
      <c r="D86" s="36">
        <v>373938.48</v>
      </c>
      <c r="P86" s="36"/>
    </row>
    <row r="87" spans="1:16" ht="12.75">
      <c r="A87" s="147">
        <f>ROW()</f>
        <v>87</v>
      </c>
      <c r="B87" s="60" t="s">
        <v>155</v>
      </c>
      <c r="C87" s="35" t="s">
        <v>156</v>
      </c>
      <c r="D87" s="36">
        <v>4902127.75</v>
      </c>
      <c r="P87" s="36"/>
    </row>
    <row r="88" spans="1:16" ht="12.75">
      <c r="A88" s="147">
        <f>ROW()</f>
        <v>88</v>
      </c>
      <c r="B88" s="60" t="s">
        <v>157</v>
      </c>
      <c r="C88" s="35" t="s">
        <v>158</v>
      </c>
      <c r="D88" s="36">
        <v>5967278</v>
      </c>
      <c r="P88" s="36"/>
    </row>
    <row r="89" spans="1:16" ht="12.75">
      <c r="A89" s="147">
        <f>ROW()</f>
        <v>89</v>
      </c>
      <c r="B89" s="60" t="s">
        <v>159</v>
      </c>
      <c r="C89" s="35" t="s">
        <v>160</v>
      </c>
      <c r="D89" s="36">
        <v>-178069.13</v>
      </c>
      <c r="P89" s="36"/>
    </row>
    <row r="90" spans="1:16" ht="12.75">
      <c r="A90" s="147">
        <f>ROW()</f>
        <v>90</v>
      </c>
      <c r="B90" s="60" t="s">
        <v>161</v>
      </c>
      <c r="C90" s="35" t="s">
        <v>162</v>
      </c>
      <c r="D90" s="36">
        <v>705532.85</v>
      </c>
      <c r="P90" s="36"/>
    </row>
    <row r="91" spans="1:16" ht="12.75">
      <c r="A91" s="147">
        <f>ROW()</f>
        <v>91</v>
      </c>
      <c r="B91" s="60" t="s">
        <v>163</v>
      </c>
      <c r="C91" s="35" t="s">
        <v>164</v>
      </c>
      <c r="D91" s="36">
        <v>4578888.08</v>
      </c>
      <c r="P91" s="36"/>
    </row>
    <row r="92" spans="1:16" ht="12.75">
      <c r="A92" s="147">
        <f>ROW()</f>
        <v>92</v>
      </c>
      <c r="B92" s="60" t="s">
        <v>165</v>
      </c>
      <c r="C92" s="35" t="s">
        <v>166</v>
      </c>
      <c r="D92" s="36">
        <v>1159196.33</v>
      </c>
      <c r="P92" s="33"/>
    </row>
    <row r="93" spans="1:16" ht="12.75">
      <c r="A93" s="147">
        <f>ROW()</f>
        <v>93</v>
      </c>
      <c r="B93" s="60"/>
      <c r="C93" s="61" t="s">
        <v>167</v>
      </c>
      <c r="D93" s="39">
        <v>6027509</v>
      </c>
      <c r="P93" s="33"/>
    </row>
    <row r="94" spans="1:16" ht="12.75">
      <c r="A94" s="147">
        <f>ROW()</f>
        <v>94</v>
      </c>
      <c r="B94" s="60"/>
      <c r="C94" s="61" t="s">
        <v>168</v>
      </c>
      <c r="D94" s="62">
        <v>1729406</v>
      </c>
      <c r="P94" s="33"/>
    </row>
    <row r="95" spans="1:16" ht="12.75">
      <c r="A95" s="147">
        <f>ROW()</f>
        <v>95</v>
      </c>
      <c r="B95" s="60" t="s">
        <v>169</v>
      </c>
      <c r="C95" s="35" t="s">
        <v>170</v>
      </c>
      <c r="D95" s="36">
        <f>S63</f>
        <v>17794640</v>
      </c>
      <c r="P95" s="33"/>
    </row>
    <row r="96" spans="1:16" ht="13.5" thickBot="1">
      <c r="A96" s="147">
        <f>ROW()</f>
        <v>96</v>
      </c>
      <c r="B96" s="60"/>
      <c r="D96" s="63">
        <f>SUM(D72:D95)</f>
        <v>52329883.51</v>
      </c>
      <c r="P96" s="64"/>
    </row>
    <row r="97" ht="13.5" thickTop="1">
      <c r="P97" s="65"/>
    </row>
  </sheetData>
  <printOptions/>
  <pageMargins left="0.89" right="0.3" top="1" bottom="1" header="0.5" footer="0.5"/>
  <pageSetup horizontalDpi="600" verticalDpi="600" orientation="portrait" scale="70" r:id="rId1"/>
  <headerFooter alignWithMargins="0">
    <oddHeader>&amp;L
PCA Collaborative</oddHeader>
    <oddFooter>&amp;C&amp;A</oddFooter>
  </headerFooter>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F54"/>
  <sheetViews>
    <sheetView workbookViewId="0" topLeftCell="A1">
      <selection activeCell="B1" sqref="B1"/>
    </sheetView>
  </sheetViews>
  <sheetFormatPr defaultColWidth="9.140625" defaultRowHeight="12.75"/>
  <cols>
    <col min="1" max="1" width="5.00390625" style="0" bestFit="1" customWidth="1"/>
    <col min="2" max="2" width="35.00390625" style="0" bestFit="1" customWidth="1"/>
    <col min="3" max="3" width="11.8515625" style="0" bestFit="1" customWidth="1"/>
    <col min="4" max="4" width="13.00390625" style="0" bestFit="1" customWidth="1"/>
    <col min="5" max="5" width="10.7109375" style="0" customWidth="1"/>
    <col min="6" max="6" width="11.57421875" style="0" customWidth="1"/>
  </cols>
  <sheetData>
    <row r="1" spans="1:6" ht="18">
      <c r="A1" s="66"/>
      <c r="B1" s="142" t="s">
        <v>257</v>
      </c>
      <c r="C1" s="66"/>
      <c r="D1" s="66"/>
      <c r="E1" s="66"/>
      <c r="F1" s="66"/>
    </row>
    <row r="2" spans="1:6" ht="13.5" thickBot="1">
      <c r="A2" s="66"/>
      <c r="B2" s="66"/>
      <c r="C2" s="66"/>
      <c r="D2" s="66"/>
      <c r="E2" s="66"/>
      <c r="F2" s="66"/>
    </row>
    <row r="3" spans="1:6" ht="14.25" thickBot="1" thickTop="1">
      <c r="A3" s="67"/>
      <c r="B3" s="67"/>
      <c r="C3" s="67"/>
      <c r="D3" s="67"/>
      <c r="E3" s="68" t="s">
        <v>171</v>
      </c>
      <c r="F3" s="67"/>
    </row>
    <row r="4" spans="1:6" ht="13.5" thickTop="1">
      <c r="A4" s="69" t="s">
        <v>172</v>
      </c>
      <c r="B4" s="70"/>
      <c r="C4" s="70"/>
      <c r="D4" s="70"/>
      <c r="E4" s="70"/>
      <c r="F4" s="67"/>
    </row>
    <row r="5" spans="1:6" ht="12.75">
      <c r="A5" s="70" t="s">
        <v>173</v>
      </c>
      <c r="B5" s="70"/>
      <c r="C5" s="70"/>
      <c r="D5" s="70"/>
      <c r="E5" s="71"/>
      <c r="F5" s="67"/>
    </row>
    <row r="6" spans="1:6" ht="12.75">
      <c r="A6" s="70" t="s">
        <v>174</v>
      </c>
      <c r="B6" s="70"/>
      <c r="C6" s="70"/>
      <c r="D6" s="70"/>
      <c r="E6" s="72"/>
      <c r="F6" s="67"/>
    </row>
    <row r="7" spans="1:6" ht="12.75">
      <c r="A7" s="69" t="s">
        <v>175</v>
      </c>
      <c r="B7" s="70"/>
      <c r="C7" s="70"/>
      <c r="D7" s="70"/>
      <c r="E7" s="72"/>
      <c r="F7" s="67"/>
    </row>
    <row r="8" spans="1:6" ht="12.75">
      <c r="A8" s="67"/>
      <c r="B8" s="67"/>
      <c r="C8" s="67"/>
      <c r="D8" s="67"/>
      <c r="E8" s="67"/>
      <c r="F8" s="67"/>
    </row>
    <row r="9" spans="1:6" ht="12.75">
      <c r="A9" s="73" t="s">
        <v>176</v>
      </c>
      <c r="B9" s="67"/>
      <c r="C9" s="74" t="s">
        <v>177</v>
      </c>
      <c r="D9" s="75" t="s">
        <v>178</v>
      </c>
      <c r="E9" s="74" t="s">
        <v>179</v>
      </c>
      <c r="F9" s="67"/>
    </row>
    <row r="10" spans="1:6" ht="12.75">
      <c r="A10" s="76" t="s">
        <v>180</v>
      </c>
      <c r="B10" s="77" t="s">
        <v>83</v>
      </c>
      <c r="C10" s="76" t="s">
        <v>181</v>
      </c>
      <c r="D10" s="78">
        <v>0.0284</v>
      </c>
      <c r="E10" s="79">
        <v>0.35</v>
      </c>
      <c r="F10" s="67"/>
    </row>
    <row r="11" spans="1:6" ht="12.75">
      <c r="A11" s="66"/>
      <c r="B11" s="66"/>
      <c r="C11" s="66"/>
      <c r="D11" s="66"/>
      <c r="E11" s="66"/>
      <c r="F11" s="66"/>
    </row>
    <row r="12" spans="1:6" ht="12.75">
      <c r="A12" s="80">
        <v>1</v>
      </c>
      <c r="B12" s="81" t="s">
        <v>182</v>
      </c>
      <c r="C12" s="82"/>
      <c r="D12" s="82"/>
      <c r="E12" s="82"/>
      <c r="F12" s="66"/>
    </row>
    <row r="13" spans="1:6" ht="12.75">
      <c r="A13" s="80">
        <f>A12+1</f>
        <v>2</v>
      </c>
      <c r="B13" s="81" t="s">
        <v>183</v>
      </c>
      <c r="C13" s="82">
        <v>0</v>
      </c>
      <c r="D13" s="82">
        <f>+C13*-$D$10</f>
        <v>0</v>
      </c>
      <c r="E13" s="82">
        <f>ROUND(+D13*-$E$10,0)</f>
        <v>0</v>
      </c>
      <c r="F13" s="66"/>
    </row>
    <row r="14" spans="1:6" ht="12.75">
      <c r="A14" s="80">
        <f aca="true" t="shared" si="0" ref="A14:A54">A13+1</f>
        <v>3</v>
      </c>
      <c r="B14" s="66" t="s">
        <v>184</v>
      </c>
      <c r="C14" s="82">
        <v>0</v>
      </c>
      <c r="D14" s="82">
        <f>+C14*-$D$10</f>
        <v>0</v>
      </c>
      <c r="E14" s="82">
        <f>ROUND(+D14*-$E$10,0)</f>
        <v>0</v>
      </c>
      <c r="F14" s="66"/>
    </row>
    <row r="15" spans="1:6" ht="12.75">
      <c r="A15" s="80">
        <f t="shared" si="0"/>
        <v>4</v>
      </c>
      <c r="B15" s="66" t="s">
        <v>185</v>
      </c>
      <c r="C15" s="83">
        <f>SUM(C12:C14)</f>
        <v>0</v>
      </c>
      <c r="D15" s="83">
        <f>SUM(D12:D14)</f>
        <v>0</v>
      </c>
      <c r="E15" s="83">
        <f>SUM(E12:E14)</f>
        <v>0</v>
      </c>
      <c r="F15" s="66"/>
    </row>
    <row r="16" spans="1:6" ht="12.75">
      <c r="A16" s="80">
        <f t="shared" si="0"/>
        <v>5</v>
      </c>
      <c r="B16" s="66"/>
      <c r="C16" s="66"/>
      <c r="D16" s="66"/>
      <c r="E16" s="66"/>
      <c r="F16" s="66"/>
    </row>
    <row r="17" spans="1:6" ht="12.75">
      <c r="A17" s="80">
        <f t="shared" si="0"/>
        <v>6</v>
      </c>
      <c r="B17" s="81" t="s">
        <v>186</v>
      </c>
      <c r="C17" s="82">
        <v>783939</v>
      </c>
      <c r="D17" s="82">
        <f>+C17*-$D$10</f>
        <v>-22263.8676</v>
      </c>
      <c r="E17" s="82">
        <f>ROUND(+D17*-$E$10,0)</f>
        <v>7792</v>
      </c>
      <c r="F17" s="66"/>
    </row>
    <row r="18" spans="1:6" ht="12.75">
      <c r="A18" s="80">
        <f t="shared" si="0"/>
        <v>7</v>
      </c>
      <c r="B18" s="81" t="s">
        <v>187</v>
      </c>
      <c r="C18" s="84">
        <v>1026555</v>
      </c>
      <c r="D18" s="82">
        <f>+C18*-$D$10</f>
        <v>-29154.162</v>
      </c>
      <c r="E18" s="82">
        <f>ROUND(+D18*-$E$10,0)</f>
        <v>10204</v>
      </c>
      <c r="F18" s="66"/>
    </row>
    <row r="19" spans="1:6" ht="12.75">
      <c r="A19" s="80">
        <f t="shared" si="0"/>
        <v>8</v>
      </c>
      <c r="B19" s="81" t="s">
        <v>188</v>
      </c>
      <c r="C19" s="85">
        <f>SUM(C17:C18)</f>
        <v>1810494</v>
      </c>
      <c r="D19" s="85">
        <f>SUM(D17:D18)</f>
        <v>-51418.0296</v>
      </c>
      <c r="E19" s="85">
        <f>SUM(E17:E18)</f>
        <v>17996</v>
      </c>
      <c r="F19" s="66"/>
    </row>
    <row r="20" spans="1:6" ht="12.75">
      <c r="A20" s="80">
        <f t="shared" si="0"/>
        <v>9</v>
      </c>
      <c r="B20" s="81"/>
      <c r="C20" s="82"/>
      <c r="D20" s="82"/>
      <c r="E20" s="82"/>
      <c r="F20" s="66"/>
    </row>
    <row r="21" spans="1:6" ht="12.75">
      <c r="A21" s="80">
        <f t="shared" si="0"/>
        <v>10</v>
      </c>
      <c r="B21" s="81" t="s">
        <v>189</v>
      </c>
      <c r="C21" s="66"/>
      <c r="D21" s="82"/>
      <c r="E21" s="66"/>
      <c r="F21" s="66"/>
    </row>
    <row r="22" spans="1:6" ht="12.75">
      <c r="A22" s="80">
        <f t="shared" si="0"/>
        <v>11</v>
      </c>
      <c r="B22" s="81" t="s">
        <v>190</v>
      </c>
      <c r="C22" s="82">
        <f>37325792</f>
        <v>37325792</v>
      </c>
      <c r="D22" s="82">
        <f>+C22*-$D$10</f>
        <v>-1060052.4928000001</v>
      </c>
      <c r="E22" s="82">
        <v>263024</v>
      </c>
      <c r="F22" s="66"/>
    </row>
    <row r="23" spans="1:6" ht="12.75">
      <c r="A23" s="80">
        <f t="shared" si="0"/>
        <v>12</v>
      </c>
      <c r="B23" s="81" t="s">
        <v>183</v>
      </c>
      <c r="C23" s="82">
        <f>3526620</f>
        <v>3526620</v>
      </c>
      <c r="D23" s="82">
        <f>+C23*-$D$10</f>
        <v>-100156.008</v>
      </c>
      <c r="E23" s="82">
        <f>ROUND(+D23*-$E$10,0)</f>
        <v>35055</v>
      </c>
      <c r="F23" s="66"/>
    </row>
    <row r="24" spans="1:6" ht="12.75">
      <c r="A24" s="80">
        <f t="shared" si="0"/>
        <v>13</v>
      </c>
      <c r="B24" s="81" t="s">
        <v>191</v>
      </c>
      <c r="C24" s="82">
        <v>0</v>
      </c>
      <c r="D24" s="82">
        <f>+C24*-$D$10</f>
        <v>0</v>
      </c>
      <c r="E24" s="82">
        <f>ROUND(+D24*-$E$10,0)</f>
        <v>0</v>
      </c>
      <c r="F24" s="66"/>
    </row>
    <row r="25" spans="1:6" ht="12.75">
      <c r="A25" s="80">
        <f t="shared" si="0"/>
        <v>14</v>
      </c>
      <c r="B25" s="66" t="s">
        <v>192</v>
      </c>
      <c r="C25" s="83">
        <f>SUM(C22:C24)</f>
        <v>40852412</v>
      </c>
      <c r="D25" s="83">
        <f>SUM(D22:D24)</f>
        <v>-1160208.5008</v>
      </c>
      <c r="E25" s="83">
        <f>SUM(E22:E24)</f>
        <v>298079</v>
      </c>
      <c r="F25" s="66"/>
    </row>
    <row r="26" spans="1:6" ht="12.75">
      <c r="A26" s="80">
        <f t="shared" si="0"/>
        <v>15</v>
      </c>
      <c r="B26" s="66"/>
      <c r="C26" s="66"/>
      <c r="D26" s="66"/>
      <c r="E26" s="66"/>
      <c r="F26" s="86"/>
    </row>
    <row r="27" spans="1:6" ht="12.75">
      <c r="A27" s="80">
        <f t="shared" si="0"/>
        <v>16</v>
      </c>
      <c r="B27" s="81" t="s">
        <v>193</v>
      </c>
      <c r="C27" s="87"/>
      <c r="D27" s="87"/>
      <c r="E27" s="87"/>
      <c r="F27" s="66"/>
    </row>
    <row r="28" spans="1:6" ht="12.75">
      <c r="A28" s="80">
        <f t="shared" si="0"/>
        <v>17</v>
      </c>
      <c r="B28" s="81" t="s">
        <v>194</v>
      </c>
      <c r="C28" s="82">
        <v>3041963</v>
      </c>
      <c r="D28" s="82">
        <f>+C28*-$D$10</f>
        <v>-86391.7492</v>
      </c>
      <c r="E28" s="82">
        <f>ROUND(+D28*-$E$10,0)</f>
        <v>30237</v>
      </c>
      <c r="F28" s="66"/>
    </row>
    <row r="29" spans="1:6" ht="12.75">
      <c r="A29" s="80">
        <f t="shared" si="0"/>
        <v>18</v>
      </c>
      <c r="B29" s="81" t="s">
        <v>195</v>
      </c>
      <c r="C29" s="82">
        <v>6027509</v>
      </c>
      <c r="D29" s="82">
        <f>+C29*-$D$10</f>
        <v>-171181.2556</v>
      </c>
      <c r="E29" s="82">
        <f>ROUND(+D29*-$E$10,0)</f>
        <v>59913</v>
      </c>
      <c r="F29" s="66"/>
    </row>
    <row r="30" spans="1:6" ht="12.75">
      <c r="A30" s="80">
        <f t="shared" si="0"/>
        <v>19</v>
      </c>
      <c r="B30" s="81" t="s">
        <v>196</v>
      </c>
      <c r="C30" s="82">
        <v>1729406</v>
      </c>
      <c r="D30" s="82">
        <f>+C30*-$D$10</f>
        <v>-49115.1304</v>
      </c>
      <c r="E30" s="82">
        <f>ROUND(+D30*-$E$10,0)</f>
        <v>17190</v>
      </c>
      <c r="F30" s="66"/>
    </row>
    <row r="31" spans="1:6" ht="12.75">
      <c r="A31" s="80">
        <f t="shared" si="0"/>
        <v>20</v>
      </c>
      <c r="B31" s="81" t="s">
        <v>197</v>
      </c>
      <c r="C31" s="82">
        <v>630032</v>
      </c>
      <c r="D31" s="82">
        <f>+C31*-$D$10</f>
        <v>-17892.9088</v>
      </c>
      <c r="E31" s="82">
        <f>ROUND(+D31*-$E$10,0)</f>
        <v>6263</v>
      </c>
      <c r="F31" s="66"/>
    </row>
    <row r="32" spans="1:6" ht="12.75">
      <c r="A32" s="80">
        <f t="shared" si="0"/>
        <v>21</v>
      </c>
      <c r="B32" s="81" t="s">
        <v>198</v>
      </c>
      <c r="C32" s="85">
        <f>SUM(C27:C31)</f>
        <v>11428910</v>
      </c>
      <c r="D32" s="85">
        <f>SUM(D27:D31)</f>
        <v>-324581.044</v>
      </c>
      <c r="E32" s="85">
        <f>SUM(E27:E31)</f>
        <v>113603</v>
      </c>
      <c r="F32" s="86"/>
    </row>
    <row r="33" spans="1:6" ht="12.75">
      <c r="A33" s="80">
        <f t="shared" si="0"/>
        <v>22</v>
      </c>
      <c r="B33" s="86"/>
      <c r="C33" s="88"/>
      <c r="D33" s="89"/>
      <c r="E33" s="89"/>
      <c r="F33" s="66"/>
    </row>
    <row r="34" spans="1:6" ht="12.75">
      <c r="A34" s="80">
        <f t="shared" si="0"/>
        <v>23</v>
      </c>
      <c r="B34" s="81" t="s">
        <v>199</v>
      </c>
      <c r="C34" s="90"/>
      <c r="D34" s="82">
        <f>-D32-D25-D19-D15</f>
        <v>1536207.5744</v>
      </c>
      <c r="E34" s="82"/>
      <c r="F34" s="66"/>
    </row>
    <row r="35" spans="1:6" ht="12.75">
      <c r="A35" s="80">
        <f t="shared" si="0"/>
        <v>24</v>
      </c>
      <c r="B35" s="81" t="s">
        <v>200</v>
      </c>
      <c r="C35" s="91"/>
      <c r="D35" s="91"/>
      <c r="E35" s="91">
        <f>+E15+E19+E25+E32</f>
        <v>429678</v>
      </c>
      <c r="F35" s="66"/>
    </row>
    <row r="36" spans="1:6" ht="12.75">
      <c r="A36" s="80">
        <f t="shared" si="0"/>
        <v>25</v>
      </c>
      <c r="B36" s="81" t="s">
        <v>201</v>
      </c>
      <c r="C36" s="91"/>
      <c r="D36" s="91"/>
      <c r="E36" s="92">
        <f>+D34-E35</f>
        <v>1106529.5744</v>
      </c>
      <c r="F36" s="66"/>
    </row>
    <row r="37" spans="1:6" ht="12.75">
      <c r="A37" s="80">
        <f t="shared" si="0"/>
        <v>26</v>
      </c>
      <c r="B37" s="66"/>
      <c r="C37" s="91"/>
      <c r="D37" s="91"/>
      <c r="E37" s="91"/>
      <c r="F37" s="66"/>
    </row>
    <row r="38" spans="1:6" ht="12.75">
      <c r="A38" s="80">
        <f t="shared" si="0"/>
        <v>27</v>
      </c>
      <c r="B38" s="81" t="s">
        <v>202</v>
      </c>
      <c r="C38" s="91"/>
      <c r="D38" s="91"/>
      <c r="E38" s="91"/>
      <c r="F38" s="66"/>
    </row>
    <row r="39" spans="1:6" ht="12.75">
      <c r="A39" s="80">
        <f t="shared" si="0"/>
        <v>28</v>
      </c>
      <c r="B39" s="93" t="s">
        <v>203</v>
      </c>
      <c r="C39" s="94">
        <v>1065115283</v>
      </c>
      <c r="D39" s="95"/>
      <c r="E39" s="95"/>
      <c r="F39" s="87"/>
    </row>
    <row r="40" spans="1:6" ht="12.75">
      <c r="A40" s="80">
        <f t="shared" si="0"/>
        <v>29</v>
      </c>
      <c r="B40" s="81" t="s">
        <v>118</v>
      </c>
      <c r="C40" s="96">
        <v>8316981</v>
      </c>
      <c r="D40" s="66"/>
      <c r="E40" s="66"/>
      <c r="F40" s="66"/>
    </row>
    <row r="41" spans="1:6" ht="12.75">
      <c r="A41" s="80">
        <f t="shared" si="0"/>
        <v>30</v>
      </c>
      <c r="B41" s="81" t="s">
        <v>119</v>
      </c>
      <c r="C41" s="96">
        <v>2449668</v>
      </c>
      <c r="D41" s="91"/>
      <c r="E41" s="91"/>
      <c r="F41" s="66"/>
    </row>
    <row r="42" spans="1:6" ht="12.75">
      <c r="A42" s="80">
        <f t="shared" si="0"/>
        <v>31</v>
      </c>
      <c r="B42" s="97" t="s">
        <v>204</v>
      </c>
      <c r="C42" s="96">
        <v>60574557</v>
      </c>
      <c r="D42" s="139"/>
      <c r="E42" s="91"/>
      <c r="F42" s="66" t="s">
        <v>245</v>
      </c>
    </row>
    <row r="43" spans="1:6" ht="12.75">
      <c r="A43" s="80">
        <f t="shared" si="0"/>
        <v>32</v>
      </c>
      <c r="B43" s="81" t="s">
        <v>205</v>
      </c>
      <c r="C43" s="99">
        <v>51135941</v>
      </c>
      <c r="D43" s="100" t="s">
        <v>244</v>
      </c>
      <c r="E43" s="91">
        <f>SUM(C43:C45)</f>
        <v>293050941</v>
      </c>
      <c r="F43" s="40">
        <f>E43*0.9716</f>
        <v>284728294.2756</v>
      </c>
    </row>
    <row r="44" spans="1:6" ht="12.75">
      <c r="A44" s="101">
        <f t="shared" si="0"/>
        <v>33</v>
      </c>
      <c r="B44" s="102" t="s">
        <v>206</v>
      </c>
      <c r="C44" s="103">
        <v>229424000</v>
      </c>
      <c r="D44" s="104" t="s">
        <v>217</v>
      </c>
      <c r="E44" s="105"/>
      <c r="F44" s="106"/>
    </row>
    <row r="45" spans="1:6" ht="12.75">
      <c r="A45" s="80">
        <f t="shared" si="0"/>
        <v>34</v>
      </c>
      <c r="B45" s="81" t="s">
        <v>207</v>
      </c>
      <c r="C45" s="99">
        <v>12491000</v>
      </c>
      <c r="D45" s="98"/>
      <c r="E45" s="66"/>
      <c r="F45" s="66"/>
    </row>
    <row r="46" spans="1:6" ht="12.75">
      <c r="A46" s="80">
        <f t="shared" si="0"/>
        <v>35</v>
      </c>
      <c r="B46" s="97" t="s">
        <v>208</v>
      </c>
      <c r="C46" s="99">
        <v>-519770787</v>
      </c>
      <c r="D46" s="107"/>
      <c r="E46" s="82"/>
      <c r="F46" s="66"/>
    </row>
    <row r="47" spans="1:6" ht="12.75">
      <c r="A47" s="80">
        <f t="shared" si="0"/>
        <v>36</v>
      </c>
      <c r="B47" s="97" t="s">
        <v>209</v>
      </c>
      <c r="C47" s="99">
        <v>-3186245</v>
      </c>
      <c r="D47" s="82"/>
      <c r="E47" s="91"/>
      <c r="F47" s="66"/>
    </row>
    <row r="48" spans="1:6" ht="12.75">
      <c r="A48" s="80">
        <f t="shared" si="0"/>
        <v>37</v>
      </c>
      <c r="B48" s="81" t="s">
        <v>210</v>
      </c>
      <c r="C48" s="83">
        <f>SUM(C39:C47)</f>
        <v>906550398</v>
      </c>
      <c r="D48" s="91"/>
      <c r="E48" s="91"/>
      <c r="F48" s="66"/>
    </row>
    <row r="49" spans="1:6" ht="12.75">
      <c r="A49" s="80">
        <f t="shared" si="0"/>
        <v>38</v>
      </c>
      <c r="B49" s="81"/>
      <c r="C49" s="91"/>
      <c r="D49" s="91"/>
      <c r="E49" s="91"/>
      <c r="F49" s="66"/>
    </row>
    <row r="50" spans="1:6" ht="12.75">
      <c r="A50" s="80">
        <f t="shared" si="0"/>
        <v>39</v>
      </c>
      <c r="B50" s="81" t="s">
        <v>211</v>
      </c>
      <c r="C50" s="91"/>
      <c r="D50" s="91"/>
      <c r="E50" s="91"/>
      <c r="F50" s="66"/>
    </row>
    <row r="51" spans="1:6" ht="12.75">
      <c r="A51" s="80">
        <f t="shared" si="0"/>
        <v>40</v>
      </c>
      <c r="B51" s="81" t="s">
        <v>212</v>
      </c>
      <c r="C51" s="96">
        <v>-5250238</v>
      </c>
      <c r="D51" s="91"/>
      <c r="E51" s="91"/>
      <c r="F51" s="66"/>
    </row>
    <row r="52" spans="1:6" ht="12.75">
      <c r="A52" s="80">
        <f t="shared" si="0"/>
        <v>41</v>
      </c>
      <c r="B52" s="81" t="s">
        <v>213</v>
      </c>
      <c r="C52" s="96">
        <v>-94132216</v>
      </c>
      <c r="D52" s="66"/>
      <c r="E52" s="91"/>
      <c r="F52" s="66"/>
    </row>
    <row r="53" spans="1:6" ht="12.75">
      <c r="A53" s="80">
        <f t="shared" si="0"/>
        <v>42</v>
      </c>
      <c r="B53" s="81" t="s">
        <v>214</v>
      </c>
      <c r="C53" s="108">
        <v>-17930541</v>
      </c>
      <c r="D53" s="66"/>
      <c r="E53" s="66"/>
      <c r="F53" s="66" t="s">
        <v>215</v>
      </c>
    </row>
    <row r="54" spans="1:6" ht="12.75">
      <c r="A54" s="80">
        <f t="shared" si="0"/>
        <v>43</v>
      </c>
      <c r="B54" s="81" t="s">
        <v>216</v>
      </c>
      <c r="C54" s="83">
        <f>SUM(C48:C53)</f>
        <v>789237403</v>
      </c>
      <c r="D54" s="92">
        <f>ROUND(+C54*-$D$10,0)</f>
        <v>-22414342</v>
      </c>
      <c r="E54" s="91">
        <f>C54+D54</f>
        <v>766823061</v>
      </c>
      <c r="F54" s="109">
        <f>E54-F43</f>
        <v>482094766.7244</v>
      </c>
    </row>
  </sheetData>
  <printOptions/>
  <pageMargins left="1.01" right="0.28" top="0.89" bottom="0.88" header="0.41" footer="0.47"/>
  <pageSetup horizontalDpi="600" verticalDpi="600" orientation="portrait" scale="90" r:id="rId1"/>
  <headerFooter alignWithMargins="0">
    <oddHeader>&amp;L
PCA Collaborative</oddHeader>
    <oddFooter>&amp;C&amp;A&amp;RPage  1 of 1</oddFooter>
  </headerFooter>
</worksheet>
</file>

<file path=xl/worksheets/sheet5.xml><?xml version="1.0" encoding="utf-8"?>
<worksheet xmlns="http://schemas.openxmlformats.org/spreadsheetml/2006/main" xmlns:r="http://schemas.openxmlformats.org/officeDocument/2006/relationships">
  <dimension ref="A1:E32"/>
  <sheetViews>
    <sheetView workbookViewId="0" topLeftCell="A3">
      <selection activeCell="D13" sqref="D13"/>
    </sheetView>
  </sheetViews>
  <sheetFormatPr defaultColWidth="9.140625" defaultRowHeight="12.75"/>
  <cols>
    <col min="1" max="1" width="5.00390625" style="0" bestFit="1" customWidth="1"/>
    <col min="2" max="2" width="33.421875" style="0" bestFit="1" customWidth="1"/>
    <col min="3" max="3" width="14.00390625" style="0" customWidth="1"/>
    <col min="4" max="4" width="13.421875" style="0" customWidth="1"/>
    <col min="5" max="5" width="14.8515625" style="0" customWidth="1"/>
  </cols>
  <sheetData>
    <row r="1" ht="18">
      <c r="B1" s="142" t="s">
        <v>256</v>
      </c>
    </row>
    <row r="3" spans="1:5" ht="12.75">
      <c r="A3" s="69" t="s">
        <v>172</v>
      </c>
      <c r="B3" s="70"/>
      <c r="C3" s="70"/>
      <c r="D3" s="69"/>
      <c r="E3" s="70"/>
    </row>
    <row r="4" spans="1:5" ht="12.75">
      <c r="A4" s="69" t="s">
        <v>218</v>
      </c>
      <c r="B4" s="70"/>
      <c r="C4" s="69"/>
      <c r="D4" s="70"/>
      <c r="E4" s="70"/>
    </row>
    <row r="5" spans="1:5" ht="12.75">
      <c r="A5" s="70" t="s">
        <v>174</v>
      </c>
      <c r="B5" s="70"/>
      <c r="C5" s="69"/>
      <c r="D5" s="70"/>
      <c r="E5" s="70"/>
    </row>
    <row r="6" spans="1:5" ht="12.75">
      <c r="A6" s="69" t="s">
        <v>175</v>
      </c>
      <c r="B6" s="70"/>
      <c r="C6" s="69"/>
      <c r="D6" s="69"/>
      <c r="E6" s="69"/>
    </row>
    <row r="7" spans="1:5" ht="12.75">
      <c r="A7" s="67"/>
      <c r="B7" s="67"/>
      <c r="C7" s="67"/>
      <c r="D7" s="110"/>
      <c r="E7" s="67"/>
    </row>
    <row r="8" spans="1:5" ht="12.75">
      <c r="A8" s="74" t="s">
        <v>176</v>
      </c>
      <c r="B8" s="111"/>
      <c r="C8" s="73"/>
      <c r="D8" s="112"/>
      <c r="E8" s="112" t="s">
        <v>219</v>
      </c>
    </row>
    <row r="9" spans="1:5" ht="12.75">
      <c r="A9" s="76" t="s">
        <v>180</v>
      </c>
      <c r="B9" s="113" t="s">
        <v>83</v>
      </c>
      <c r="C9" s="114" t="s">
        <v>220</v>
      </c>
      <c r="D9" s="115" t="s">
        <v>221</v>
      </c>
      <c r="E9" s="115" t="s">
        <v>222</v>
      </c>
    </row>
    <row r="10" spans="1:5" ht="12.75">
      <c r="A10" s="116"/>
      <c r="B10" s="117"/>
      <c r="C10" s="117"/>
      <c r="D10" s="117"/>
      <c r="E10" s="117"/>
    </row>
    <row r="11" spans="1:5" ht="12.75">
      <c r="A11" s="80">
        <v>1</v>
      </c>
      <c r="B11" s="118" t="s">
        <v>223</v>
      </c>
      <c r="C11" s="119"/>
      <c r="D11" s="120"/>
      <c r="E11" s="119"/>
    </row>
    <row r="12" spans="1:5" ht="12.75">
      <c r="A12" s="80">
        <f>A11+1</f>
        <v>2</v>
      </c>
      <c r="B12" s="118" t="s">
        <v>224</v>
      </c>
      <c r="C12" s="121">
        <v>297843394</v>
      </c>
      <c r="D12" s="122">
        <v>93684510</v>
      </c>
      <c r="E12" s="123">
        <f aca="true" t="shared" si="0" ref="E12:E18">D12-C12</f>
        <v>-204158884</v>
      </c>
    </row>
    <row r="13" spans="1:5" ht="12.75">
      <c r="A13" s="80">
        <f aca="true" t="shared" si="1" ref="A13:A32">A12+1</f>
        <v>3</v>
      </c>
      <c r="B13" s="118" t="s">
        <v>225</v>
      </c>
      <c r="C13" s="124">
        <v>2226570459</v>
      </c>
      <c r="D13" s="127">
        <f>534455656+72416</f>
        <v>534528072</v>
      </c>
      <c r="E13" s="125">
        <f t="shared" si="0"/>
        <v>-1692042387</v>
      </c>
    </row>
    <row r="14" spans="1:5" ht="12.75">
      <c r="A14" s="80">
        <f t="shared" si="1"/>
        <v>4</v>
      </c>
      <c r="B14" s="118" t="s">
        <v>226</v>
      </c>
      <c r="C14" s="126">
        <v>31116222</v>
      </c>
      <c r="D14" s="127">
        <v>41435360</v>
      </c>
      <c r="E14" s="128">
        <f t="shared" si="0"/>
        <v>10319138</v>
      </c>
    </row>
    <row r="15" spans="1:5" ht="12.75">
      <c r="A15" s="80">
        <f t="shared" si="1"/>
        <v>5</v>
      </c>
      <c r="B15" s="118" t="s">
        <v>227</v>
      </c>
      <c r="C15" s="126">
        <v>46736543</v>
      </c>
      <c r="D15" s="127">
        <v>51597585</v>
      </c>
      <c r="E15" s="125">
        <f t="shared" si="0"/>
        <v>4861042</v>
      </c>
    </row>
    <row r="16" spans="1:5" ht="12.75">
      <c r="A16" s="80">
        <f t="shared" si="1"/>
        <v>6</v>
      </c>
      <c r="B16" s="118" t="s">
        <v>228</v>
      </c>
      <c r="C16" s="128">
        <v>352506</v>
      </c>
      <c r="D16" s="127">
        <v>342495</v>
      </c>
      <c r="E16" s="124">
        <f t="shared" si="0"/>
        <v>-10011</v>
      </c>
    </row>
    <row r="17" spans="1:5" ht="12.75">
      <c r="A17" s="80">
        <f t="shared" si="1"/>
        <v>7</v>
      </c>
      <c r="B17" s="66" t="s">
        <v>229</v>
      </c>
      <c r="C17" s="126">
        <v>-1766314721</v>
      </c>
      <c r="D17" s="127">
        <v>-37525193</v>
      </c>
      <c r="E17" s="124">
        <f t="shared" si="0"/>
        <v>1728789528</v>
      </c>
    </row>
    <row r="18" spans="1:5" ht="12.75">
      <c r="A18" s="80">
        <f t="shared" si="1"/>
        <v>8</v>
      </c>
      <c r="B18" s="66" t="s">
        <v>230</v>
      </c>
      <c r="C18" s="128">
        <v>-22281093</v>
      </c>
      <c r="D18" s="127">
        <v>1077379</v>
      </c>
      <c r="E18" s="126">
        <f t="shared" si="0"/>
        <v>23358472</v>
      </c>
    </row>
    <row r="19" spans="1:5" ht="12.75">
      <c r="A19" s="80">
        <f t="shared" si="1"/>
        <v>9</v>
      </c>
      <c r="B19" s="66" t="s">
        <v>231</v>
      </c>
      <c r="C19" s="128">
        <v>-7762159</v>
      </c>
      <c r="D19" s="127">
        <v>-10902262</v>
      </c>
      <c r="E19" s="126">
        <f>D19-C19</f>
        <v>-3140103</v>
      </c>
    </row>
    <row r="20" spans="1:5" ht="12.75">
      <c r="A20" s="80">
        <f t="shared" si="1"/>
        <v>10</v>
      </c>
      <c r="B20" s="66" t="s">
        <v>232</v>
      </c>
      <c r="C20" s="129">
        <f>SUM(C12:C19)</f>
        <v>806261151</v>
      </c>
      <c r="D20" s="129">
        <f>SUM(D12:D19)</f>
        <v>674237946</v>
      </c>
      <c r="E20" s="129">
        <f>SUM(E12:E19)</f>
        <v>-132023205</v>
      </c>
    </row>
    <row r="21" spans="1:5" ht="12.75">
      <c r="A21" s="80">
        <f t="shared" si="1"/>
        <v>11</v>
      </c>
      <c r="B21" s="66"/>
      <c r="C21" s="66"/>
      <c r="D21" s="66"/>
      <c r="E21" s="66"/>
    </row>
    <row r="22" spans="1:5" ht="12.75">
      <c r="A22" s="80">
        <f t="shared" si="1"/>
        <v>12</v>
      </c>
      <c r="B22" s="66" t="s">
        <v>233</v>
      </c>
      <c r="C22" s="126">
        <f>-C17</f>
        <v>1766314721</v>
      </c>
      <c r="D22" s="126">
        <f>-D17</f>
        <v>37525193</v>
      </c>
      <c r="E22" s="124">
        <f>D22-C22</f>
        <v>-1728789528</v>
      </c>
    </row>
    <row r="23" spans="1:5" ht="12.75">
      <c r="A23" s="80">
        <f t="shared" si="1"/>
        <v>13</v>
      </c>
      <c r="B23" s="66" t="s">
        <v>234</v>
      </c>
      <c r="C23" s="126">
        <f>-C19</f>
        <v>7762159</v>
      </c>
      <c r="D23" s="128">
        <f>-D19</f>
        <v>10902262</v>
      </c>
      <c r="E23" s="124">
        <f>D23-C23</f>
        <v>3140103</v>
      </c>
    </row>
    <row r="24" spans="1:5" ht="12.75">
      <c r="A24" s="80">
        <f t="shared" si="1"/>
        <v>14</v>
      </c>
      <c r="B24" s="66" t="s">
        <v>235</v>
      </c>
      <c r="C24" s="126">
        <v>-46773115</v>
      </c>
      <c r="D24" s="128">
        <v>0</v>
      </c>
      <c r="E24" s="124">
        <f>D24-C24</f>
        <v>46773115</v>
      </c>
    </row>
    <row r="25" spans="1:5" ht="12.75">
      <c r="A25" s="80">
        <f t="shared" si="1"/>
        <v>15</v>
      </c>
      <c r="B25" s="118" t="s">
        <v>192</v>
      </c>
      <c r="C25" s="129">
        <f>SUM(C20:C24)</f>
        <v>2533564916</v>
      </c>
      <c r="D25" s="129">
        <f>SUM(D20:D24)</f>
        <v>722665401</v>
      </c>
      <c r="E25" s="129">
        <f>SUM(E20:E24)</f>
        <v>-1810899515</v>
      </c>
    </row>
    <row r="26" spans="1:5" ht="12.75">
      <c r="A26" s="80">
        <f t="shared" si="1"/>
        <v>16</v>
      </c>
      <c r="B26" s="130" t="s">
        <v>228</v>
      </c>
      <c r="C26" s="131">
        <f>-C16</f>
        <v>-352506</v>
      </c>
      <c r="D26" s="66"/>
      <c r="E26" s="66"/>
    </row>
    <row r="27" spans="1:5" ht="12.75">
      <c r="A27" s="80">
        <f t="shared" si="1"/>
        <v>17</v>
      </c>
      <c r="B27" s="66" t="s">
        <v>230</v>
      </c>
      <c r="C27" s="132">
        <f>-C18</f>
        <v>22281093</v>
      </c>
      <c r="D27" s="91"/>
      <c r="E27" s="91"/>
    </row>
    <row r="28" spans="1:5" ht="12.75">
      <c r="A28" s="80">
        <f t="shared" si="1"/>
        <v>18</v>
      </c>
      <c r="B28" s="66" t="s">
        <v>236</v>
      </c>
      <c r="C28" s="133">
        <f>SUM(C25:C27)</f>
        <v>2555493503</v>
      </c>
      <c r="D28" s="66"/>
      <c r="E28" s="66"/>
    </row>
    <row r="29" spans="1:5" ht="12.75">
      <c r="A29" s="80">
        <f t="shared" si="1"/>
        <v>19</v>
      </c>
      <c r="B29" s="81" t="s">
        <v>199</v>
      </c>
      <c r="C29" s="91"/>
      <c r="D29" s="91"/>
      <c r="E29" s="134">
        <f>-E25</f>
        <v>1810899515</v>
      </c>
    </row>
    <row r="30" spans="1:5" ht="12.75">
      <c r="A30" s="80">
        <f t="shared" si="1"/>
        <v>20</v>
      </c>
      <c r="B30" s="86"/>
      <c r="C30" s="95"/>
      <c r="D30" s="95" t="s">
        <v>29</v>
      </c>
      <c r="E30" s="95"/>
    </row>
    <row r="31" spans="1:5" ht="12.75">
      <c r="A31" s="80">
        <f t="shared" si="1"/>
        <v>21</v>
      </c>
      <c r="B31" s="81" t="s">
        <v>237</v>
      </c>
      <c r="C31" s="135">
        <v>0.35</v>
      </c>
      <c r="D31" s="136"/>
      <c r="E31" s="124">
        <f>E29*0.35</f>
        <v>633814830.25</v>
      </c>
    </row>
    <row r="32" spans="1:5" ht="12.75">
      <c r="A32" s="80">
        <f t="shared" si="1"/>
        <v>22</v>
      </c>
      <c r="B32" s="81" t="s">
        <v>201</v>
      </c>
      <c r="C32" s="91" t="s">
        <v>29</v>
      </c>
      <c r="D32" s="91"/>
      <c r="E32" s="137">
        <f>+E29-E31</f>
        <v>1177084684.75</v>
      </c>
    </row>
  </sheetData>
  <printOptions/>
  <pageMargins left="0.75" right="0.75" top="1.21" bottom="1" header="0.5" footer="0.5"/>
  <pageSetup horizontalDpi="600" verticalDpi="600" orientation="portrait" r:id="rId1"/>
  <headerFooter alignWithMargins="0">
    <oddHeader>&amp;L
PCA Collaborative</oddHeader>
    <oddFooter>&amp;C&amp;A&amp;RPage 1 of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952"/>
  <sheetViews>
    <sheetView workbookViewId="0" topLeftCell="A1">
      <pane xSplit="4" ySplit="3" topLeftCell="E4" activePane="bottomRight" state="frozen"/>
      <selection pane="topLeft" activeCell="A1" sqref="A1"/>
      <selection pane="topRight" activeCell="E1" sqref="E1"/>
      <selection pane="bottomLeft" activeCell="A4" sqref="A4"/>
      <selection pane="bottomRight" activeCell="H38" sqref="H38"/>
    </sheetView>
  </sheetViews>
  <sheetFormatPr defaultColWidth="9.140625" defaultRowHeight="12.75"/>
  <cols>
    <col min="1" max="1" width="6.00390625" style="6" customWidth="1"/>
    <col min="2" max="2" width="21.57421875" style="0" customWidth="1"/>
    <col min="3" max="3" width="13.00390625" style="0" customWidth="1"/>
    <col min="4" max="4" width="5.57421875" style="0" customWidth="1"/>
    <col min="5" max="5" width="13.28125" style="0" customWidth="1"/>
    <col min="6" max="6" width="17.00390625" style="0" customWidth="1"/>
    <col min="7" max="7" width="2.421875" style="0" customWidth="1"/>
    <col min="8" max="8" width="73.00390625" style="0" customWidth="1"/>
    <col min="9" max="9" width="11.8515625" style="0" bestFit="1" customWidth="1"/>
    <col min="11" max="11" width="10.00390625" style="0" bestFit="1" customWidth="1"/>
    <col min="13" max="14" width="11.140625" style="0" bestFit="1" customWidth="1"/>
    <col min="15" max="15" width="10.7109375" style="0" bestFit="1" customWidth="1"/>
  </cols>
  <sheetData>
    <row r="1" ht="18">
      <c r="B1" s="142" t="s">
        <v>260</v>
      </c>
    </row>
    <row r="2" spans="1:8" ht="12.75">
      <c r="A2" s="7"/>
      <c r="B2" s="6"/>
      <c r="C2" s="6"/>
      <c r="D2" s="6"/>
      <c r="E2" s="6"/>
      <c r="F2" s="143" t="s">
        <v>261</v>
      </c>
      <c r="G2" s="25"/>
      <c r="H2" s="25"/>
    </row>
    <row r="3" spans="1:12" ht="12.75">
      <c r="A3" s="6" t="s">
        <v>248</v>
      </c>
      <c r="C3" s="155"/>
      <c r="D3" s="155"/>
      <c r="E3" s="155"/>
      <c r="F3" s="23" t="s">
        <v>262</v>
      </c>
      <c r="G3" s="25"/>
      <c r="H3" s="156" t="s">
        <v>263</v>
      </c>
      <c r="L3" s="9"/>
    </row>
    <row r="4" spans="1:3" ht="12.75">
      <c r="A4" s="6">
        <f>ROW()</f>
        <v>4</v>
      </c>
      <c r="C4" s="157"/>
    </row>
    <row r="5" spans="1:8" ht="12.75">
      <c r="A5" s="6">
        <f>ROW()</f>
        <v>5</v>
      </c>
      <c r="B5" t="s">
        <v>264</v>
      </c>
      <c r="C5" s="158"/>
      <c r="D5" s="159"/>
      <c r="E5" s="159"/>
      <c r="F5" s="160">
        <f>+'Exhibit A-1'!H11</f>
        <v>69852738.00929663</v>
      </c>
      <c r="H5" s="161" t="s">
        <v>265</v>
      </c>
    </row>
    <row r="6" spans="1:9" ht="27" customHeight="1">
      <c r="A6" s="6">
        <f>ROW()</f>
        <v>6</v>
      </c>
      <c r="B6" s="7" t="s">
        <v>266</v>
      </c>
      <c r="C6" s="162"/>
      <c r="D6" s="162"/>
      <c r="E6" s="162"/>
      <c r="F6" s="37">
        <f>+'Exhibit A-1'!H25-'Exhibit A-1'!H11</f>
        <v>116809205.39934129</v>
      </c>
      <c r="G6" s="163"/>
      <c r="H6" s="164" t="s">
        <v>267</v>
      </c>
      <c r="I6" s="165"/>
    </row>
    <row r="7" spans="1:9" ht="12.75">
      <c r="A7" s="6">
        <f>ROW()</f>
        <v>7</v>
      </c>
      <c r="B7" s="7" t="s">
        <v>268</v>
      </c>
      <c r="C7" s="162"/>
      <c r="D7" s="162"/>
      <c r="E7" s="162"/>
      <c r="F7" s="166">
        <f>+F6+F5</f>
        <v>186661943.4086379</v>
      </c>
      <c r="G7" s="163"/>
      <c r="H7" s="164"/>
      <c r="I7" s="165"/>
    </row>
    <row r="8" spans="1:8" ht="12.75">
      <c r="A8" s="6">
        <f>ROW()</f>
        <v>8</v>
      </c>
      <c r="B8" t="s">
        <v>269</v>
      </c>
      <c r="C8" s="162"/>
      <c r="D8" s="162"/>
      <c r="E8" s="162"/>
      <c r="F8" s="160"/>
      <c r="H8" s="161"/>
    </row>
    <row r="9" spans="1:8" ht="12.75">
      <c r="A9" s="6">
        <f>ROW()</f>
        <v>9</v>
      </c>
      <c r="B9" s="167" t="s">
        <v>270</v>
      </c>
      <c r="C9" s="168">
        <v>501</v>
      </c>
      <c r="D9" s="162"/>
      <c r="E9" s="162" t="s">
        <v>271</v>
      </c>
      <c r="F9" s="169">
        <v>33461494</v>
      </c>
      <c r="H9" s="161" t="s">
        <v>272</v>
      </c>
    </row>
    <row r="10" spans="1:8" ht="12.75">
      <c r="A10" s="6">
        <f>ROW()</f>
        <v>10</v>
      </c>
      <c r="B10" s="167" t="s">
        <v>273</v>
      </c>
      <c r="C10" s="168">
        <v>547</v>
      </c>
      <c r="D10" s="162"/>
      <c r="E10" s="162" t="s">
        <v>271</v>
      </c>
      <c r="F10" s="170">
        <v>55009484</v>
      </c>
      <c r="H10" s="161" t="s">
        <v>272</v>
      </c>
    </row>
    <row r="11" spans="1:8" ht="12.75">
      <c r="A11" s="6">
        <f>ROW()</f>
        <v>11</v>
      </c>
      <c r="B11" s="167" t="s">
        <v>274</v>
      </c>
      <c r="C11" s="168" t="s">
        <v>275</v>
      </c>
      <c r="D11" s="162"/>
      <c r="E11" s="162" t="s">
        <v>271</v>
      </c>
      <c r="F11" s="170">
        <v>-165000</v>
      </c>
      <c r="H11" s="161" t="s">
        <v>276</v>
      </c>
    </row>
    <row r="12" spans="1:8" ht="12.75">
      <c r="A12" s="6">
        <f>ROW()</f>
        <v>12</v>
      </c>
      <c r="B12" s="167" t="s">
        <v>277</v>
      </c>
      <c r="C12" s="168">
        <v>555</v>
      </c>
      <c r="D12" s="162"/>
      <c r="E12" s="162" t="s">
        <v>271</v>
      </c>
      <c r="F12" s="170">
        <v>538456725</v>
      </c>
      <c r="H12" s="161" t="s">
        <v>272</v>
      </c>
    </row>
    <row r="13" spans="1:8" ht="12.75">
      <c r="A13" s="6">
        <f>ROW()</f>
        <v>13</v>
      </c>
      <c r="B13" s="167" t="s">
        <v>278</v>
      </c>
      <c r="C13" s="168">
        <v>447</v>
      </c>
      <c r="D13" s="162"/>
      <c r="E13" s="162" t="s">
        <v>271</v>
      </c>
      <c r="F13" s="170">
        <v>-35448055</v>
      </c>
      <c r="H13" s="161" t="s">
        <v>272</v>
      </c>
    </row>
    <row r="14" spans="1:8" ht="12.75">
      <c r="A14" s="6">
        <f>ROW()</f>
        <v>14</v>
      </c>
      <c r="B14" s="167" t="s">
        <v>279</v>
      </c>
      <c r="C14" s="168">
        <v>565</v>
      </c>
      <c r="D14" s="162"/>
      <c r="E14" s="162" t="s">
        <v>271</v>
      </c>
      <c r="F14" s="170">
        <v>43496800</v>
      </c>
      <c r="H14" s="161" t="s">
        <v>272</v>
      </c>
    </row>
    <row r="15" spans="1:8" ht="12.75">
      <c r="A15" s="6">
        <f>ROW()</f>
        <v>15</v>
      </c>
      <c r="B15" s="167" t="s">
        <v>280</v>
      </c>
      <c r="C15" s="168">
        <v>45600017</v>
      </c>
      <c r="D15" s="162"/>
      <c r="E15" s="162" t="s">
        <v>271</v>
      </c>
      <c r="F15" s="170">
        <v>-5000000</v>
      </c>
      <c r="H15" s="161" t="s">
        <v>281</v>
      </c>
    </row>
    <row r="16" spans="1:8" ht="12.75">
      <c r="A16" s="6">
        <f>ROW()</f>
        <v>16</v>
      </c>
      <c r="B16" s="167" t="s">
        <v>282</v>
      </c>
      <c r="C16" s="168"/>
      <c r="D16" s="162"/>
      <c r="E16" s="162" t="s">
        <v>271</v>
      </c>
      <c r="F16" s="33">
        <v>36867841</v>
      </c>
      <c r="H16" s="161" t="s">
        <v>283</v>
      </c>
    </row>
    <row r="17" spans="1:8" ht="12.75">
      <c r="A17" s="6">
        <f>ROW()</f>
        <v>17</v>
      </c>
      <c r="C17" s="171"/>
      <c r="D17" s="171"/>
      <c r="E17" s="171"/>
      <c r="F17" s="172"/>
      <c r="H17" s="173"/>
    </row>
    <row r="18" spans="1:8" ht="12.75">
      <c r="A18" s="6">
        <f>ROW()</f>
        <v>18</v>
      </c>
      <c r="B18" t="s">
        <v>284</v>
      </c>
      <c r="C18" s="162"/>
      <c r="D18" s="162"/>
      <c r="E18" s="162">
        <v>642456.3239545623</v>
      </c>
      <c r="F18" s="174">
        <f>+SUM(F7:F16)</f>
        <v>853341232.4086379</v>
      </c>
      <c r="H18" s="173"/>
    </row>
    <row r="19" spans="1:8" ht="12.75">
      <c r="A19" s="6">
        <f>ROW()</f>
        <v>19</v>
      </c>
      <c r="C19" s="162"/>
      <c r="D19" s="162"/>
      <c r="E19" s="162"/>
      <c r="F19" s="175"/>
      <c r="H19" s="173"/>
    </row>
    <row r="20" spans="1:8" ht="12.75">
      <c r="A20" s="6">
        <f>ROW()</f>
        <v>20</v>
      </c>
      <c r="B20" s="176" t="s">
        <v>285</v>
      </c>
      <c r="C20" s="162"/>
      <c r="D20" s="162"/>
      <c r="E20" s="162"/>
      <c r="F20" s="175"/>
      <c r="H20" s="161"/>
    </row>
    <row r="21" spans="1:9" ht="12.75">
      <c r="A21" s="6">
        <f>ROW()</f>
        <v>21</v>
      </c>
      <c r="B21" t="s">
        <v>286</v>
      </c>
      <c r="C21" s="162"/>
      <c r="D21" s="162"/>
      <c r="E21" s="162" t="s">
        <v>271</v>
      </c>
      <c r="F21" s="148">
        <f>-(1.2%*(120000000-11924000)+3%*(32108000))</f>
        <v>-2260152</v>
      </c>
      <c r="H21" s="161" t="s">
        <v>287</v>
      </c>
      <c r="I21" s="177"/>
    </row>
    <row r="22" spans="1:9" ht="12.75">
      <c r="A22" s="6">
        <f>ROW()</f>
        <v>22</v>
      </c>
      <c r="B22" t="s">
        <v>288</v>
      </c>
      <c r="C22" s="178"/>
      <c r="D22" s="179"/>
      <c r="E22" s="162" t="s">
        <v>271</v>
      </c>
      <c r="F22" s="33">
        <f>+'Exhibit E'!N42</f>
        <v>-1094428.968124853</v>
      </c>
      <c r="H22" s="161" t="s">
        <v>481</v>
      </c>
      <c r="I22" s="169"/>
    </row>
    <row r="23" spans="1:9" ht="12.75">
      <c r="A23" s="6">
        <f>ROW()</f>
        <v>23</v>
      </c>
      <c r="B23" t="s">
        <v>289</v>
      </c>
      <c r="C23" s="179"/>
      <c r="D23" s="179"/>
      <c r="E23" s="162" t="s">
        <v>271</v>
      </c>
      <c r="F23" s="33">
        <f>+'Exhibit F '!C40</f>
        <v>-5712733.092534204</v>
      </c>
      <c r="H23" s="161" t="s">
        <v>290</v>
      </c>
      <c r="I23" s="169"/>
    </row>
    <row r="24" spans="1:8" ht="12.75">
      <c r="A24" s="6">
        <f>ROW()</f>
        <v>24</v>
      </c>
      <c r="B24" t="s">
        <v>291</v>
      </c>
      <c r="C24" s="179"/>
      <c r="D24" s="179"/>
      <c r="E24" s="162" t="s">
        <v>271</v>
      </c>
      <c r="F24" s="33">
        <f>'Exhibit G'!E38</f>
        <v>-388500.0000000005</v>
      </c>
      <c r="H24" s="161" t="s">
        <v>463</v>
      </c>
    </row>
    <row r="25" spans="1:8" ht="12.75">
      <c r="A25" s="6">
        <f>ROW()</f>
        <v>25</v>
      </c>
      <c r="C25" s="179"/>
      <c r="D25" s="179"/>
      <c r="E25" s="179"/>
      <c r="F25" s="180"/>
      <c r="H25" s="161"/>
    </row>
    <row r="26" spans="1:8" ht="12.75">
      <c r="A26" s="6">
        <f>ROW()</f>
        <v>26</v>
      </c>
      <c r="B26" t="s">
        <v>292</v>
      </c>
      <c r="C26" s="179"/>
      <c r="D26" s="179"/>
      <c r="E26" s="179"/>
      <c r="F26" s="160">
        <f>SUM(F21:F25)</f>
        <v>-9455814.060659057</v>
      </c>
      <c r="H26" s="161"/>
    </row>
    <row r="27" spans="1:8" ht="12.75">
      <c r="A27" s="6">
        <f>ROW()</f>
        <v>27</v>
      </c>
      <c r="C27" s="179"/>
      <c r="D27" s="179"/>
      <c r="E27" s="179"/>
      <c r="F27" s="181"/>
      <c r="H27" s="161"/>
    </row>
    <row r="28" spans="1:8" ht="13.5" thickBot="1">
      <c r="A28" s="6">
        <f>ROW()</f>
        <v>28</v>
      </c>
      <c r="B28" s="176" t="s">
        <v>293</v>
      </c>
      <c r="C28" s="179"/>
      <c r="D28" s="179"/>
      <c r="E28" s="179"/>
      <c r="F28" s="182">
        <f>+F26+F18</f>
        <v>843885418.3479788</v>
      </c>
      <c r="H28" s="161"/>
    </row>
    <row r="29" spans="1:8" ht="12.75">
      <c r="A29" s="6">
        <f>ROW()</f>
        <v>29</v>
      </c>
      <c r="B29" s="183"/>
      <c r="C29" s="179"/>
      <c r="D29" s="179"/>
      <c r="E29" s="179"/>
      <c r="F29" s="181"/>
      <c r="H29" s="161"/>
    </row>
    <row r="30" spans="1:8" ht="12.75">
      <c r="A30" s="6">
        <f>ROW()</f>
        <v>30</v>
      </c>
      <c r="B30" s="184" t="s">
        <v>294</v>
      </c>
      <c r="C30" s="179"/>
      <c r="D30" s="179"/>
      <c r="E30" s="162" t="s">
        <v>295</v>
      </c>
      <c r="F30" s="185">
        <v>19110518.295000013</v>
      </c>
      <c r="H30" s="161" t="s">
        <v>296</v>
      </c>
    </row>
    <row r="31" spans="1:8" ht="13.5" thickBot="1">
      <c r="A31" s="6">
        <f>ROW()</f>
        <v>31</v>
      </c>
      <c r="B31" s="176" t="s">
        <v>297</v>
      </c>
      <c r="C31" s="186">
        <f>+'Exhibit A-1'!E25</f>
        <v>44.463000000000015</v>
      </c>
      <c r="D31" s="179"/>
      <c r="E31" s="179"/>
      <c r="F31" s="182">
        <f>+C31*F30</f>
        <v>849710974.9505858</v>
      </c>
      <c r="H31" s="161" t="s">
        <v>298</v>
      </c>
    </row>
    <row r="32" spans="1:8" ht="12.75">
      <c r="A32" s="6">
        <f>ROW()</f>
        <v>32</v>
      </c>
      <c r="B32" s="187"/>
      <c r="D32" s="162"/>
      <c r="E32" s="162"/>
      <c r="F32" s="175"/>
      <c r="H32" s="161"/>
    </row>
    <row r="33" spans="1:8" ht="39" thickBot="1">
      <c r="A33" s="6">
        <f>ROW()</f>
        <v>33</v>
      </c>
      <c r="B33" s="183" t="s">
        <v>299</v>
      </c>
      <c r="C33" s="162"/>
      <c r="D33" s="162"/>
      <c r="E33" s="162"/>
      <c r="F33" s="182">
        <f>+F28-F31</f>
        <v>-5825556.602607012</v>
      </c>
      <c r="H33" s="161" t="s">
        <v>485</v>
      </c>
    </row>
    <row r="34" spans="1:8" ht="12.75">
      <c r="A34" s="6">
        <f>ROW()</f>
        <v>34</v>
      </c>
      <c r="B34" s="188" t="s">
        <v>300</v>
      </c>
      <c r="H34" s="161"/>
    </row>
    <row r="35" spans="1:8" ht="12.75">
      <c r="A35" s="6">
        <f>ROW()</f>
        <v>35</v>
      </c>
      <c r="B35" s="188"/>
      <c r="F35" s="189"/>
      <c r="H35" s="161"/>
    </row>
    <row r="36" spans="1:8" ht="12.75">
      <c r="A36" s="6">
        <f>ROW()</f>
        <v>36</v>
      </c>
      <c r="B36" s="190" t="s">
        <v>301</v>
      </c>
      <c r="C36" t="s">
        <v>302</v>
      </c>
      <c r="F36" s="191"/>
      <c r="H36" s="161"/>
    </row>
    <row r="37" spans="1:8" ht="12.75">
      <c r="A37" s="6">
        <f>ROW()</f>
        <v>37</v>
      </c>
      <c r="B37" t="s">
        <v>303</v>
      </c>
      <c r="C37" s="174">
        <v>20000000</v>
      </c>
      <c r="D37" s="192">
        <v>1</v>
      </c>
      <c r="E37" s="159">
        <f>IF(ABS(F$33)&gt;$C$37,IF(F$33&lt;0,-$C$37,$C$37),F$33)</f>
        <v>-5825556.602607012</v>
      </c>
      <c r="F37" s="174">
        <f>+E37*D37</f>
        <v>-5825556.602607012</v>
      </c>
      <c r="H37" s="161"/>
    </row>
    <row r="38" spans="1:8" ht="12.75">
      <c r="A38" s="6">
        <f>ROW()</f>
        <v>38</v>
      </c>
      <c r="B38" t="s">
        <v>304</v>
      </c>
      <c r="C38" s="174">
        <v>20000000</v>
      </c>
      <c r="D38" s="158">
        <v>0.5</v>
      </c>
      <c r="E38" s="159">
        <f>IF(ABS(F$33)-ABS(F37)&gt;=$C38,IF(F$33&lt;=0,-$C38,$C38),F$33-F37)</f>
        <v>0</v>
      </c>
      <c r="F38" s="174">
        <f>+E38*D38</f>
        <v>0</v>
      </c>
      <c r="H38" s="161"/>
    </row>
    <row r="39" spans="1:8" ht="12.75">
      <c r="A39" s="6">
        <f>ROW()</f>
        <v>39</v>
      </c>
      <c r="B39" t="s">
        <v>305</v>
      </c>
      <c r="C39" s="174">
        <v>80000000</v>
      </c>
      <c r="D39" s="158">
        <v>0.1</v>
      </c>
      <c r="E39" s="159">
        <f>IF(ABS(F$33)-ABS(SUM(E$37:E38))&gt;=$C39,IF(F$33&lt;=0,-$C39,$C39),F$33-SUM(E$37:E38))</f>
        <v>0</v>
      </c>
      <c r="F39" s="174">
        <f>+E39*D39</f>
        <v>0</v>
      </c>
      <c r="H39" s="161"/>
    </row>
    <row r="40" spans="1:8" ht="12.75">
      <c r="A40" s="6">
        <f>ROW()</f>
        <v>40</v>
      </c>
      <c r="B40" t="s">
        <v>306</v>
      </c>
      <c r="C40" s="172">
        <v>120000000</v>
      </c>
      <c r="D40" s="193">
        <v>0.05</v>
      </c>
      <c r="E40" s="159">
        <f>IF(ABS(F$33)-ABS(SUM(E$37:E39))&gt;=$C40,IF(F$33&lt;=0,-$C40,$C40),F$33-SUM(E$37:E39))</f>
        <v>0</v>
      </c>
      <c r="F40" s="172">
        <f>+E40*D40</f>
        <v>0</v>
      </c>
      <c r="H40" s="161"/>
    </row>
    <row r="41" spans="1:8" ht="12.75">
      <c r="A41" s="6">
        <f>ROW()</f>
        <v>41</v>
      </c>
      <c r="B41" t="s">
        <v>307</v>
      </c>
      <c r="C41" s="159"/>
      <c r="D41" s="159"/>
      <c r="E41" s="194">
        <f>SUM(E37:E40)</f>
        <v>-5825556.602607012</v>
      </c>
      <c r="F41" s="174">
        <f>SUM(F37:F40)</f>
        <v>-5825556.602607012</v>
      </c>
      <c r="H41" s="161" t="s">
        <v>308</v>
      </c>
    </row>
    <row r="42" spans="1:8" ht="13.5" thickBot="1">
      <c r="A42" s="6">
        <f>ROW()</f>
        <v>42</v>
      </c>
      <c r="C42" s="162"/>
      <c r="D42" s="162"/>
      <c r="E42" s="162"/>
      <c r="F42" s="162"/>
      <c r="H42" s="161"/>
    </row>
    <row r="43" spans="1:8" ht="13.5" thickBot="1">
      <c r="A43" s="6">
        <f>ROW()</f>
        <v>43</v>
      </c>
      <c r="B43" s="25" t="s">
        <v>309</v>
      </c>
      <c r="C43" s="162"/>
      <c r="D43" s="162"/>
      <c r="E43" s="162"/>
      <c r="F43" s="195">
        <f>+F33-F41</f>
        <v>0</v>
      </c>
      <c r="G43" s="196"/>
      <c r="H43" s="161" t="s">
        <v>310</v>
      </c>
    </row>
    <row r="44" spans="3:6" ht="12.75">
      <c r="C44" s="179"/>
      <c r="D44" s="179"/>
      <c r="E44" s="179"/>
      <c r="F44" s="179"/>
    </row>
    <row r="47" spans="1:6" ht="12.75">
      <c r="A47" s="187"/>
      <c r="D47" s="165"/>
      <c r="E47" s="165"/>
      <c r="F47" s="165"/>
    </row>
    <row r="48" spans="1:5" ht="12.75">
      <c r="A48" s="187"/>
      <c r="B48" s="197"/>
      <c r="C48" s="197"/>
      <c r="D48" s="165"/>
      <c r="E48" s="165"/>
    </row>
    <row r="49" spans="1:3" ht="12.75">
      <c r="A49" s="187"/>
      <c r="B49" s="197"/>
      <c r="C49" s="197"/>
    </row>
    <row r="50" ht="12.75">
      <c r="A50" s="187"/>
    </row>
    <row r="51" ht="12.75">
      <c r="A51" s="187"/>
    </row>
    <row r="52" ht="12.75">
      <c r="A52" s="187"/>
    </row>
    <row r="53" ht="12.75">
      <c r="A53" s="187"/>
    </row>
    <row r="54" ht="12.75">
      <c r="A54" s="187"/>
    </row>
    <row r="55" ht="12.75">
      <c r="A55" s="187"/>
    </row>
    <row r="56" ht="12.75">
      <c r="A56" s="187"/>
    </row>
    <row r="57" ht="12.75">
      <c r="A57" s="187"/>
    </row>
    <row r="58" ht="12.75">
      <c r="A58" s="187"/>
    </row>
    <row r="59" ht="12.75">
      <c r="A59" s="187"/>
    </row>
    <row r="60" ht="12.75">
      <c r="A60" s="187"/>
    </row>
    <row r="61" ht="12.75">
      <c r="A61" s="187"/>
    </row>
    <row r="62" ht="12.75">
      <c r="A62" s="187"/>
    </row>
    <row r="63" ht="12.75">
      <c r="A63" s="187"/>
    </row>
    <row r="64" ht="12.75">
      <c r="A64" s="187"/>
    </row>
    <row r="65" ht="12.75">
      <c r="A65" s="187"/>
    </row>
    <row r="66" ht="12.75">
      <c r="A66" s="187"/>
    </row>
    <row r="67" ht="12.75">
      <c r="A67" s="187"/>
    </row>
    <row r="68" ht="12.75">
      <c r="A68" s="187"/>
    </row>
    <row r="69" ht="12.75">
      <c r="A69" s="187"/>
    </row>
    <row r="70" ht="12.75">
      <c r="A70" s="187"/>
    </row>
    <row r="71" ht="12.75">
      <c r="A71" s="187"/>
    </row>
    <row r="72" ht="12.75">
      <c r="A72" s="187"/>
    </row>
    <row r="73" ht="12.75">
      <c r="A73" s="187"/>
    </row>
    <row r="74" ht="12.75">
      <c r="A74" s="187"/>
    </row>
    <row r="75" ht="12.75">
      <c r="A75" s="187"/>
    </row>
    <row r="76" ht="12.75">
      <c r="A76" s="187"/>
    </row>
    <row r="77" ht="12.75">
      <c r="A77" s="187"/>
    </row>
    <row r="78" ht="12.75">
      <c r="A78" s="187"/>
    </row>
    <row r="79" ht="12.75">
      <c r="A79" s="187"/>
    </row>
    <row r="80" ht="12.75">
      <c r="A80" s="187"/>
    </row>
    <row r="81" ht="12.75">
      <c r="A81" s="187"/>
    </row>
    <row r="82" ht="12.75">
      <c r="A82" s="187"/>
    </row>
    <row r="83" ht="12.75">
      <c r="A83" s="187"/>
    </row>
    <row r="84" ht="12.75">
      <c r="A84" s="187"/>
    </row>
    <row r="85" ht="12.75">
      <c r="A85" s="187"/>
    </row>
    <row r="86" ht="12.75">
      <c r="A86" s="187"/>
    </row>
    <row r="87" ht="12.75">
      <c r="A87" s="187"/>
    </row>
    <row r="88" ht="12.75">
      <c r="A88" s="187"/>
    </row>
    <row r="89" ht="12.75">
      <c r="A89" s="187"/>
    </row>
    <row r="90" ht="12.75">
      <c r="A90" s="187"/>
    </row>
    <row r="91" ht="12.75">
      <c r="A91" s="187"/>
    </row>
    <row r="92" ht="12.75">
      <c r="A92" s="187"/>
    </row>
    <row r="93" ht="12.75">
      <c r="A93" s="187"/>
    </row>
    <row r="94" ht="12.75">
      <c r="A94" s="187"/>
    </row>
    <row r="95" ht="12.75">
      <c r="A95" s="187"/>
    </row>
    <row r="96" ht="12.75">
      <c r="A96" s="187"/>
    </row>
    <row r="97" ht="12.75">
      <c r="A97" s="187"/>
    </row>
    <row r="98" ht="12.75">
      <c r="A98" s="187"/>
    </row>
    <row r="99" ht="12.75">
      <c r="A99" s="187"/>
    </row>
    <row r="100" ht="12.75">
      <c r="A100" s="187"/>
    </row>
    <row r="101" ht="12.75">
      <c r="A101" s="187"/>
    </row>
    <row r="102" ht="12.75">
      <c r="A102" s="187"/>
    </row>
    <row r="103" ht="12.75">
      <c r="A103" s="187"/>
    </row>
    <row r="104" ht="12.75">
      <c r="A104" s="187"/>
    </row>
    <row r="105" ht="12.75">
      <c r="A105" s="187"/>
    </row>
    <row r="106" ht="12.75">
      <c r="A106" s="187"/>
    </row>
    <row r="107" ht="12.75">
      <c r="A107" s="187"/>
    </row>
    <row r="108" ht="12.75">
      <c r="A108" s="187"/>
    </row>
    <row r="109" ht="12.75">
      <c r="A109" s="187"/>
    </row>
    <row r="110" ht="12.75">
      <c r="A110" s="187"/>
    </row>
    <row r="111" ht="12.75">
      <c r="A111" s="187"/>
    </row>
    <row r="112" ht="12.75">
      <c r="A112" s="187"/>
    </row>
    <row r="113" ht="12.75">
      <c r="A113" s="187"/>
    </row>
    <row r="114" ht="12.75">
      <c r="A114" s="187"/>
    </row>
    <row r="115" ht="12.75">
      <c r="A115" s="187"/>
    </row>
    <row r="116" ht="12.75">
      <c r="A116" s="187"/>
    </row>
    <row r="117" ht="12.75">
      <c r="A117" s="187"/>
    </row>
    <row r="118" ht="12.75">
      <c r="A118" s="187"/>
    </row>
    <row r="119" ht="12.75">
      <c r="A119" s="187"/>
    </row>
    <row r="120" ht="12.75">
      <c r="A120" s="187"/>
    </row>
    <row r="121" ht="12.75">
      <c r="A121" s="187"/>
    </row>
    <row r="122" ht="12.75">
      <c r="A122" s="187"/>
    </row>
    <row r="123" ht="12.75">
      <c r="A123" s="187"/>
    </row>
    <row r="124" ht="12.75">
      <c r="A124" s="187"/>
    </row>
    <row r="125" ht="12.75">
      <c r="A125" s="187"/>
    </row>
    <row r="126" ht="12.75">
      <c r="A126" s="187"/>
    </row>
    <row r="127" ht="12.75">
      <c r="A127" s="187"/>
    </row>
    <row r="128" ht="12.75">
      <c r="A128" s="187"/>
    </row>
    <row r="129" ht="12.75">
      <c r="A129" s="187"/>
    </row>
    <row r="130" ht="12.75">
      <c r="A130" s="187"/>
    </row>
    <row r="131" ht="12.75">
      <c r="A131" s="187"/>
    </row>
    <row r="132" ht="12.75">
      <c r="A132" s="187"/>
    </row>
    <row r="133" ht="12.75">
      <c r="A133" s="187"/>
    </row>
    <row r="134" ht="12.75">
      <c r="A134" s="187"/>
    </row>
    <row r="135" ht="12.75">
      <c r="A135" s="187"/>
    </row>
    <row r="136" ht="12.75">
      <c r="A136" s="187"/>
    </row>
    <row r="137" ht="12.75">
      <c r="A137" s="187"/>
    </row>
    <row r="138" ht="12.75">
      <c r="A138" s="187"/>
    </row>
    <row r="139" ht="12.75">
      <c r="A139" s="187"/>
    </row>
    <row r="140" ht="12.75">
      <c r="A140" s="187"/>
    </row>
    <row r="141" ht="12.75">
      <c r="A141" s="187"/>
    </row>
    <row r="142" ht="12.75">
      <c r="A142" s="187"/>
    </row>
    <row r="143" ht="12.75">
      <c r="A143" s="187"/>
    </row>
    <row r="144" ht="12.75">
      <c r="A144" s="187"/>
    </row>
    <row r="145" ht="12.75">
      <c r="A145" s="187"/>
    </row>
    <row r="146" ht="12.75">
      <c r="A146" s="187"/>
    </row>
    <row r="147" ht="12.75">
      <c r="A147" s="187"/>
    </row>
    <row r="148" ht="12.75">
      <c r="A148" s="187"/>
    </row>
    <row r="149" ht="12.75">
      <c r="A149" s="187"/>
    </row>
    <row r="150" ht="12.75">
      <c r="A150" s="187"/>
    </row>
    <row r="151" ht="12.75">
      <c r="A151" s="187"/>
    </row>
    <row r="152" ht="12.75">
      <c r="A152" s="187"/>
    </row>
    <row r="153" ht="12.75">
      <c r="A153" s="187"/>
    </row>
    <row r="154" ht="12.75">
      <c r="A154" s="187"/>
    </row>
    <row r="155" ht="12.75">
      <c r="A155" s="187"/>
    </row>
    <row r="156" ht="12.75">
      <c r="A156" s="187"/>
    </row>
    <row r="157" ht="12.75">
      <c r="A157" s="187"/>
    </row>
    <row r="158" ht="12.75">
      <c r="A158" s="187"/>
    </row>
    <row r="159" ht="12.75">
      <c r="A159" s="187"/>
    </row>
    <row r="160" ht="12.75">
      <c r="A160" s="187"/>
    </row>
    <row r="161" ht="12.75">
      <c r="A161" s="187"/>
    </row>
    <row r="162" ht="12.75">
      <c r="A162" s="187"/>
    </row>
    <row r="163" ht="12.75">
      <c r="A163" s="187"/>
    </row>
    <row r="164" ht="12.75">
      <c r="A164" s="187"/>
    </row>
    <row r="165" ht="12.75">
      <c r="A165" s="187"/>
    </row>
    <row r="166" ht="12.75">
      <c r="A166" s="187"/>
    </row>
    <row r="167" ht="12.75">
      <c r="A167" s="187"/>
    </row>
    <row r="168" ht="12.75">
      <c r="A168" s="187"/>
    </row>
    <row r="169" ht="12.75">
      <c r="A169" s="187"/>
    </row>
    <row r="170" ht="12.75">
      <c r="A170" s="187"/>
    </row>
    <row r="171" ht="12.75">
      <c r="A171" s="187"/>
    </row>
    <row r="172" ht="12.75">
      <c r="A172" s="187"/>
    </row>
    <row r="173" ht="12.75">
      <c r="A173" s="187"/>
    </row>
    <row r="174" ht="12.75">
      <c r="A174" s="187"/>
    </row>
    <row r="175" ht="12.75">
      <c r="A175" s="187"/>
    </row>
    <row r="176" ht="12.75">
      <c r="A176" s="187"/>
    </row>
    <row r="177" ht="12.75">
      <c r="A177" s="187"/>
    </row>
    <row r="178" ht="12.75">
      <c r="A178" s="187"/>
    </row>
    <row r="179" ht="12.75">
      <c r="A179" s="187"/>
    </row>
    <row r="180" ht="12.75">
      <c r="A180" s="187"/>
    </row>
    <row r="181" ht="12.75">
      <c r="A181" s="187"/>
    </row>
    <row r="182" ht="12.75">
      <c r="A182" s="187"/>
    </row>
    <row r="183" ht="12.75">
      <c r="A183" s="187"/>
    </row>
    <row r="184" ht="12.75">
      <c r="A184" s="187"/>
    </row>
    <row r="185" ht="12.75">
      <c r="A185" s="187"/>
    </row>
    <row r="186" ht="12.75">
      <c r="A186" s="187"/>
    </row>
    <row r="187" ht="12.75">
      <c r="A187" s="187"/>
    </row>
    <row r="188" ht="12.75">
      <c r="A188" s="187"/>
    </row>
    <row r="189" ht="12.75">
      <c r="A189" s="187"/>
    </row>
    <row r="190" ht="12.75">
      <c r="A190" s="187"/>
    </row>
    <row r="191" ht="12.75">
      <c r="A191" s="187"/>
    </row>
    <row r="192" ht="12.75">
      <c r="A192" s="187"/>
    </row>
    <row r="193" ht="12.75">
      <c r="A193" s="187"/>
    </row>
    <row r="194" ht="12.75">
      <c r="A194" s="187"/>
    </row>
    <row r="195" ht="12.75">
      <c r="A195" s="187"/>
    </row>
    <row r="196" ht="12.75">
      <c r="A196" s="187"/>
    </row>
    <row r="197" ht="12.75">
      <c r="A197" s="187"/>
    </row>
    <row r="198" ht="12.75">
      <c r="A198" s="187"/>
    </row>
    <row r="199" ht="12.75">
      <c r="A199" s="187"/>
    </row>
    <row r="200" ht="12.75">
      <c r="A200" s="187"/>
    </row>
    <row r="201" ht="12.75">
      <c r="A201" s="187"/>
    </row>
    <row r="202" ht="12.75">
      <c r="A202" s="187"/>
    </row>
    <row r="203" ht="12.75">
      <c r="A203" s="187"/>
    </row>
    <row r="204" ht="12.75">
      <c r="A204" s="187"/>
    </row>
    <row r="205" ht="12.75">
      <c r="A205" s="187"/>
    </row>
    <row r="206" ht="12.75">
      <c r="A206" s="187"/>
    </row>
    <row r="207" ht="12.75">
      <c r="A207" s="187"/>
    </row>
    <row r="208" ht="12.75">
      <c r="A208" s="187"/>
    </row>
    <row r="209" ht="12.75">
      <c r="A209" s="187"/>
    </row>
    <row r="210" ht="12.75">
      <c r="A210" s="187"/>
    </row>
    <row r="211" ht="12.75">
      <c r="A211" s="187"/>
    </row>
    <row r="212" ht="12.75">
      <c r="A212" s="187"/>
    </row>
    <row r="213" ht="12.75">
      <c r="A213" s="187"/>
    </row>
    <row r="214" ht="12.75">
      <c r="A214" s="187"/>
    </row>
    <row r="215" ht="12.75">
      <c r="A215" s="187"/>
    </row>
    <row r="216" ht="12.75">
      <c r="A216" s="187"/>
    </row>
    <row r="217" ht="12.75">
      <c r="A217" s="187"/>
    </row>
    <row r="218" ht="12.75">
      <c r="A218" s="187"/>
    </row>
    <row r="219" ht="12.75">
      <c r="A219" s="187"/>
    </row>
    <row r="220" ht="12.75">
      <c r="A220" s="187"/>
    </row>
    <row r="221" ht="12.75">
      <c r="A221" s="187"/>
    </row>
    <row r="222" ht="12.75">
      <c r="A222" s="187"/>
    </row>
    <row r="223" ht="12.75">
      <c r="A223" s="187"/>
    </row>
    <row r="224" ht="12.75">
      <c r="A224" s="187"/>
    </row>
    <row r="225" ht="12.75">
      <c r="A225" s="187"/>
    </row>
    <row r="226" ht="12.75">
      <c r="A226" s="187"/>
    </row>
    <row r="227" ht="12.75">
      <c r="A227" s="187"/>
    </row>
    <row r="228" ht="12.75">
      <c r="A228" s="187"/>
    </row>
    <row r="229" ht="12.75">
      <c r="A229" s="187"/>
    </row>
    <row r="230" ht="12.75">
      <c r="A230" s="187"/>
    </row>
    <row r="231" ht="12.75">
      <c r="A231" s="187"/>
    </row>
    <row r="232" ht="12.75">
      <c r="A232" s="187"/>
    </row>
    <row r="233" ht="12.75">
      <c r="A233" s="187"/>
    </row>
    <row r="234" ht="12.75">
      <c r="A234" s="187"/>
    </row>
    <row r="235" ht="12.75">
      <c r="A235" s="187"/>
    </row>
    <row r="236" ht="12.75">
      <c r="A236" s="187"/>
    </row>
    <row r="237" ht="12.75">
      <c r="A237" s="187"/>
    </row>
    <row r="238" ht="12.75">
      <c r="A238" s="187"/>
    </row>
    <row r="239" ht="12.75">
      <c r="A239" s="187"/>
    </row>
    <row r="240" ht="12.75">
      <c r="A240" s="187"/>
    </row>
    <row r="241" ht="12.75">
      <c r="A241" s="187"/>
    </row>
    <row r="242" ht="12.75">
      <c r="A242" s="187"/>
    </row>
    <row r="243" ht="12.75">
      <c r="A243" s="187"/>
    </row>
    <row r="244" ht="12.75">
      <c r="A244" s="187"/>
    </row>
    <row r="245" ht="12.75">
      <c r="A245" s="187"/>
    </row>
    <row r="246" ht="12.75">
      <c r="A246" s="187"/>
    </row>
    <row r="247" ht="12.75">
      <c r="A247" s="187"/>
    </row>
    <row r="248" ht="12.75">
      <c r="A248" s="187"/>
    </row>
    <row r="249" ht="12.75">
      <c r="A249" s="187"/>
    </row>
    <row r="250" ht="12.75">
      <c r="A250" s="187"/>
    </row>
    <row r="251" ht="12.75">
      <c r="A251" s="187"/>
    </row>
    <row r="252" ht="12.75">
      <c r="A252" s="187"/>
    </row>
    <row r="253" ht="12.75">
      <c r="A253" s="187"/>
    </row>
    <row r="254" ht="12.75">
      <c r="A254" s="187"/>
    </row>
    <row r="255" ht="12.75">
      <c r="A255" s="187"/>
    </row>
    <row r="256" ht="12.75">
      <c r="A256" s="187"/>
    </row>
    <row r="257" ht="12.75">
      <c r="A257" s="187"/>
    </row>
    <row r="258" ht="12.75">
      <c r="A258" s="187"/>
    </row>
    <row r="259" ht="12.75">
      <c r="A259" s="187"/>
    </row>
    <row r="260" ht="12.75">
      <c r="A260" s="187"/>
    </row>
    <row r="261" ht="12.75">
      <c r="A261" s="187"/>
    </row>
    <row r="262" ht="12.75">
      <c r="A262" s="187"/>
    </row>
    <row r="263" ht="12.75">
      <c r="A263" s="187"/>
    </row>
    <row r="264" ht="12.75">
      <c r="A264" s="187"/>
    </row>
    <row r="265" ht="12.75">
      <c r="A265" s="187"/>
    </row>
    <row r="266" ht="12.75">
      <c r="A266" s="187"/>
    </row>
    <row r="267" ht="12.75">
      <c r="A267" s="187"/>
    </row>
    <row r="268" ht="12.75">
      <c r="A268" s="187"/>
    </row>
    <row r="269" ht="12.75">
      <c r="A269" s="187"/>
    </row>
    <row r="270" ht="12.75">
      <c r="A270" s="187"/>
    </row>
    <row r="271" ht="12.75">
      <c r="A271" s="187"/>
    </row>
    <row r="272" ht="12.75">
      <c r="A272" s="187"/>
    </row>
    <row r="273" ht="12.75">
      <c r="A273" s="187"/>
    </row>
    <row r="274" ht="12.75">
      <c r="A274" s="187"/>
    </row>
    <row r="275" ht="12.75">
      <c r="A275" s="187"/>
    </row>
    <row r="276" ht="12.75">
      <c r="A276" s="187"/>
    </row>
    <row r="277" ht="12.75">
      <c r="A277" s="187"/>
    </row>
    <row r="278" ht="12.75">
      <c r="A278" s="187"/>
    </row>
    <row r="279" ht="12.75">
      <c r="A279" s="187"/>
    </row>
    <row r="280" ht="12.75">
      <c r="A280" s="187"/>
    </row>
    <row r="281" ht="12.75">
      <c r="A281" s="187"/>
    </row>
    <row r="282" ht="12.75">
      <c r="A282" s="187"/>
    </row>
    <row r="283" ht="12.75">
      <c r="A283" s="187"/>
    </row>
    <row r="284" ht="12.75">
      <c r="A284" s="187"/>
    </row>
    <row r="285" ht="12.75">
      <c r="A285" s="187"/>
    </row>
    <row r="286" ht="12.75">
      <c r="A286" s="187"/>
    </row>
    <row r="287" ht="12.75">
      <c r="A287" s="187"/>
    </row>
    <row r="288" ht="12.75">
      <c r="A288" s="187"/>
    </row>
    <row r="289" ht="12.75">
      <c r="A289" s="187"/>
    </row>
    <row r="290" ht="12.75">
      <c r="A290" s="187"/>
    </row>
    <row r="291" ht="12.75">
      <c r="A291" s="187"/>
    </row>
    <row r="292" ht="12.75">
      <c r="A292" s="187"/>
    </row>
    <row r="293" ht="12.75">
      <c r="A293" s="187"/>
    </row>
    <row r="294" ht="12.75">
      <c r="A294" s="187"/>
    </row>
    <row r="295" ht="12.75">
      <c r="A295" s="187"/>
    </row>
    <row r="296" ht="12.75">
      <c r="A296" s="187"/>
    </row>
    <row r="297" ht="12.75">
      <c r="A297" s="187"/>
    </row>
    <row r="298" ht="12.75">
      <c r="A298" s="187"/>
    </row>
    <row r="299" ht="12.75">
      <c r="A299" s="187"/>
    </row>
    <row r="300" ht="12.75">
      <c r="A300" s="187"/>
    </row>
    <row r="301" ht="12.75">
      <c r="A301" s="187"/>
    </row>
    <row r="302" ht="12.75">
      <c r="A302" s="187"/>
    </row>
    <row r="303" ht="12.75">
      <c r="A303" s="187"/>
    </row>
    <row r="304" ht="12.75">
      <c r="A304" s="187"/>
    </row>
    <row r="305" ht="12.75">
      <c r="A305" s="187"/>
    </row>
    <row r="306" ht="12.75">
      <c r="A306" s="187"/>
    </row>
    <row r="307" ht="12.75">
      <c r="A307" s="187"/>
    </row>
    <row r="308" ht="12.75">
      <c r="A308" s="187"/>
    </row>
    <row r="309" ht="12.75">
      <c r="A309" s="187"/>
    </row>
    <row r="310" ht="12.75">
      <c r="A310" s="187"/>
    </row>
    <row r="311" ht="12.75">
      <c r="A311" s="187"/>
    </row>
    <row r="312" ht="12.75">
      <c r="A312" s="187"/>
    </row>
    <row r="313" ht="12.75">
      <c r="A313" s="187"/>
    </row>
    <row r="314" ht="12.75">
      <c r="A314" s="187"/>
    </row>
    <row r="315" ht="12.75">
      <c r="A315" s="187"/>
    </row>
    <row r="316" ht="12.75">
      <c r="A316" s="187"/>
    </row>
    <row r="317" ht="12.75">
      <c r="A317" s="187"/>
    </row>
    <row r="318" ht="12.75">
      <c r="A318" s="187"/>
    </row>
    <row r="319" ht="12.75">
      <c r="A319" s="187"/>
    </row>
    <row r="320" ht="12.75">
      <c r="A320" s="187"/>
    </row>
    <row r="321" ht="12.75">
      <c r="A321" s="187"/>
    </row>
    <row r="322" ht="12.75">
      <c r="A322" s="187"/>
    </row>
    <row r="323" ht="12.75">
      <c r="A323" s="187"/>
    </row>
    <row r="324" ht="12.75">
      <c r="A324" s="187"/>
    </row>
    <row r="325" ht="12.75">
      <c r="A325" s="187"/>
    </row>
    <row r="326" ht="12.75">
      <c r="A326" s="187"/>
    </row>
    <row r="327" ht="12.75">
      <c r="A327" s="187"/>
    </row>
    <row r="328" ht="12.75">
      <c r="A328" s="187"/>
    </row>
    <row r="329" ht="12.75">
      <c r="A329" s="187"/>
    </row>
    <row r="330" ht="12.75">
      <c r="A330" s="187"/>
    </row>
    <row r="331" ht="12.75">
      <c r="A331" s="187"/>
    </row>
    <row r="332" ht="12.75">
      <c r="A332" s="187"/>
    </row>
    <row r="333" ht="12.75">
      <c r="A333" s="187"/>
    </row>
    <row r="334" ht="12.75">
      <c r="A334" s="187"/>
    </row>
    <row r="335" ht="12.75">
      <c r="A335" s="187"/>
    </row>
    <row r="336" ht="12.75">
      <c r="A336" s="187"/>
    </row>
    <row r="337" ht="12.75">
      <c r="A337" s="187"/>
    </row>
    <row r="338" ht="12.75">
      <c r="A338" s="187"/>
    </row>
    <row r="339" ht="12.75">
      <c r="A339" s="187"/>
    </row>
    <row r="340" ht="12.75">
      <c r="A340" s="187"/>
    </row>
    <row r="341" ht="12.75">
      <c r="A341" s="187"/>
    </row>
    <row r="342" ht="12.75">
      <c r="A342" s="187"/>
    </row>
    <row r="343" ht="12.75">
      <c r="A343" s="187"/>
    </row>
    <row r="344" ht="12.75">
      <c r="A344" s="187"/>
    </row>
    <row r="345" ht="12.75">
      <c r="A345" s="187"/>
    </row>
    <row r="346" ht="12.75">
      <c r="A346" s="187"/>
    </row>
    <row r="347" ht="12.75">
      <c r="A347" s="187"/>
    </row>
    <row r="348" ht="12.75">
      <c r="A348" s="187"/>
    </row>
    <row r="349" ht="12.75">
      <c r="A349" s="187"/>
    </row>
    <row r="350" ht="12.75">
      <c r="A350" s="187"/>
    </row>
    <row r="351" ht="12.75">
      <c r="A351" s="187"/>
    </row>
    <row r="352" ht="12.75">
      <c r="A352" s="187"/>
    </row>
    <row r="353" ht="12.75">
      <c r="A353" s="187"/>
    </row>
    <row r="354" ht="12.75">
      <c r="A354" s="187"/>
    </row>
    <row r="355" ht="12.75">
      <c r="A355" s="187"/>
    </row>
    <row r="356" ht="12.75">
      <c r="A356" s="187"/>
    </row>
    <row r="357" ht="12.75">
      <c r="A357" s="187"/>
    </row>
    <row r="358" ht="12.75">
      <c r="A358" s="187"/>
    </row>
    <row r="359" ht="12.75">
      <c r="A359" s="187"/>
    </row>
    <row r="360" ht="12.75">
      <c r="A360" s="187"/>
    </row>
    <row r="361" ht="12.75">
      <c r="A361" s="187"/>
    </row>
    <row r="362" ht="12.75">
      <c r="A362" s="187"/>
    </row>
    <row r="363" ht="12.75">
      <c r="A363" s="187"/>
    </row>
    <row r="364" ht="12.75">
      <c r="A364" s="187"/>
    </row>
    <row r="365" ht="12.75">
      <c r="A365" s="187"/>
    </row>
    <row r="366" ht="12.75">
      <c r="A366" s="187"/>
    </row>
    <row r="367" ht="12.75">
      <c r="A367" s="187"/>
    </row>
    <row r="368" ht="12.75">
      <c r="A368" s="187"/>
    </row>
    <row r="369" ht="12.75">
      <c r="A369" s="187"/>
    </row>
    <row r="370" ht="12.75">
      <c r="A370" s="187"/>
    </row>
    <row r="371" ht="12.75">
      <c r="A371" s="187"/>
    </row>
    <row r="372" ht="12.75">
      <c r="A372" s="187"/>
    </row>
    <row r="373" ht="12.75">
      <c r="A373" s="187"/>
    </row>
    <row r="374" ht="12.75">
      <c r="A374" s="187"/>
    </row>
    <row r="375" ht="12.75">
      <c r="A375" s="187"/>
    </row>
    <row r="376" ht="12.75">
      <c r="A376" s="187"/>
    </row>
    <row r="377" ht="12.75">
      <c r="A377" s="187"/>
    </row>
    <row r="378" ht="12.75">
      <c r="A378" s="187"/>
    </row>
    <row r="379" ht="12.75">
      <c r="A379" s="187"/>
    </row>
    <row r="380" ht="12.75">
      <c r="A380" s="187"/>
    </row>
    <row r="381" ht="12.75">
      <c r="A381" s="187"/>
    </row>
    <row r="382" ht="12.75">
      <c r="A382" s="187"/>
    </row>
    <row r="383" ht="12.75">
      <c r="A383" s="187"/>
    </row>
    <row r="384" ht="12.75">
      <c r="A384" s="187"/>
    </row>
    <row r="385" ht="12.75">
      <c r="A385" s="187"/>
    </row>
    <row r="386" ht="12.75">
      <c r="A386" s="187"/>
    </row>
    <row r="387" ht="12.75">
      <c r="A387" s="187"/>
    </row>
    <row r="388" ht="12.75">
      <c r="A388" s="187"/>
    </row>
    <row r="389" ht="12.75">
      <c r="A389" s="187"/>
    </row>
    <row r="390" ht="12.75">
      <c r="A390" s="187"/>
    </row>
    <row r="391" ht="12.75">
      <c r="A391" s="187"/>
    </row>
    <row r="392" ht="12.75">
      <c r="A392" s="187"/>
    </row>
    <row r="393" ht="12.75">
      <c r="A393" s="187"/>
    </row>
    <row r="394" ht="12.75">
      <c r="A394" s="187"/>
    </row>
    <row r="395" ht="12.75">
      <c r="A395" s="187"/>
    </row>
    <row r="396" ht="12.75">
      <c r="A396" s="187"/>
    </row>
    <row r="397" ht="12.75">
      <c r="A397" s="187"/>
    </row>
    <row r="398" ht="12.75">
      <c r="A398" s="187"/>
    </row>
    <row r="399" ht="12.75">
      <c r="A399" s="187"/>
    </row>
    <row r="400" ht="12.75">
      <c r="A400" s="187"/>
    </row>
    <row r="401" ht="12.75">
      <c r="A401" s="187"/>
    </row>
    <row r="402" ht="12.75">
      <c r="A402" s="187"/>
    </row>
    <row r="403" ht="12.75">
      <c r="A403" s="187"/>
    </row>
    <row r="404" ht="12.75">
      <c r="A404" s="187"/>
    </row>
    <row r="405" ht="12.75">
      <c r="A405" s="187"/>
    </row>
    <row r="406" ht="12.75">
      <c r="A406" s="187"/>
    </row>
    <row r="407" ht="12.75">
      <c r="A407" s="187"/>
    </row>
    <row r="408" ht="12.75">
      <c r="A408" s="187"/>
    </row>
    <row r="409" ht="12.75">
      <c r="A409" s="187"/>
    </row>
    <row r="410" ht="12.75">
      <c r="A410" s="187"/>
    </row>
    <row r="411" ht="12.75">
      <c r="A411" s="187"/>
    </row>
    <row r="412" ht="12.75">
      <c r="A412" s="187"/>
    </row>
    <row r="413" ht="12.75">
      <c r="A413" s="187"/>
    </row>
    <row r="414" ht="12.75">
      <c r="A414" s="187"/>
    </row>
    <row r="415" ht="12.75">
      <c r="A415" s="187"/>
    </row>
    <row r="416" ht="12.75">
      <c r="A416" s="187"/>
    </row>
    <row r="417" ht="12.75">
      <c r="A417" s="187"/>
    </row>
    <row r="418" ht="12.75">
      <c r="A418" s="187"/>
    </row>
    <row r="419" ht="12.75">
      <c r="A419" s="187"/>
    </row>
    <row r="420" ht="12.75">
      <c r="A420" s="187"/>
    </row>
    <row r="421" ht="12.75">
      <c r="A421" s="187"/>
    </row>
    <row r="422" ht="12.75">
      <c r="A422" s="187"/>
    </row>
    <row r="423" ht="12.75">
      <c r="A423" s="187"/>
    </row>
    <row r="424" ht="12.75">
      <c r="A424" s="187"/>
    </row>
    <row r="425" ht="12.75">
      <c r="A425" s="187"/>
    </row>
    <row r="426" ht="12.75">
      <c r="A426" s="187"/>
    </row>
    <row r="427" ht="12.75">
      <c r="A427" s="187"/>
    </row>
    <row r="428" ht="12.75">
      <c r="A428" s="187"/>
    </row>
    <row r="429" ht="12.75">
      <c r="A429" s="187"/>
    </row>
    <row r="430" ht="12.75">
      <c r="A430" s="187"/>
    </row>
    <row r="431" ht="12.75">
      <c r="A431" s="187"/>
    </row>
    <row r="432" ht="12.75">
      <c r="A432" s="187"/>
    </row>
    <row r="433" ht="12.75">
      <c r="A433" s="187"/>
    </row>
    <row r="434" ht="12.75">
      <c r="A434" s="187"/>
    </row>
    <row r="435" ht="12.75">
      <c r="A435" s="187"/>
    </row>
    <row r="436" ht="12.75">
      <c r="A436" s="187"/>
    </row>
    <row r="437" ht="12.75">
      <c r="A437" s="187"/>
    </row>
    <row r="438" ht="12.75">
      <c r="A438" s="187"/>
    </row>
    <row r="439" ht="12.75">
      <c r="A439" s="187"/>
    </row>
    <row r="440" ht="12.75">
      <c r="A440" s="187"/>
    </row>
    <row r="441" ht="12.75">
      <c r="A441" s="187"/>
    </row>
    <row r="442" ht="12.75">
      <c r="A442" s="187"/>
    </row>
    <row r="443" ht="12.75">
      <c r="A443" s="187"/>
    </row>
    <row r="444" ht="12.75">
      <c r="A444" s="187"/>
    </row>
    <row r="445" ht="12.75">
      <c r="A445" s="187"/>
    </row>
    <row r="446" ht="12.75">
      <c r="A446" s="187"/>
    </row>
    <row r="447" ht="12.75">
      <c r="A447" s="187"/>
    </row>
    <row r="448" ht="12.75">
      <c r="A448" s="187"/>
    </row>
    <row r="449" ht="12.75">
      <c r="A449" s="187"/>
    </row>
    <row r="450" ht="12.75">
      <c r="A450" s="187"/>
    </row>
    <row r="451" ht="12.75">
      <c r="A451" s="187"/>
    </row>
    <row r="452" ht="12.75">
      <c r="A452" s="187"/>
    </row>
    <row r="453" ht="12.75">
      <c r="A453" s="187"/>
    </row>
    <row r="454" ht="12.75">
      <c r="A454" s="187"/>
    </row>
    <row r="455" ht="12.75">
      <c r="A455" s="187"/>
    </row>
    <row r="456" ht="12.75">
      <c r="A456" s="187"/>
    </row>
    <row r="457" ht="12.75">
      <c r="A457" s="187"/>
    </row>
    <row r="458" ht="12.75">
      <c r="A458" s="187"/>
    </row>
    <row r="459" ht="12.75">
      <c r="A459" s="187"/>
    </row>
    <row r="460" ht="12.75">
      <c r="A460" s="187"/>
    </row>
    <row r="461" ht="12.75">
      <c r="A461" s="187"/>
    </row>
    <row r="462" ht="12.75">
      <c r="A462" s="187"/>
    </row>
    <row r="463" ht="12.75">
      <c r="A463" s="187"/>
    </row>
    <row r="464" ht="12.75">
      <c r="A464" s="187"/>
    </row>
    <row r="465" ht="12.75">
      <c r="A465" s="187"/>
    </row>
    <row r="466" ht="12.75">
      <c r="A466" s="187"/>
    </row>
    <row r="467" ht="12.75">
      <c r="A467" s="187"/>
    </row>
    <row r="468" ht="12.75">
      <c r="A468" s="187"/>
    </row>
    <row r="469" ht="12.75">
      <c r="A469" s="187"/>
    </row>
    <row r="470" ht="12.75">
      <c r="A470" s="187"/>
    </row>
    <row r="471" ht="12.75">
      <c r="A471" s="187"/>
    </row>
    <row r="472" ht="12.75">
      <c r="A472" s="187"/>
    </row>
    <row r="473" ht="12.75">
      <c r="A473" s="187"/>
    </row>
    <row r="474" ht="12.75">
      <c r="A474" s="187"/>
    </row>
    <row r="475" ht="12.75">
      <c r="A475" s="187"/>
    </row>
    <row r="476" ht="12.75">
      <c r="A476" s="187"/>
    </row>
    <row r="477" ht="12.75">
      <c r="A477" s="187"/>
    </row>
    <row r="478" ht="12.75">
      <c r="A478" s="187"/>
    </row>
    <row r="479" ht="12.75">
      <c r="A479" s="187"/>
    </row>
    <row r="480" ht="12.75">
      <c r="A480" s="187"/>
    </row>
    <row r="481" ht="12.75">
      <c r="A481" s="187"/>
    </row>
    <row r="482" ht="12.75">
      <c r="A482" s="187"/>
    </row>
    <row r="483" ht="12.75">
      <c r="A483" s="187"/>
    </row>
    <row r="484" ht="12.75">
      <c r="A484" s="187"/>
    </row>
    <row r="485" ht="12.75">
      <c r="A485" s="187"/>
    </row>
    <row r="486" ht="12.75">
      <c r="A486" s="187"/>
    </row>
    <row r="487" ht="12.75">
      <c r="A487" s="187"/>
    </row>
    <row r="488" ht="12.75">
      <c r="A488" s="187"/>
    </row>
    <row r="489" ht="12.75">
      <c r="A489" s="187"/>
    </row>
    <row r="490" ht="12.75">
      <c r="A490" s="187"/>
    </row>
    <row r="491" ht="12.75">
      <c r="A491" s="187"/>
    </row>
    <row r="492" ht="12.75">
      <c r="A492" s="187"/>
    </row>
    <row r="493" ht="12.75">
      <c r="A493" s="187"/>
    </row>
    <row r="494" ht="12.75">
      <c r="A494" s="187"/>
    </row>
    <row r="495" ht="12.75">
      <c r="A495" s="187"/>
    </row>
    <row r="496" ht="12.75">
      <c r="A496" s="187"/>
    </row>
    <row r="497" ht="12.75">
      <c r="A497" s="187"/>
    </row>
    <row r="498" ht="12.75">
      <c r="A498" s="187"/>
    </row>
    <row r="499" ht="12.75">
      <c r="A499" s="187"/>
    </row>
    <row r="500" ht="12.75">
      <c r="A500" s="187"/>
    </row>
    <row r="501" ht="12.75">
      <c r="A501" s="187"/>
    </row>
    <row r="502" ht="12.75">
      <c r="A502" s="187"/>
    </row>
    <row r="503" ht="12.75">
      <c r="A503" s="187"/>
    </row>
    <row r="504" ht="12.75">
      <c r="A504" s="187"/>
    </row>
    <row r="505" ht="12.75">
      <c r="A505" s="187"/>
    </row>
    <row r="506" ht="12.75">
      <c r="A506" s="187"/>
    </row>
    <row r="507" ht="12.75">
      <c r="A507" s="187"/>
    </row>
    <row r="508" ht="12.75">
      <c r="A508" s="187"/>
    </row>
    <row r="509" ht="12.75">
      <c r="A509" s="187"/>
    </row>
    <row r="510" ht="12.75">
      <c r="A510" s="187"/>
    </row>
    <row r="511" ht="12.75">
      <c r="A511" s="187"/>
    </row>
    <row r="512" ht="12.75">
      <c r="A512" s="187"/>
    </row>
    <row r="513" ht="12.75">
      <c r="A513" s="187"/>
    </row>
    <row r="514" ht="12.75">
      <c r="A514" s="187"/>
    </row>
    <row r="515" ht="12.75">
      <c r="A515" s="187"/>
    </row>
    <row r="516" ht="12.75">
      <c r="A516" s="187"/>
    </row>
    <row r="517" ht="12.75">
      <c r="A517" s="187"/>
    </row>
    <row r="518" ht="12.75">
      <c r="A518" s="187"/>
    </row>
    <row r="519" ht="12.75">
      <c r="A519" s="187"/>
    </row>
    <row r="520" ht="12.75">
      <c r="A520" s="187"/>
    </row>
    <row r="521" ht="12.75">
      <c r="A521" s="187"/>
    </row>
    <row r="522" ht="12.75">
      <c r="A522" s="187"/>
    </row>
    <row r="523" ht="12.75">
      <c r="A523" s="187"/>
    </row>
    <row r="524" ht="12.75">
      <c r="A524" s="187"/>
    </row>
    <row r="525" ht="12.75">
      <c r="A525" s="187"/>
    </row>
    <row r="526" ht="12.75">
      <c r="A526" s="187"/>
    </row>
    <row r="527" ht="12.75">
      <c r="A527" s="187"/>
    </row>
    <row r="528" ht="12.75">
      <c r="A528" s="187"/>
    </row>
    <row r="529" ht="12.75">
      <c r="A529" s="187"/>
    </row>
    <row r="530" ht="12.75">
      <c r="A530" s="187"/>
    </row>
    <row r="531" ht="12.75">
      <c r="A531" s="187"/>
    </row>
    <row r="532" ht="12.75">
      <c r="A532" s="187"/>
    </row>
    <row r="533" ht="12.75">
      <c r="A533" s="187"/>
    </row>
    <row r="534" ht="12.75">
      <c r="A534" s="187"/>
    </row>
    <row r="535" ht="12.75">
      <c r="A535" s="187"/>
    </row>
    <row r="536" ht="12.75">
      <c r="A536" s="187"/>
    </row>
    <row r="537" ht="12.75">
      <c r="A537" s="187"/>
    </row>
    <row r="538" ht="12.75">
      <c r="A538" s="187"/>
    </row>
    <row r="539" ht="12.75">
      <c r="A539" s="187"/>
    </row>
    <row r="540" ht="12.75">
      <c r="A540" s="187"/>
    </row>
    <row r="541" ht="12.75">
      <c r="A541" s="187"/>
    </row>
    <row r="542" ht="12.75">
      <c r="A542" s="187"/>
    </row>
    <row r="543" ht="12.75">
      <c r="A543" s="187"/>
    </row>
    <row r="544" ht="12.75">
      <c r="A544" s="187"/>
    </row>
    <row r="545" ht="12.75">
      <c r="A545" s="187"/>
    </row>
    <row r="546" ht="12.75">
      <c r="A546" s="187"/>
    </row>
    <row r="547" ht="12.75">
      <c r="A547" s="187"/>
    </row>
    <row r="548" ht="12.75">
      <c r="A548" s="187"/>
    </row>
    <row r="549" ht="12.75">
      <c r="A549" s="187"/>
    </row>
    <row r="550" ht="12.75">
      <c r="A550" s="187"/>
    </row>
    <row r="551" ht="12.75">
      <c r="A551" s="187"/>
    </row>
    <row r="552" ht="12.75">
      <c r="A552" s="187"/>
    </row>
    <row r="553" ht="12.75">
      <c r="A553" s="187"/>
    </row>
    <row r="554" ht="12.75">
      <c r="A554" s="187"/>
    </row>
    <row r="555" ht="12.75">
      <c r="A555" s="187"/>
    </row>
    <row r="556" ht="12.75">
      <c r="A556" s="187"/>
    </row>
    <row r="557" ht="12.75">
      <c r="A557" s="187"/>
    </row>
    <row r="558" ht="12.75">
      <c r="A558" s="187"/>
    </row>
    <row r="559" ht="12.75">
      <c r="A559" s="187"/>
    </row>
    <row r="560" ht="12.75">
      <c r="A560" s="187"/>
    </row>
    <row r="561" ht="12.75">
      <c r="A561" s="187"/>
    </row>
    <row r="562" ht="12.75">
      <c r="A562" s="187"/>
    </row>
    <row r="563" ht="12.75">
      <c r="A563" s="187"/>
    </row>
    <row r="564" ht="12.75">
      <c r="A564" s="187"/>
    </row>
    <row r="565" ht="12.75">
      <c r="A565" s="187"/>
    </row>
    <row r="566" ht="12.75">
      <c r="A566" s="187"/>
    </row>
    <row r="567" ht="12.75">
      <c r="A567" s="187"/>
    </row>
    <row r="568" ht="12.75">
      <c r="A568" s="187"/>
    </row>
    <row r="569" ht="12.75">
      <c r="A569" s="187"/>
    </row>
    <row r="570" ht="12.75">
      <c r="A570" s="187"/>
    </row>
    <row r="571" ht="12.75">
      <c r="A571" s="187"/>
    </row>
    <row r="572" ht="12.75">
      <c r="A572" s="187"/>
    </row>
    <row r="573" ht="12.75">
      <c r="A573" s="187"/>
    </row>
    <row r="574" ht="12.75">
      <c r="A574" s="187"/>
    </row>
    <row r="575" ht="12.75">
      <c r="A575" s="187"/>
    </row>
    <row r="576" ht="12.75">
      <c r="A576" s="187"/>
    </row>
    <row r="577" ht="12.75">
      <c r="A577" s="187"/>
    </row>
    <row r="578" ht="12.75">
      <c r="A578" s="187"/>
    </row>
    <row r="579" ht="12.75">
      <c r="A579" s="187"/>
    </row>
    <row r="580" ht="12.75">
      <c r="A580" s="187"/>
    </row>
    <row r="581" ht="12.75">
      <c r="A581" s="187"/>
    </row>
    <row r="582" ht="12.75">
      <c r="A582" s="187"/>
    </row>
    <row r="583" ht="12.75">
      <c r="A583" s="187"/>
    </row>
    <row r="584" ht="12.75">
      <c r="A584" s="187"/>
    </row>
    <row r="585" ht="12.75">
      <c r="A585" s="187"/>
    </row>
    <row r="586" ht="12.75">
      <c r="A586" s="187"/>
    </row>
    <row r="587" ht="12.75">
      <c r="A587" s="187"/>
    </row>
    <row r="588" ht="12.75">
      <c r="A588" s="187"/>
    </row>
    <row r="589" ht="12.75">
      <c r="A589" s="187"/>
    </row>
    <row r="590" ht="12.75">
      <c r="A590" s="187"/>
    </row>
    <row r="591" ht="12.75">
      <c r="A591" s="187"/>
    </row>
    <row r="592" ht="12.75">
      <c r="A592" s="187"/>
    </row>
    <row r="593" ht="12.75">
      <c r="A593" s="187"/>
    </row>
    <row r="594" ht="12.75">
      <c r="A594" s="187"/>
    </row>
    <row r="595" ht="12.75">
      <c r="A595" s="187"/>
    </row>
    <row r="596" ht="12.75">
      <c r="A596" s="187"/>
    </row>
    <row r="597" ht="12.75">
      <c r="A597" s="187"/>
    </row>
    <row r="598" ht="12.75">
      <c r="A598" s="187"/>
    </row>
    <row r="599" ht="12.75">
      <c r="A599" s="187"/>
    </row>
    <row r="600" ht="12.75">
      <c r="A600" s="187"/>
    </row>
    <row r="601" ht="12.75">
      <c r="A601" s="187"/>
    </row>
    <row r="602" ht="12.75">
      <c r="A602" s="187"/>
    </row>
    <row r="603" ht="12.75">
      <c r="A603" s="187"/>
    </row>
    <row r="604" ht="12.75">
      <c r="A604" s="187"/>
    </row>
    <row r="605" ht="12.75">
      <c r="A605" s="187"/>
    </row>
    <row r="606" ht="12.75">
      <c r="A606" s="187"/>
    </row>
    <row r="607" ht="12.75">
      <c r="A607" s="187"/>
    </row>
    <row r="608" ht="12.75">
      <c r="A608" s="187"/>
    </row>
    <row r="609" ht="12.75">
      <c r="A609" s="187"/>
    </row>
    <row r="610" ht="12.75">
      <c r="A610" s="187"/>
    </row>
    <row r="611" ht="12.75">
      <c r="A611" s="187"/>
    </row>
    <row r="612" ht="12.75">
      <c r="A612" s="187"/>
    </row>
    <row r="613" ht="12.75">
      <c r="A613" s="187"/>
    </row>
    <row r="614" ht="12.75">
      <c r="A614" s="187"/>
    </row>
    <row r="615" ht="12.75">
      <c r="A615" s="187"/>
    </row>
    <row r="616" ht="12.75">
      <c r="A616" s="187"/>
    </row>
    <row r="617" ht="12.75">
      <c r="A617" s="187"/>
    </row>
    <row r="618" ht="12.75">
      <c r="A618" s="187"/>
    </row>
    <row r="619" ht="12.75">
      <c r="A619" s="187"/>
    </row>
    <row r="620" ht="12.75">
      <c r="A620" s="187"/>
    </row>
    <row r="621" ht="12.75">
      <c r="A621" s="187"/>
    </row>
    <row r="622" ht="12.75">
      <c r="A622" s="187"/>
    </row>
    <row r="623" ht="12.75">
      <c r="A623" s="187"/>
    </row>
    <row r="624" ht="12.75">
      <c r="A624" s="187"/>
    </row>
    <row r="625" ht="12.75">
      <c r="A625" s="187"/>
    </row>
    <row r="626" ht="12.75">
      <c r="A626" s="187"/>
    </row>
    <row r="627" ht="12.75">
      <c r="A627" s="187"/>
    </row>
    <row r="628" ht="12.75">
      <c r="A628" s="187"/>
    </row>
    <row r="629" ht="12.75">
      <c r="A629" s="187"/>
    </row>
    <row r="630" ht="12.75">
      <c r="A630" s="187"/>
    </row>
    <row r="631" ht="12.75">
      <c r="A631" s="187"/>
    </row>
    <row r="632" ht="12.75">
      <c r="A632" s="187"/>
    </row>
    <row r="633" ht="12.75">
      <c r="A633" s="187"/>
    </row>
    <row r="634" ht="12.75">
      <c r="A634" s="187"/>
    </row>
    <row r="635" ht="12.75">
      <c r="A635" s="187"/>
    </row>
    <row r="636" ht="12.75">
      <c r="A636" s="187"/>
    </row>
    <row r="637" ht="12.75">
      <c r="A637" s="187"/>
    </row>
    <row r="638" ht="12.75">
      <c r="A638" s="187"/>
    </row>
    <row r="639" ht="12.75">
      <c r="A639" s="187"/>
    </row>
    <row r="640" ht="12.75">
      <c r="A640" s="187"/>
    </row>
    <row r="641" ht="12.75">
      <c r="A641" s="187"/>
    </row>
    <row r="642" ht="12.75">
      <c r="A642" s="187"/>
    </row>
    <row r="643" ht="12.75">
      <c r="A643" s="187"/>
    </row>
    <row r="644" ht="12.75">
      <c r="A644" s="187"/>
    </row>
    <row r="645" ht="12.75">
      <c r="A645" s="187"/>
    </row>
    <row r="646" ht="12.75">
      <c r="A646" s="187"/>
    </row>
    <row r="647" ht="12.75">
      <c r="A647" s="187"/>
    </row>
    <row r="648" ht="12.75">
      <c r="A648" s="187"/>
    </row>
    <row r="649" ht="12.75">
      <c r="A649" s="187"/>
    </row>
    <row r="650" ht="12.75">
      <c r="A650" s="187"/>
    </row>
    <row r="651" ht="12.75">
      <c r="A651" s="187"/>
    </row>
    <row r="652" ht="12.75">
      <c r="A652" s="187"/>
    </row>
    <row r="653" ht="12.75">
      <c r="A653" s="187"/>
    </row>
    <row r="654" ht="12.75">
      <c r="A654" s="187"/>
    </row>
    <row r="655" ht="12.75">
      <c r="A655" s="187"/>
    </row>
    <row r="656" ht="12.75">
      <c r="A656" s="187"/>
    </row>
    <row r="657" ht="12.75">
      <c r="A657" s="187"/>
    </row>
    <row r="658" ht="12.75">
      <c r="A658" s="187"/>
    </row>
    <row r="659" ht="12.75">
      <c r="A659" s="187"/>
    </row>
    <row r="660" ht="12.75">
      <c r="A660" s="187"/>
    </row>
    <row r="661" ht="12.75">
      <c r="A661" s="187"/>
    </row>
    <row r="662" ht="12.75">
      <c r="A662" s="187"/>
    </row>
    <row r="663" ht="12.75">
      <c r="A663" s="187"/>
    </row>
    <row r="664" ht="12.75">
      <c r="A664" s="187"/>
    </row>
    <row r="665" ht="12.75">
      <c r="A665" s="187"/>
    </row>
    <row r="666" ht="12.75">
      <c r="A666" s="187"/>
    </row>
    <row r="667" ht="12.75">
      <c r="A667" s="187"/>
    </row>
    <row r="668" ht="12.75">
      <c r="A668" s="187"/>
    </row>
    <row r="669" ht="12.75">
      <c r="A669" s="187"/>
    </row>
    <row r="670" ht="12.75">
      <c r="A670" s="187"/>
    </row>
    <row r="671" ht="12.75">
      <c r="A671" s="187"/>
    </row>
    <row r="672" ht="12.75">
      <c r="A672" s="187"/>
    </row>
    <row r="673" ht="12.75">
      <c r="A673" s="187"/>
    </row>
    <row r="674" ht="12.75">
      <c r="A674" s="187"/>
    </row>
    <row r="675" ht="12.75">
      <c r="A675" s="187"/>
    </row>
    <row r="676" ht="12.75">
      <c r="A676" s="187"/>
    </row>
    <row r="677" ht="12.75">
      <c r="A677" s="187"/>
    </row>
    <row r="678" ht="12.75">
      <c r="A678" s="187"/>
    </row>
    <row r="679" ht="12.75">
      <c r="A679" s="187"/>
    </row>
    <row r="680" ht="12.75">
      <c r="A680" s="187"/>
    </row>
    <row r="681" ht="12.75">
      <c r="A681" s="187"/>
    </row>
    <row r="682" ht="12.75">
      <c r="A682" s="187"/>
    </row>
    <row r="683" ht="12.75">
      <c r="A683" s="187"/>
    </row>
    <row r="684" ht="12.75">
      <c r="A684" s="187"/>
    </row>
    <row r="685" ht="12.75">
      <c r="A685" s="187"/>
    </row>
    <row r="686" ht="12.75">
      <c r="A686" s="187"/>
    </row>
    <row r="687" ht="12.75">
      <c r="A687" s="187"/>
    </row>
    <row r="688" ht="12.75">
      <c r="A688" s="187"/>
    </row>
    <row r="689" ht="12.75">
      <c r="A689" s="187"/>
    </row>
    <row r="690" ht="12.75">
      <c r="A690" s="187"/>
    </row>
    <row r="691" ht="12.75">
      <c r="A691" s="187"/>
    </row>
    <row r="692" ht="12.75">
      <c r="A692" s="187"/>
    </row>
    <row r="693" ht="12.75">
      <c r="A693" s="187"/>
    </row>
    <row r="694" ht="12.75">
      <c r="A694" s="187"/>
    </row>
    <row r="695" ht="12.75">
      <c r="A695" s="187"/>
    </row>
    <row r="696" ht="12.75">
      <c r="A696" s="187"/>
    </row>
    <row r="697" ht="12.75">
      <c r="A697" s="187"/>
    </row>
    <row r="698" ht="12.75">
      <c r="A698" s="187"/>
    </row>
    <row r="699" ht="12.75">
      <c r="A699" s="187"/>
    </row>
    <row r="700" ht="12.75">
      <c r="A700" s="187"/>
    </row>
    <row r="701" ht="12.75">
      <c r="A701" s="187"/>
    </row>
    <row r="702" ht="12.75">
      <c r="A702" s="187"/>
    </row>
    <row r="703" ht="12.75">
      <c r="A703" s="187"/>
    </row>
    <row r="704" ht="12.75">
      <c r="A704" s="187"/>
    </row>
    <row r="705" ht="12.75">
      <c r="A705" s="187"/>
    </row>
    <row r="706" ht="12.75">
      <c r="A706" s="187"/>
    </row>
    <row r="707" ht="12.75">
      <c r="A707" s="187"/>
    </row>
    <row r="708" ht="12.75">
      <c r="A708" s="187"/>
    </row>
    <row r="709" ht="12.75">
      <c r="A709" s="187"/>
    </row>
    <row r="710" ht="12.75">
      <c r="A710" s="187"/>
    </row>
    <row r="711" ht="12.75">
      <c r="A711" s="187"/>
    </row>
    <row r="712" ht="12.75">
      <c r="A712" s="187"/>
    </row>
    <row r="713" ht="12.75">
      <c r="A713" s="187"/>
    </row>
    <row r="714" ht="12.75">
      <c r="A714" s="187"/>
    </row>
    <row r="715" ht="12.75">
      <c r="A715" s="187"/>
    </row>
    <row r="716" ht="12.75">
      <c r="A716" s="187"/>
    </row>
    <row r="717" ht="12.75">
      <c r="A717" s="187"/>
    </row>
    <row r="718" ht="12.75">
      <c r="A718" s="187"/>
    </row>
    <row r="719" ht="12.75">
      <c r="A719" s="187"/>
    </row>
    <row r="720" ht="12.75">
      <c r="A720" s="187"/>
    </row>
    <row r="721" ht="12.75">
      <c r="A721" s="187"/>
    </row>
    <row r="722" ht="12.75">
      <c r="A722" s="187"/>
    </row>
    <row r="723" ht="12.75">
      <c r="A723" s="187"/>
    </row>
    <row r="724" ht="12.75">
      <c r="A724" s="187"/>
    </row>
    <row r="725" ht="12.75">
      <c r="A725" s="187"/>
    </row>
    <row r="726" ht="12.75">
      <c r="A726" s="187"/>
    </row>
    <row r="727" ht="12.75">
      <c r="A727" s="187"/>
    </row>
    <row r="728" ht="12.75">
      <c r="A728" s="187"/>
    </row>
    <row r="729" ht="12.75">
      <c r="A729" s="187"/>
    </row>
    <row r="730" ht="12.75">
      <c r="A730" s="187"/>
    </row>
    <row r="731" ht="12.75">
      <c r="A731" s="187"/>
    </row>
    <row r="732" ht="12.75">
      <c r="A732" s="187"/>
    </row>
    <row r="733" ht="12.75">
      <c r="A733" s="187"/>
    </row>
    <row r="734" ht="12.75">
      <c r="A734" s="187"/>
    </row>
    <row r="735" ht="12.75">
      <c r="A735" s="187"/>
    </row>
    <row r="736" ht="12.75">
      <c r="A736" s="187"/>
    </row>
    <row r="737" ht="12.75">
      <c r="A737" s="187"/>
    </row>
    <row r="738" ht="12.75">
      <c r="A738" s="187"/>
    </row>
    <row r="739" ht="12.75">
      <c r="A739" s="187"/>
    </row>
    <row r="740" ht="12.75">
      <c r="A740" s="187"/>
    </row>
    <row r="741" ht="12.75">
      <c r="A741" s="187"/>
    </row>
    <row r="742" ht="12.75">
      <c r="A742" s="187"/>
    </row>
    <row r="743" ht="12.75">
      <c r="A743" s="187"/>
    </row>
    <row r="744" ht="12.75">
      <c r="A744" s="187"/>
    </row>
    <row r="745" ht="12.75">
      <c r="A745" s="187"/>
    </row>
    <row r="746" ht="12.75">
      <c r="A746" s="187"/>
    </row>
    <row r="747" ht="12.75">
      <c r="A747" s="187"/>
    </row>
    <row r="748" ht="12.75">
      <c r="A748" s="187"/>
    </row>
    <row r="749" ht="12.75">
      <c r="A749" s="187"/>
    </row>
    <row r="750" ht="12.75">
      <c r="A750" s="187"/>
    </row>
    <row r="751" ht="12.75">
      <c r="A751" s="187"/>
    </row>
    <row r="752" ht="12.75">
      <c r="A752" s="187"/>
    </row>
    <row r="753" ht="12.75">
      <c r="A753" s="187"/>
    </row>
    <row r="754" ht="12.75">
      <c r="A754" s="187"/>
    </row>
    <row r="755" ht="12.75">
      <c r="A755" s="187"/>
    </row>
    <row r="756" ht="12.75">
      <c r="A756" s="187"/>
    </row>
    <row r="757" ht="12.75">
      <c r="A757" s="187"/>
    </row>
    <row r="758" ht="12.75">
      <c r="A758" s="187"/>
    </row>
    <row r="759" ht="12.75">
      <c r="A759" s="187"/>
    </row>
    <row r="760" ht="12.75">
      <c r="A760" s="187"/>
    </row>
    <row r="761" ht="12.75">
      <c r="A761" s="187"/>
    </row>
    <row r="762" ht="12.75">
      <c r="A762" s="187"/>
    </row>
    <row r="763" ht="12.75">
      <c r="A763" s="187"/>
    </row>
    <row r="764" ht="12.75">
      <c r="A764" s="187"/>
    </row>
    <row r="765" ht="12.75">
      <c r="A765" s="187"/>
    </row>
    <row r="766" ht="12.75">
      <c r="A766" s="187"/>
    </row>
    <row r="767" ht="12.75">
      <c r="A767" s="187"/>
    </row>
    <row r="768" ht="12.75">
      <c r="A768" s="187"/>
    </row>
    <row r="769" ht="12.75">
      <c r="A769" s="187"/>
    </row>
    <row r="770" ht="12.75">
      <c r="A770" s="187"/>
    </row>
    <row r="771" ht="12.75">
      <c r="A771" s="187"/>
    </row>
    <row r="772" ht="12.75">
      <c r="A772" s="187"/>
    </row>
    <row r="773" ht="12.75">
      <c r="A773" s="187"/>
    </row>
    <row r="774" ht="12.75">
      <c r="A774" s="187"/>
    </row>
    <row r="775" ht="12.75">
      <c r="A775" s="187"/>
    </row>
    <row r="776" ht="12.75">
      <c r="A776" s="187"/>
    </row>
    <row r="777" ht="12.75">
      <c r="A777" s="187"/>
    </row>
    <row r="778" ht="12.75">
      <c r="A778" s="187"/>
    </row>
    <row r="779" ht="12.75">
      <c r="A779" s="187"/>
    </row>
    <row r="780" ht="12.75">
      <c r="A780" s="187"/>
    </row>
    <row r="781" ht="12.75">
      <c r="A781" s="187"/>
    </row>
    <row r="782" ht="12.75">
      <c r="A782" s="187"/>
    </row>
    <row r="783" ht="12.75">
      <c r="A783" s="187"/>
    </row>
    <row r="784" ht="12.75">
      <c r="A784" s="187"/>
    </row>
    <row r="785" ht="12.75">
      <c r="A785" s="187"/>
    </row>
    <row r="786" ht="12.75">
      <c r="A786" s="187"/>
    </row>
    <row r="787" ht="12.75">
      <c r="A787" s="187"/>
    </row>
    <row r="788" ht="12.75">
      <c r="A788" s="187"/>
    </row>
    <row r="789" ht="12.75">
      <c r="A789" s="187"/>
    </row>
    <row r="790" ht="12.75">
      <c r="A790" s="187"/>
    </row>
    <row r="791" ht="12.75">
      <c r="A791" s="187"/>
    </row>
    <row r="792" ht="12.75">
      <c r="A792" s="187"/>
    </row>
    <row r="793" ht="12.75">
      <c r="A793" s="187"/>
    </row>
    <row r="794" ht="12.75">
      <c r="A794" s="187"/>
    </row>
    <row r="795" ht="12.75">
      <c r="A795" s="187"/>
    </row>
    <row r="796" ht="12.75">
      <c r="A796" s="187"/>
    </row>
    <row r="797" ht="12.75">
      <c r="A797" s="187"/>
    </row>
    <row r="798" ht="12.75">
      <c r="A798" s="187"/>
    </row>
    <row r="799" ht="12.75">
      <c r="A799" s="187"/>
    </row>
    <row r="800" ht="12.75">
      <c r="A800" s="187"/>
    </row>
    <row r="801" ht="12.75">
      <c r="A801" s="187"/>
    </row>
    <row r="802" ht="12.75">
      <c r="A802" s="187"/>
    </row>
    <row r="803" ht="12.75">
      <c r="A803" s="187"/>
    </row>
    <row r="804" ht="12.75">
      <c r="A804" s="187"/>
    </row>
    <row r="805" ht="12.75">
      <c r="A805" s="187"/>
    </row>
    <row r="806" ht="12.75">
      <c r="A806" s="187"/>
    </row>
    <row r="807" ht="12.75">
      <c r="A807" s="187"/>
    </row>
    <row r="808" ht="12.75">
      <c r="A808" s="187"/>
    </row>
    <row r="809" ht="12.75">
      <c r="A809" s="187"/>
    </row>
    <row r="810" ht="12.75">
      <c r="A810" s="187"/>
    </row>
    <row r="811" ht="12.75">
      <c r="A811" s="187"/>
    </row>
    <row r="812" ht="12.75">
      <c r="A812" s="187"/>
    </row>
    <row r="813" ht="12.75">
      <c r="A813" s="187"/>
    </row>
    <row r="814" ht="12.75">
      <c r="A814" s="187"/>
    </row>
    <row r="815" ht="12.75">
      <c r="A815" s="187"/>
    </row>
    <row r="816" ht="12.75">
      <c r="A816" s="187"/>
    </row>
    <row r="817" ht="12.75">
      <c r="A817" s="187"/>
    </row>
    <row r="818" ht="12.75">
      <c r="A818" s="187"/>
    </row>
    <row r="819" ht="12.75">
      <c r="A819" s="187"/>
    </row>
    <row r="820" ht="12.75">
      <c r="A820" s="187"/>
    </row>
    <row r="821" ht="12.75">
      <c r="A821" s="187"/>
    </row>
    <row r="822" ht="12.75">
      <c r="A822" s="187"/>
    </row>
    <row r="823" ht="12.75">
      <c r="A823" s="187"/>
    </row>
    <row r="824" ht="12.75">
      <c r="A824" s="187"/>
    </row>
    <row r="825" ht="12.75">
      <c r="A825" s="187"/>
    </row>
    <row r="826" ht="12.75">
      <c r="A826" s="187"/>
    </row>
    <row r="827" ht="12.75">
      <c r="A827" s="187"/>
    </row>
    <row r="828" ht="12.75">
      <c r="A828" s="187"/>
    </row>
    <row r="829" ht="12.75">
      <c r="A829" s="187"/>
    </row>
    <row r="830" ht="12.75">
      <c r="A830" s="187"/>
    </row>
    <row r="831" ht="12.75">
      <c r="A831" s="187"/>
    </row>
    <row r="832" ht="12.75">
      <c r="A832" s="187"/>
    </row>
    <row r="833" ht="12.75">
      <c r="A833" s="187"/>
    </row>
    <row r="834" ht="12.75">
      <c r="A834" s="187"/>
    </row>
    <row r="835" ht="12.75">
      <c r="A835" s="187"/>
    </row>
    <row r="836" ht="12.75">
      <c r="A836" s="187"/>
    </row>
    <row r="837" ht="12.75">
      <c r="A837" s="187"/>
    </row>
    <row r="838" ht="12.75">
      <c r="A838" s="187"/>
    </row>
    <row r="839" ht="12.75">
      <c r="A839" s="187"/>
    </row>
    <row r="840" ht="12.75">
      <c r="A840" s="187"/>
    </row>
    <row r="841" ht="12.75">
      <c r="A841" s="187"/>
    </row>
    <row r="842" ht="12.75">
      <c r="A842" s="187"/>
    </row>
    <row r="843" ht="12.75">
      <c r="A843" s="187"/>
    </row>
    <row r="844" ht="12.75">
      <c r="A844" s="187"/>
    </row>
    <row r="845" ht="12.75">
      <c r="A845" s="187"/>
    </row>
    <row r="846" ht="12.75">
      <c r="A846" s="187"/>
    </row>
    <row r="847" ht="12.75">
      <c r="A847" s="187"/>
    </row>
    <row r="848" ht="12.75">
      <c r="A848" s="187"/>
    </row>
    <row r="849" ht="12.75">
      <c r="A849" s="187"/>
    </row>
    <row r="850" ht="12.75">
      <c r="A850" s="187"/>
    </row>
    <row r="851" ht="12.75">
      <c r="A851" s="187"/>
    </row>
    <row r="852" ht="12.75">
      <c r="A852" s="187"/>
    </row>
    <row r="853" ht="12.75">
      <c r="A853" s="187"/>
    </row>
    <row r="854" ht="12.75">
      <c r="A854" s="187"/>
    </row>
    <row r="855" ht="12.75">
      <c r="A855" s="187"/>
    </row>
    <row r="856" ht="12.75">
      <c r="A856" s="187"/>
    </row>
    <row r="857" ht="12.75">
      <c r="A857" s="187"/>
    </row>
    <row r="858" ht="12.75">
      <c r="A858" s="187"/>
    </row>
    <row r="859" ht="12.75">
      <c r="A859" s="187"/>
    </row>
    <row r="860" ht="12.75">
      <c r="A860" s="187"/>
    </row>
    <row r="861" ht="12.75">
      <c r="A861" s="187"/>
    </row>
    <row r="862" ht="12.75">
      <c r="A862" s="187"/>
    </row>
    <row r="863" ht="12.75">
      <c r="A863" s="187"/>
    </row>
    <row r="864" ht="12.75">
      <c r="A864" s="187"/>
    </row>
    <row r="865" ht="12.75">
      <c r="A865" s="187"/>
    </row>
    <row r="866" ht="12.75">
      <c r="A866" s="187"/>
    </row>
    <row r="867" ht="12.75">
      <c r="A867" s="187"/>
    </row>
    <row r="868" ht="12.75">
      <c r="A868" s="187"/>
    </row>
    <row r="869" ht="12.75">
      <c r="A869" s="187"/>
    </row>
    <row r="870" ht="12.75">
      <c r="A870" s="187"/>
    </row>
    <row r="871" ht="12.75">
      <c r="A871" s="187"/>
    </row>
    <row r="872" ht="12.75">
      <c r="A872" s="187"/>
    </row>
    <row r="873" ht="12.75">
      <c r="A873" s="187"/>
    </row>
    <row r="874" ht="12.75">
      <c r="A874" s="187"/>
    </row>
    <row r="875" ht="12.75">
      <c r="A875" s="187"/>
    </row>
    <row r="876" ht="12.75">
      <c r="A876" s="187"/>
    </row>
    <row r="877" ht="12.75">
      <c r="A877" s="187"/>
    </row>
    <row r="878" ht="12.75">
      <c r="A878" s="187"/>
    </row>
    <row r="879" ht="12.75">
      <c r="A879" s="187"/>
    </row>
    <row r="880" ht="12.75">
      <c r="A880" s="187"/>
    </row>
    <row r="881" ht="12.75">
      <c r="A881" s="187"/>
    </row>
    <row r="882" ht="12.75">
      <c r="A882" s="187"/>
    </row>
    <row r="883" ht="12.75">
      <c r="A883" s="187"/>
    </row>
    <row r="884" ht="12.75">
      <c r="A884" s="187"/>
    </row>
    <row r="885" ht="12.75">
      <c r="A885" s="187"/>
    </row>
    <row r="886" ht="12.75">
      <c r="A886" s="187"/>
    </row>
    <row r="887" ht="12.75">
      <c r="A887" s="187"/>
    </row>
    <row r="888" ht="12.75">
      <c r="A888" s="187"/>
    </row>
    <row r="889" ht="12.75">
      <c r="A889" s="187"/>
    </row>
    <row r="890" ht="12.75">
      <c r="A890" s="187"/>
    </row>
    <row r="891" ht="12.75">
      <c r="A891" s="187"/>
    </row>
    <row r="892" ht="12.75">
      <c r="A892" s="187"/>
    </row>
    <row r="893" ht="12.75">
      <c r="A893" s="187"/>
    </row>
    <row r="894" ht="12.75">
      <c r="A894" s="187"/>
    </row>
    <row r="895" ht="12.75">
      <c r="A895" s="187"/>
    </row>
    <row r="896" ht="12.75">
      <c r="A896" s="187"/>
    </row>
    <row r="897" ht="12.75">
      <c r="A897" s="187"/>
    </row>
    <row r="898" ht="12.75">
      <c r="A898" s="187"/>
    </row>
    <row r="899" ht="12.75">
      <c r="A899" s="187"/>
    </row>
    <row r="900" ht="12.75">
      <c r="A900" s="187"/>
    </row>
    <row r="901" ht="12.75">
      <c r="A901" s="187"/>
    </row>
    <row r="902" ht="12.75">
      <c r="A902" s="187"/>
    </row>
    <row r="903" ht="12.75">
      <c r="A903" s="187"/>
    </row>
    <row r="904" ht="12.75">
      <c r="A904" s="187"/>
    </row>
    <row r="905" ht="12.75">
      <c r="A905" s="187"/>
    </row>
    <row r="906" ht="12.75">
      <c r="A906" s="187"/>
    </row>
    <row r="907" ht="12.75">
      <c r="A907" s="187"/>
    </row>
    <row r="908" ht="12.75">
      <c r="A908" s="187"/>
    </row>
    <row r="909" ht="12.75">
      <c r="A909" s="187"/>
    </row>
    <row r="910" ht="12.75">
      <c r="A910" s="187"/>
    </row>
    <row r="911" ht="12.75">
      <c r="A911" s="187"/>
    </row>
    <row r="912" ht="12.75">
      <c r="A912" s="187"/>
    </row>
    <row r="913" ht="12.75">
      <c r="A913" s="187"/>
    </row>
    <row r="914" ht="12.75">
      <c r="A914" s="187"/>
    </row>
    <row r="915" ht="12.75">
      <c r="A915" s="187"/>
    </row>
    <row r="916" ht="12.75">
      <c r="A916" s="187"/>
    </row>
    <row r="917" ht="12.75">
      <c r="A917" s="187"/>
    </row>
    <row r="918" ht="12.75">
      <c r="A918" s="187"/>
    </row>
    <row r="919" ht="12.75">
      <c r="A919" s="187"/>
    </row>
    <row r="920" ht="12.75">
      <c r="A920" s="187"/>
    </row>
    <row r="921" ht="12.75">
      <c r="A921" s="187"/>
    </row>
    <row r="922" ht="12.75">
      <c r="A922" s="187"/>
    </row>
    <row r="923" ht="12.75">
      <c r="A923" s="187"/>
    </row>
    <row r="924" ht="12.75">
      <c r="A924" s="187"/>
    </row>
    <row r="925" ht="12.75">
      <c r="A925" s="187"/>
    </row>
    <row r="926" ht="12.75">
      <c r="A926" s="187"/>
    </row>
    <row r="927" ht="12.75">
      <c r="A927" s="187"/>
    </row>
    <row r="928" ht="12.75">
      <c r="A928" s="187"/>
    </row>
    <row r="929" ht="12.75">
      <c r="A929" s="187"/>
    </row>
    <row r="930" ht="12.75">
      <c r="A930" s="187"/>
    </row>
    <row r="931" ht="12.75">
      <c r="A931" s="187"/>
    </row>
    <row r="932" ht="12.75">
      <c r="A932" s="187"/>
    </row>
    <row r="933" ht="12.75">
      <c r="A933" s="187"/>
    </row>
    <row r="934" ht="12.75">
      <c r="A934" s="187"/>
    </row>
    <row r="935" ht="12.75">
      <c r="A935" s="187"/>
    </row>
    <row r="936" ht="12.75">
      <c r="A936" s="187"/>
    </row>
    <row r="937" ht="12.75">
      <c r="A937" s="187"/>
    </row>
    <row r="938" ht="12.75">
      <c r="A938" s="187"/>
    </row>
    <row r="939" ht="12.75">
      <c r="A939" s="187"/>
    </row>
    <row r="940" ht="12.75">
      <c r="A940" s="187"/>
    </row>
    <row r="941" ht="12.75">
      <c r="A941" s="187"/>
    </row>
    <row r="942" ht="12.75">
      <c r="A942" s="187"/>
    </row>
    <row r="943" ht="12.75">
      <c r="A943" s="187"/>
    </row>
    <row r="944" ht="12.75">
      <c r="A944" s="187"/>
    </row>
    <row r="945" ht="12.75">
      <c r="A945" s="187"/>
    </row>
    <row r="946" ht="12.75">
      <c r="A946" s="187"/>
    </row>
    <row r="947" ht="12.75">
      <c r="A947" s="187"/>
    </row>
    <row r="948" ht="12.75">
      <c r="A948" s="187"/>
    </row>
    <row r="949" ht="12.75">
      <c r="A949" s="187"/>
    </row>
    <row r="950" ht="12.75">
      <c r="A950" s="187"/>
    </row>
    <row r="951" ht="12.75">
      <c r="A951" s="187"/>
    </row>
    <row r="952" ht="12.75">
      <c r="A952" s="187"/>
    </row>
    <row r="953" ht="12.75">
      <c r="A953" s="187"/>
    </row>
    <row r="954" ht="12.75">
      <c r="A954" s="187"/>
    </row>
    <row r="955" ht="12.75">
      <c r="A955" s="187"/>
    </row>
    <row r="956" ht="12.75">
      <c r="A956" s="187"/>
    </row>
    <row r="957" ht="12.75">
      <c r="A957" s="187"/>
    </row>
    <row r="958" ht="12.75">
      <c r="A958" s="187"/>
    </row>
    <row r="959" ht="12.75">
      <c r="A959" s="187"/>
    </row>
    <row r="960" ht="12.75">
      <c r="A960" s="187"/>
    </row>
    <row r="961" ht="12.75">
      <c r="A961" s="187"/>
    </row>
    <row r="962" ht="12.75">
      <c r="A962" s="187"/>
    </row>
    <row r="963" ht="12.75">
      <c r="A963" s="187"/>
    </row>
    <row r="964" ht="12.75">
      <c r="A964" s="187"/>
    </row>
    <row r="965" ht="12.75">
      <c r="A965" s="187"/>
    </row>
    <row r="966" ht="12.75">
      <c r="A966" s="187"/>
    </row>
    <row r="967" ht="12.75">
      <c r="A967" s="187"/>
    </row>
    <row r="968" ht="12.75">
      <c r="A968" s="187"/>
    </row>
    <row r="969" ht="12.75">
      <c r="A969" s="187"/>
    </row>
    <row r="970" ht="12.75">
      <c r="A970" s="187"/>
    </row>
    <row r="971" ht="12.75">
      <c r="A971" s="187"/>
    </row>
    <row r="972" ht="12.75">
      <c r="A972" s="187"/>
    </row>
    <row r="973" ht="12.75">
      <c r="A973" s="187"/>
    </row>
    <row r="974" ht="12.75">
      <c r="A974" s="187"/>
    </row>
    <row r="975" ht="12.75">
      <c r="A975" s="187"/>
    </row>
    <row r="976" ht="12.75">
      <c r="A976" s="187"/>
    </row>
    <row r="977" ht="12.75">
      <c r="A977" s="187"/>
    </row>
    <row r="978" ht="12.75">
      <c r="A978" s="187"/>
    </row>
    <row r="979" ht="12.75">
      <c r="A979" s="187"/>
    </row>
    <row r="980" ht="12.75">
      <c r="A980" s="187"/>
    </row>
    <row r="981" ht="12.75">
      <c r="A981" s="187"/>
    </row>
    <row r="982" ht="12.75">
      <c r="A982" s="187"/>
    </row>
    <row r="983" ht="12.75">
      <c r="A983" s="187"/>
    </row>
    <row r="984" ht="12.75">
      <c r="A984" s="187"/>
    </row>
    <row r="985" ht="12.75">
      <c r="A985" s="187"/>
    </row>
    <row r="986" ht="12.75">
      <c r="A986" s="187"/>
    </row>
    <row r="987" ht="12.75">
      <c r="A987" s="187"/>
    </row>
    <row r="988" ht="12.75">
      <c r="A988" s="187"/>
    </row>
    <row r="989" ht="12.75">
      <c r="A989" s="187"/>
    </row>
    <row r="990" ht="12.75">
      <c r="A990" s="187"/>
    </row>
    <row r="991" ht="12.75">
      <c r="A991" s="187"/>
    </row>
    <row r="992" ht="12.75">
      <c r="A992" s="187"/>
    </row>
    <row r="993" ht="12.75">
      <c r="A993" s="187"/>
    </row>
    <row r="994" ht="12.75">
      <c r="A994" s="187"/>
    </row>
    <row r="995" ht="12.75">
      <c r="A995" s="187"/>
    </row>
    <row r="996" ht="12.75">
      <c r="A996" s="187"/>
    </row>
    <row r="997" ht="12.75">
      <c r="A997" s="187"/>
    </row>
    <row r="998" ht="12.75">
      <c r="A998" s="187"/>
    </row>
    <row r="999" ht="12.75">
      <c r="A999" s="187"/>
    </row>
    <row r="1000" ht="12.75">
      <c r="A1000" s="187"/>
    </row>
    <row r="1001" ht="12.75">
      <c r="A1001" s="187"/>
    </row>
    <row r="1002" ht="12.75">
      <c r="A1002" s="187"/>
    </row>
    <row r="1003" ht="12.75">
      <c r="A1003" s="187"/>
    </row>
    <row r="1004" ht="12.75">
      <c r="A1004" s="187"/>
    </row>
    <row r="1005" ht="12.75">
      <c r="A1005" s="187"/>
    </row>
    <row r="1006" ht="12.75">
      <c r="A1006" s="187"/>
    </row>
    <row r="1007" ht="12.75">
      <c r="A1007" s="187"/>
    </row>
    <row r="1008" ht="12.75">
      <c r="A1008" s="187"/>
    </row>
    <row r="1009" ht="12.75">
      <c r="A1009" s="187"/>
    </row>
    <row r="1010" ht="12.75">
      <c r="A1010" s="187"/>
    </row>
    <row r="1011" ht="12.75">
      <c r="A1011" s="187"/>
    </row>
    <row r="1012" ht="12.75">
      <c r="A1012" s="187"/>
    </row>
    <row r="1013" ht="12.75">
      <c r="A1013" s="187"/>
    </row>
    <row r="1014" ht="12.75">
      <c r="A1014" s="187"/>
    </row>
    <row r="1015" ht="12.75">
      <c r="A1015" s="187"/>
    </row>
    <row r="1016" ht="12.75">
      <c r="A1016" s="187"/>
    </row>
    <row r="1017" ht="12.75">
      <c r="A1017" s="187"/>
    </row>
    <row r="1018" ht="12.75">
      <c r="A1018" s="187"/>
    </row>
    <row r="1019" ht="12.75">
      <c r="A1019" s="187"/>
    </row>
    <row r="1020" ht="12.75">
      <c r="A1020" s="187"/>
    </row>
    <row r="1021" ht="12.75">
      <c r="A1021" s="187"/>
    </row>
    <row r="1022" ht="12.75">
      <c r="A1022" s="187"/>
    </row>
    <row r="1023" ht="12.75">
      <c r="A1023" s="187"/>
    </row>
    <row r="1024" ht="12.75">
      <c r="A1024" s="187"/>
    </row>
    <row r="1025" ht="12.75">
      <c r="A1025" s="187"/>
    </row>
    <row r="1026" ht="12.75">
      <c r="A1026" s="187"/>
    </row>
    <row r="1027" ht="12.75">
      <c r="A1027" s="187"/>
    </row>
    <row r="1028" ht="12.75">
      <c r="A1028" s="187"/>
    </row>
    <row r="1029" ht="12.75">
      <c r="A1029" s="187"/>
    </row>
    <row r="1030" ht="12.75">
      <c r="A1030" s="187"/>
    </row>
    <row r="1031" ht="12.75">
      <c r="A1031" s="187"/>
    </row>
    <row r="1032" ht="12.75">
      <c r="A1032" s="187"/>
    </row>
    <row r="1033" ht="12.75">
      <c r="A1033" s="187"/>
    </row>
    <row r="1034" ht="12.75">
      <c r="A1034" s="187"/>
    </row>
    <row r="1035" ht="12.75">
      <c r="A1035" s="187"/>
    </row>
    <row r="1036" ht="12.75">
      <c r="A1036" s="187"/>
    </row>
    <row r="1037" ht="12.75">
      <c r="A1037" s="187"/>
    </row>
    <row r="1038" ht="12.75">
      <c r="A1038" s="187"/>
    </row>
    <row r="1039" ht="12.75">
      <c r="A1039" s="187"/>
    </row>
    <row r="1040" ht="12.75">
      <c r="A1040" s="187"/>
    </row>
    <row r="1041" ht="12.75">
      <c r="A1041" s="187"/>
    </row>
    <row r="1042" ht="12.75">
      <c r="A1042" s="187"/>
    </row>
    <row r="1043" ht="12.75">
      <c r="A1043" s="187"/>
    </row>
    <row r="1044" ht="12.75">
      <c r="A1044" s="187"/>
    </row>
    <row r="1045" ht="12.75">
      <c r="A1045" s="187"/>
    </row>
    <row r="1046" ht="12.75">
      <c r="A1046" s="187"/>
    </row>
    <row r="1047" ht="12.75">
      <c r="A1047" s="187"/>
    </row>
    <row r="1048" ht="12.75">
      <c r="A1048" s="187"/>
    </row>
    <row r="1049" ht="12.75">
      <c r="A1049" s="187"/>
    </row>
    <row r="1050" ht="12.75">
      <c r="A1050" s="187"/>
    </row>
    <row r="1051" ht="12.75">
      <c r="A1051" s="187"/>
    </row>
    <row r="1052" ht="12.75">
      <c r="A1052" s="187"/>
    </row>
    <row r="1053" ht="12.75">
      <c r="A1053" s="187"/>
    </row>
    <row r="1054" ht="12.75">
      <c r="A1054" s="187"/>
    </row>
    <row r="1055" ht="12.75">
      <c r="A1055" s="187"/>
    </row>
    <row r="1056" ht="12.75">
      <c r="A1056" s="187"/>
    </row>
    <row r="1057" ht="12.75">
      <c r="A1057" s="187"/>
    </row>
    <row r="1058" ht="12.75">
      <c r="A1058" s="187"/>
    </row>
    <row r="1059" ht="12.75">
      <c r="A1059" s="187"/>
    </row>
    <row r="1060" ht="12.75">
      <c r="A1060" s="187"/>
    </row>
    <row r="1061" ht="12.75">
      <c r="A1061" s="187"/>
    </row>
    <row r="1062" ht="12.75">
      <c r="A1062" s="187"/>
    </row>
    <row r="1063" ht="12.75">
      <c r="A1063" s="187"/>
    </row>
    <row r="1064" ht="12.75">
      <c r="A1064" s="187"/>
    </row>
    <row r="1065" ht="12.75">
      <c r="A1065" s="187"/>
    </row>
    <row r="1066" ht="12.75">
      <c r="A1066" s="187"/>
    </row>
    <row r="1067" ht="12.75">
      <c r="A1067" s="187"/>
    </row>
    <row r="1068" ht="12.75">
      <c r="A1068" s="187"/>
    </row>
    <row r="1069" ht="12.75">
      <c r="A1069" s="187"/>
    </row>
    <row r="1070" ht="12.75">
      <c r="A1070" s="187"/>
    </row>
    <row r="1071" ht="12.75">
      <c r="A1071" s="187"/>
    </row>
    <row r="1072" ht="12.75">
      <c r="A1072" s="187"/>
    </row>
    <row r="1073" ht="12.75">
      <c r="A1073" s="187"/>
    </row>
    <row r="1074" ht="12.75">
      <c r="A1074" s="187"/>
    </row>
    <row r="1075" ht="12.75">
      <c r="A1075" s="187"/>
    </row>
    <row r="1076" ht="12.75">
      <c r="A1076" s="187"/>
    </row>
    <row r="1077" ht="12.75">
      <c r="A1077" s="187"/>
    </row>
    <row r="1078" ht="12.75">
      <c r="A1078" s="187"/>
    </row>
    <row r="1079" ht="12.75">
      <c r="A1079" s="187"/>
    </row>
    <row r="1080" ht="12.75">
      <c r="A1080" s="187"/>
    </row>
    <row r="1081" ht="12.75">
      <c r="A1081" s="187"/>
    </row>
    <row r="1082" ht="12.75">
      <c r="A1082" s="187"/>
    </row>
    <row r="1083" ht="12.75">
      <c r="A1083" s="187"/>
    </row>
    <row r="1084" ht="12.75">
      <c r="A1084" s="187"/>
    </row>
    <row r="1085" ht="12.75">
      <c r="A1085" s="187"/>
    </row>
    <row r="1086" ht="12.75">
      <c r="A1086" s="187"/>
    </row>
    <row r="1087" ht="12.75">
      <c r="A1087" s="187"/>
    </row>
    <row r="1088" ht="12.75">
      <c r="A1088" s="187"/>
    </row>
    <row r="1089" ht="12.75">
      <c r="A1089" s="187"/>
    </row>
    <row r="1090" ht="12.75">
      <c r="A1090" s="187"/>
    </row>
    <row r="1091" ht="12.75">
      <c r="A1091" s="187"/>
    </row>
    <row r="1092" ht="12.75">
      <c r="A1092" s="187"/>
    </row>
    <row r="1093" ht="12.75">
      <c r="A1093" s="187"/>
    </row>
    <row r="1094" ht="12.75">
      <c r="A1094" s="187"/>
    </row>
    <row r="1095" ht="12.75">
      <c r="A1095" s="187"/>
    </row>
    <row r="1096" ht="12.75">
      <c r="A1096" s="187"/>
    </row>
    <row r="1097" ht="12.75">
      <c r="A1097" s="187"/>
    </row>
    <row r="1098" ht="12.75">
      <c r="A1098" s="187"/>
    </row>
    <row r="1099" ht="12.75">
      <c r="A1099" s="187"/>
    </row>
    <row r="1100" ht="12.75">
      <c r="A1100" s="187"/>
    </row>
    <row r="1101" ht="12.75">
      <c r="A1101" s="187"/>
    </row>
    <row r="1102" ht="12.75">
      <c r="A1102" s="187"/>
    </row>
    <row r="1103" ht="12.75">
      <c r="A1103" s="187"/>
    </row>
    <row r="1104" ht="12.75">
      <c r="A1104" s="187"/>
    </row>
    <row r="1105" ht="12.75">
      <c r="A1105" s="187"/>
    </row>
    <row r="1106" ht="12.75">
      <c r="A1106" s="187"/>
    </row>
    <row r="1107" ht="12.75">
      <c r="A1107" s="187"/>
    </row>
    <row r="1108" ht="12.75">
      <c r="A1108" s="187"/>
    </row>
    <row r="1109" ht="12.75">
      <c r="A1109" s="187"/>
    </row>
    <row r="1110" ht="12.75">
      <c r="A1110" s="187"/>
    </row>
    <row r="1111" ht="12.75">
      <c r="A1111" s="187"/>
    </row>
    <row r="1112" ht="12.75">
      <c r="A1112" s="187"/>
    </row>
    <row r="1113" ht="12.75">
      <c r="A1113" s="187"/>
    </row>
    <row r="1114" ht="12.75">
      <c r="A1114" s="187"/>
    </row>
    <row r="1115" ht="12.75">
      <c r="A1115" s="187"/>
    </row>
    <row r="1116" ht="12.75">
      <c r="A1116" s="187"/>
    </row>
    <row r="1117" ht="12.75">
      <c r="A1117" s="187"/>
    </row>
    <row r="1118" ht="12.75">
      <c r="A1118" s="187"/>
    </row>
    <row r="1119" ht="12.75">
      <c r="A1119" s="187"/>
    </row>
    <row r="1120" ht="12.75">
      <c r="A1120" s="187"/>
    </row>
    <row r="1121" ht="12.75">
      <c r="A1121" s="187"/>
    </row>
    <row r="1122" ht="12.75">
      <c r="A1122" s="187"/>
    </row>
    <row r="1123" ht="12.75">
      <c r="A1123" s="187"/>
    </row>
    <row r="1124" ht="12.75">
      <c r="A1124" s="187"/>
    </row>
    <row r="1125" ht="12.75">
      <c r="A1125" s="187"/>
    </row>
    <row r="1126" ht="12.75">
      <c r="A1126" s="187"/>
    </row>
    <row r="1127" ht="12.75">
      <c r="A1127" s="187"/>
    </row>
    <row r="1128" ht="12.75">
      <c r="A1128" s="187"/>
    </row>
    <row r="1129" ht="12.75">
      <c r="A1129" s="187"/>
    </row>
    <row r="1130" ht="12.75">
      <c r="A1130" s="187"/>
    </row>
    <row r="1131" ht="12.75">
      <c r="A1131" s="187"/>
    </row>
    <row r="1132" ht="12.75">
      <c r="A1132" s="187"/>
    </row>
    <row r="1133" ht="12.75">
      <c r="A1133" s="187"/>
    </row>
    <row r="1134" ht="12.75">
      <c r="A1134" s="187"/>
    </row>
    <row r="1135" ht="12.75">
      <c r="A1135" s="187"/>
    </row>
    <row r="1136" ht="12.75">
      <c r="A1136" s="187"/>
    </row>
    <row r="1137" ht="12.75">
      <c r="A1137" s="187"/>
    </row>
    <row r="1138" ht="12.75">
      <c r="A1138" s="187"/>
    </row>
    <row r="1139" ht="12.75">
      <c r="A1139" s="187"/>
    </row>
    <row r="1140" ht="12.75">
      <c r="A1140" s="187"/>
    </row>
    <row r="1141" ht="12.75">
      <c r="A1141" s="187"/>
    </row>
    <row r="1142" ht="12.75">
      <c r="A1142" s="187"/>
    </row>
    <row r="1143" ht="12.75">
      <c r="A1143" s="187"/>
    </row>
    <row r="1144" ht="12.75">
      <c r="A1144" s="187"/>
    </row>
    <row r="1145" ht="12.75">
      <c r="A1145" s="187"/>
    </row>
    <row r="1146" ht="12.75">
      <c r="A1146" s="187"/>
    </row>
    <row r="1147" ht="12.75">
      <c r="A1147" s="187"/>
    </row>
    <row r="1148" ht="12.75">
      <c r="A1148" s="187"/>
    </row>
    <row r="1149" ht="12.75">
      <c r="A1149" s="187"/>
    </row>
    <row r="1150" ht="12.75">
      <c r="A1150" s="187"/>
    </row>
    <row r="1151" ht="12.75">
      <c r="A1151" s="187"/>
    </row>
    <row r="1152" ht="12.75">
      <c r="A1152" s="187"/>
    </row>
    <row r="1153" ht="12.75">
      <c r="A1153" s="187"/>
    </row>
    <row r="1154" ht="12.75">
      <c r="A1154" s="187"/>
    </row>
    <row r="1155" ht="12.75">
      <c r="A1155" s="187"/>
    </row>
    <row r="1156" ht="12.75">
      <c r="A1156" s="187"/>
    </row>
    <row r="1157" ht="12.75">
      <c r="A1157" s="187"/>
    </row>
    <row r="1158" ht="12.75">
      <c r="A1158" s="187"/>
    </row>
    <row r="1159" ht="12.75">
      <c r="A1159" s="187"/>
    </row>
    <row r="1160" ht="12.75">
      <c r="A1160" s="187"/>
    </row>
    <row r="1161" ht="12.75">
      <c r="A1161" s="187"/>
    </row>
    <row r="1162" ht="12.75">
      <c r="A1162" s="187"/>
    </row>
    <row r="1163" ht="12.75">
      <c r="A1163" s="187"/>
    </row>
    <row r="1164" ht="12.75">
      <c r="A1164" s="187"/>
    </row>
    <row r="1165" ht="12.75">
      <c r="A1165" s="187"/>
    </row>
    <row r="1166" ht="12.75">
      <c r="A1166" s="187"/>
    </row>
    <row r="1167" ht="12.75">
      <c r="A1167" s="187"/>
    </row>
    <row r="1168" ht="12.75">
      <c r="A1168" s="187"/>
    </row>
    <row r="1169" ht="12.75">
      <c r="A1169" s="187"/>
    </row>
    <row r="1170" ht="12.75">
      <c r="A1170" s="187"/>
    </row>
    <row r="1171" ht="12.75">
      <c r="A1171" s="187"/>
    </row>
    <row r="1172" ht="12.75">
      <c r="A1172" s="187"/>
    </row>
    <row r="1173" ht="12.75">
      <c r="A1173" s="187"/>
    </row>
    <row r="1174" ht="12.75">
      <c r="A1174" s="187"/>
    </row>
    <row r="1175" ht="12.75">
      <c r="A1175" s="187"/>
    </row>
    <row r="1176" ht="12.75">
      <c r="A1176" s="187"/>
    </row>
    <row r="1177" ht="12.75">
      <c r="A1177" s="187"/>
    </row>
    <row r="1178" ht="12.75">
      <c r="A1178" s="187"/>
    </row>
    <row r="1179" ht="12.75">
      <c r="A1179" s="187"/>
    </row>
    <row r="1180" ht="12.75">
      <c r="A1180" s="187"/>
    </row>
    <row r="1181" ht="12.75">
      <c r="A1181" s="187"/>
    </row>
    <row r="1182" ht="12.75">
      <c r="A1182" s="187"/>
    </row>
    <row r="1183" ht="12.75">
      <c r="A1183" s="187"/>
    </row>
    <row r="1184" ht="12.75">
      <c r="A1184" s="187"/>
    </row>
    <row r="1185" ht="12.75">
      <c r="A1185" s="187"/>
    </row>
    <row r="1186" ht="12.75">
      <c r="A1186" s="187"/>
    </row>
    <row r="1187" ht="12.75">
      <c r="A1187" s="187"/>
    </row>
    <row r="1188" ht="12.75">
      <c r="A1188" s="187"/>
    </row>
    <row r="1189" ht="12.75">
      <c r="A1189" s="187"/>
    </row>
    <row r="1190" ht="12.75">
      <c r="A1190" s="187"/>
    </row>
    <row r="1191" ht="12.75">
      <c r="A1191" s="187"/>
    </row>
    <row r="1192" ht="12.75">
      <c r="A1192" s="187"/>
    </row>
    <row r="1193" ht="12.75">
      <c r="A1193" s="187"/>
    </row>
    <row r="1194" ht="12.75">
      <c r="A1194" s="187"/>
    </row>
    <row r="1195" ht="12.75">
      <c r="A1195" s="187"/>
    </row>
    <row r="1196" ht="12.75">
      <c r="A1196" s="187"/>
    </row>
    <row r="1197" ht="12.75">
      <c r="A1197" s="187"/>
    </row>
    <row r="1198" ht="12.75">
      <c r="A1198" s="187"/>
    </row>
    <row r="1199" ht="12.75">
      <c r="A1199" s="187"/>
    </row>
    <row r="1200" ht="12.75">
      <c r="A1200" s="187"/>
    </row>
    <row r="1201" ht="12.75">
      <c r="A1201" s="187"/>
    </row>
    <row r="1202" ht="12.75">
      <c r="A1202" s="187"/>
    </row>
    <row r="1203" ht="12.75">
      <c r="A1203" s="187"/>
    </row>
    <row r="1204" ht="12.75">
      <c r="A1204" s="187"/>
    </row>
    <row r="1205" ht="12.75">
      <c r="A1205" s="187"/>
    </row>
    <row r="1206" ht="12.75">
      <c r="A1206" s="187"/>
    </row>
    <row r="1207" ht="12.75">
      <c r="A1207" s="187"/>
    </row>
    <row r="1208" ht="12.75">
      <c r="A1208" s="187"/>
    </row>
    <row r="1209" ht="12.75">
      <c r="A1209" s="187"/>
    </row>
    <row r="1210" ht="12.75">
      <c r="A1210" s="187"/>
    </row>
    <row r="1211" ht="12.75">
      <c r="A1211" s="187"/>
    </row>
    <row r="1212" ht="12.75">
      <c r="A1212" s="187"/>
    </row>
    <row r="1213" ht="12.75">
      <c r="A1213" s="187"/>
    </row>
    <row r="1214" ht="12.75">
      <c r="A1214" s="187"/>
    </row>
    <row r="1215" ht="12.75">
      <c r="A1215" s="187"/>
    </row>
    <row r="1216" ht="12.75">
      <c r="A1216" s="187"/>
    </row>
    <row r="1217" ht="12.75">
      <c r="A1217" s="187"/>
    </row>
    <row r="1218" ht="12.75">
      <c r="A1218" s="187"/>
    </row>
    <row r="1219" ht="12.75">
      <c r="A1219" s="187"/>
    </row>
    <row r="1220" ht="12.75">
      <c r="A1220" s="187"/>
    </row>
    <row r="1221" ht="12.75">
      <c r="A1221" s="187"/>
    </row>
    <row r="1222" ht="12.75">
      <c r="A1222" s="187"/>
    </row>
    <row r="1223" ht="12.75">
      <c r="A1223" s="187"/>
    </row>
    <row r="1224" ht="12.75">
      <c r="A1224" s="187"/>
    </row>
    <row r="1225" ht="12.75">
      <c r="A1225" s="187"/>
    </row>
    <row r="1226" ht="12.75">
      <c r="A1226" s="187"/>
    </row>
    <row r="1227" ht="12.75">
      <c r="A1227" s="187"/>
    </row>
    <row r="1228" ht="12.75">
      <c r="A1228" s="187"/>
    </row>
    <row r="1229" ht="12.75">
      <c r="A1229" s="187"/>
    </row>
    <row r="1230" ht="12.75">
      <c r="A1230" s="187"/>
    </row>
    <row r="1231" ht="12.75">
      <c r="A1231" s="187"/>
    </row>
    <row r="1232" ht="12.75">
      <c r="A1232" s="187"/>
    </row>
    <row r="1233" ht="12.75">
      <c r="A1233" s="187"/>
    </row>
    <row r="1234" ht="12.75">
      <c r="A1234" s="187"/>
    </row>
    <row r="1235" ht="12.75">
      <c r="A1235" s="187"/>
    </row>
    <row r="1236" ht="12.75">
      <c r="A1236" s="187"/>
    </row>
    <row r="1237" ht="12.75">
      <c r="A1237" s="187"/>
    </row>
    <row r="1238" ht="12.75">
      <c r="A1238" s="187"/>
    </row>
    <row r="1239" ht="12.75">
      <c r="A1239" s="187"/>
    </row>
    <row r="1240" ht="12.75">
      <c r="A1240" s="187"/>
    </row>
    <row r="1241" ht="12.75">
      <c r="A1241" s="187"/>
    </row>
    <row r="1242" ht="12.75">
      <c r="A1242" s="187"/>
    </row>
    <row r="1243" ht="12.75">
      <c r="A1243" s="187"/>
    </row>
    <row r="1244" ht="12.75">
      <c r="A1244" s="187"/>
    </row>
    <row r="1245" ht="12.75">
      <c r="A1245" s="187"/>
    </row>
    <row r="1246" ht="12.75">
      <c r="A1246" s="187"/>
    </row>
    <row r="1247" ht="12.75">
      <c r="A1247" s="187"/>
    </row>
    <row r="1248" ht="12.75">
      <c r="A1248" s="187"/>
    </row>
    <row r="1249" ht="12.75">
      <c r="A1249" s="187"/>
    </row>
    <row r="1250" ht="12.75">
      <c r="A1250" s="187"/>
    </row>
    <row r="1251" ht="12.75">
      <c r="A1251" s="187"/>
    </row>
    <row r="1252" ht="12.75">
      <c r="A1252" s="187"/>
    </row>
    <row r="1253" ht="12.75">
      <c r="A1253" s="187"/>
    </row>
    <row r="1254" ht="12.75">
      <c r="A1254" s="187"/>
    </row>
    <row r="1255" ht="12.75">
      <c r="A1255" s="187"/>
    </row>
    <row r="1256" ht="12.75">
      <c r="A1256" s="187"/>
    </row>
    <row r="1257" ht="12.75">
      <c r="A1257" s="187"/>
    </row>
    <row r="1258" ht="12.75">
      <c r="A1258" s="187"/>
    </row>
    <row r="1259" ht="12.75">
      <c r="A1259" s="187"/>
    </row>
    <row r="1260" ht="12.75">
      <c r="A1260" s="187"/>
    </row>
    <row r="1261" ht="12.75">
      <c r="A1261" s="187"/>
    </row>
    <row r="1262" ht="12.75">
      <c r="A1262" s="187"/>
    </row>
    <row r="1263" ht="12.75">
      <c r="A1263" s="187"/>
    </row>
    <row r="1264" ht="12.75">
      <c r="A1264" s="187"/>
    </row>
    <row r="1265" ht="12.75">
      <c r="A1265" s="187"/>
    </row>
    <row r="1266" ht="12.75">
      <c r="A1266" s="187"/>
    </row>
    <row r="1267" ht="12.75">
      <c r="A1267" s="187"/>
    </row>
    <row r="1268" ht="12.75">
      <c r="A1268" s="187"/>
    </row>
    <row r="1269" ht="12.75">
      <c r="A1269" s="187"/>
    </row>
    <row r="1270" ht="12.75">
      <c r="A1270" s="187"/>
    </row>
    <row r="1271" ht="12.75">
      <c r="A1271" s="187"/>
    </row>
    <row r="1272" ht="12.75">
      <c r="A1272" s="187"/>
    </row>
    <row r="1273" ht="12.75">
      <c r="A1273" s="187"/>
    </row>
    <row r="1274" ht="12.75">
      <c r="A1274" s="187"/>
    </row>
    <row r="1275" ht="12.75">
      <c r="A1275" s="187"/>
    </row>
    <row r="1276" ht="12.75">
      <c r="A1276" s="187"/>
    </row>
    <row r="1277" ht="12.75">
      <c r="A1277" s="187"/>
    </row>
    <row r="1278" ht="12.75">
      <c r="A1278" s="187"/>
    </row>
    <row r="1279" ht="12.75">
      <c r="A1279" s="187"/>
    </row>
    <row r="1280" ht="12.75">
      <c r="A1280" s="187"/>
    </row>
    <row r="1281" ht="12.75">
      <c r="A1281" s="187"/>
    </row>
    <row r="1282" ht="12.75">
      <c r="A1282" s="187"/>
    </row>
    <row r="1283" ht="12.75">
      <c r="A1283" s="187"/>
    </row>
    <row r="1284" ht="12.75">
      <c r="A1284" s="187"/>
    </row>
    <row r="1285" ht="12.75">
      <c r="A1285" s="187"/>
    </row>
    <row r="1286" ht="12.75">
      <c r="A1286" s="187"/>
    </row>
    <row r="1287" ht="12.75">
      <c r="A1287" s="187"/>
    </row>
    <row r="1288" ht="12.75">
      <c r="A1288" s="187"/>
    </row>
    <row r="1289" ht="12.75">
      <c r="A1289" s="187"/>
    </row>
    <row r="1290" ht="12.75">
      <c r="A1290" s="187"/>
    </row>
    <row r="1291" ht="12.75">
      <c r="A1291" s="187"/>
    </row>
    <row r="1292" ht="12.75">
      <c r="A1292" s="187"/>
    </row>
    <row r="1293" ht="12.75">
      <c r="A1293" s="187"/>
    </row>
    <row r="1294" ht="12.75">
      <c r="A1294" s="187"/>
    </row>
    <row r="1295" ht="12.75">
      <c r="A1295" s="187"/>
    </row>
    <row r="1296" ht="12.75">
      <c r="A1296" s="187"/>
    </row>
    <row r="1297" ht="12.75">
      <c r="A1297" s="187"/>
    </row>
    <row r="1298" ht="12.75">
      <c r="A1298" s="187"/>
    </row>
    <row r="1299" ht="12.75">
      <c r="A1299" s="187"/>
    </row>
    <row r="1300" ht="12.75">
      <c r="A1300" s="187"/>
    </row>
    <row r="1301" ht="12.75">
      <c r="A1301" s="187"/>
    </row>
    <row r="1302" ht="12.75">
      <c r="A1302" s="187"/>
    </row>
    <row r="1303" ht="12.75">
      <c r="A1303" s="187"/>
    </row>
    <row r="1304" ht="12.75">
      <c r="A1304" s="187"/>
    </row>
    <row r="1305" ht="12.75">
      <c r="A1305" s="187"/>
    </row>
    <row r="1306" ht="12.75">
      <c r="A1306" s="187"/>
    </row>
    <row r="1307" ht="12.75">
      <c r="A1307" s="187"/>
    </row>
    <row r="1308" ht="12.75">
      <c r="A1308" s="187"/>
    </row>
    <row r="1309" ht="12.75">
      <c r="A1309" s="187"/>
    </row>
    <row r="1310" ht="12.75">
      <c r="A1310" s="187"/>
    </row>
    <row r="1311" ht="12.75">
      <c r="A1311" s="187"/>
    </row>
    <row r="1312" ht="12.75">
      <c r="A1312" s="187"/>
    </row>
    <row r="1313" ht="12.75">
      <c r="A1313" s="187"/>
    </row>
    <row r="1314" ht="12.75">
      <c r="A1314" s="187"/>
    </row>
    <row r="1315" ht="12.75">
      <c r="A1315" s="187"/>
    </row>
    <row r="1316" ht="12.75">
      <c r="A1316" s="187"/>
    </row>
    <row r="1317" ht="12.75">
      <c r="A1317" s="187"/>
    </row>
    <row r="1318" ht="12.75">
      <c r="A1318" s="187"/>
    </row>
    <row r="1319" ht="12.75">
      <c r="A1319" s="187"/>
    </row>
    <row r="1320" ht="12.75">
      <c r="A1320" s="187"/>
    </row>
    <row r="1321" ht="12.75">
      <c r="A1321" s="187"/>
    </row>
    <row r="1322" ht="12.75">
      <c r="A1322" s="187"/>
    </row>
    <row r="1323" ht="12.75">
      <c r="A1323" s="187"/>
    </row>
    <row r="1324" ht="12.75">
      <c r="A1324" s="187"/>
    </row>
    <row r="1325" ht="12.75">
      <c r="A1325" s="187"/>
    </row>
    <row r="1326" ht="12.75">
      <c r="A1326" s="187"/>
    </row>
    <row r="1327" ht="12.75">
      <c r="A1327" s="187"/>
    </row>
    <row r="1328" ht="12.75">
      <c r="A1328" s="187"/>
    </row>
    <row r="1329" ht="12.75">
      <c r="A1329" s="187"/>
    </row>
    <row r="1330" ht="12.75">
      <c r="A1330" s="187"/>
    </row>
    <row r="1331" ht="12.75">
      <c r="A1331" s="187"/>
    </row>
    <row r="1332" ht="12.75">
      <c r="A1332" s="187"/>
    </row>
    <row r="1333" ht="12.75">
      <c r="A1333" s="187"/>
    </row>
    <row r="1334" ht="12.75">
      <c r="A1334" s="187"/>
    </row>
    <row r="1335" ht="12.75">
      <c r="A1335" s="187"/>
    </row>
    <row r="1336" ht="12.75">
      <c r="A1336" s="187"/>
    </row>
    <row r="1337" ht="12.75">
      <c r="A1337" s="187"/>
    </row>
    <row r="1338" ht="12.75">
      <c r="A1338" s="187"/>
    </row>
    <row r="1339" ht="12.75">
      <c r="A1339" s="187"/>
    </row>
    <row r="1340" ht="12.75">
      <c r="A1340" s="187"/>
    </row>
    <row r="1341" ht="12.75">
      <c r="A1341" s="187"/>
    </row>
    <row r="1342" ht="12.75">
      <c r="A1342" s="187"/>
    </row>
    <row r="1343" ht="12.75">
      <c r="A1343" s="187"/>
    </row>
    <row r="1344" ht="12.75">
      <c r="A1344" s="187"/>
    </row>
    <row r="1345" ht="12.75">
      <c r="A1345" s="187"/>
    </row>
    <row r="1346" ht="12.75">
      <c r="A1346" s="187"/>
    </row>
    <row r="1347" ht="12.75">
      <c r="A1347" s="187"/>
    </row>
    <row r="1348" ht="12.75">
      <c r="A1348" s="187"/>
    </row>
    <row r="1349" ht="12.75">
      <c r="A1349" s="187"/>
    </row>
    <row r="1350" ht="12.75">
      <c r="A1350" s="187"/>
    </row>
    <row r="1351" ht="12.75">
      <c r="A1351" s="187"/>
    </row>
    <row r="1352" ht="12.75">
      <c r="A1352" s="187"/>
    </row>
    <row r="1353" ht="12.75">
      <c r="A1353" s="187"/>
    </row>
    <row r="1354" ht="12.75">
      <c r="A1354" s="187"/>
    </row>
    <row r="1355" ht="12.75">
      <c r="A1355" s="187"/>
    </row>
    <row r="1356" ht="12.75">
      <c r="A1356" s="187"/>
    </row>
    <row r="1357" ht="12.75">
      <c r="A1357" s="187"/>
    </row>
    <row r="1358" ht="12.75">
      <c r="A1358" s="187"/>
    </row>
    <row r="1359" ht="12.75">
      <c r="A1359" s="187"/>
    </row>
    <row r="1360" ht="12.75">
      <c r="A1360" s="187"/>
    </row>
    <row r="1361" ht="12.75">
      <c r="A1361" s="187"/>
    </row>
    <row r="1362" ht="12.75">
      <c r="A1362" s="187"/>
    </row>
    <row r="1363" ht="12.75">
      <c r="A1363" s="187"/>
    </row>
    <row r="1364" ht="12.75">
      <c r="A1364" s="187"/>
    </row>
    <row r="1365" ht="12.75">
      <c r="A1365" s="187"/>
    </row>
    <row r="1366" ht="12.75">
      <c r="A1366" s="187"/>
    </row>
    <row r="1367" ht="12.75">
      <c r="A1367" s="187"/>
    </row>
    <row r="1368" ht="12.75">
      <c r="A1368" s="187"/>
    </row>
    <row r="1369" ht="12.75">
      <c r="A1369" s="187"/>
    </row>
    <row r="1370" ht="12.75">
      <c r="A1370" s="187"/>
    </row>
    <row r="1371" ht="12.75">
      <c r="A1371" s="187"/>
    </row>
    <row r="1372" ht="12.75">
      <c r="A1372" s="187"/>
    </row>
    <row r="1373" ht="12.75">
      <c r="A1373" s="187"/>
    </row>
    <row r="1374" ht="12.75">
      <c r="A1374" s="187"/>
    </row>
    <row r="1375" ht="12.75">
      <c r="A1375" s="187"/>
    </row>
    <row r="1376" ht="12.75">
      <c r="A1376" s="187"/>
    </row>
    <row r="1377" ht="12.75">
      <c r="A1377" s="187"/>
    </row>
    <row r="1378" ht="12.75">
      <c r="A1378" s="187"/>
    </row>
    <row r="1379" ht="12.75">
      <c r="A1379" s="187"/>
    </row>
    <row r="1380" ht="12.75">
      <c r="A1380" s="187"/>
    </row>
    <row r="1381" ht="12.75">
      <c r="A1381" s="187"/>
    </row>
    <row r="1382" ht="12.75">
      <c r="A1382" s="187"/>
    </row>
    <row r="1383" ht="12.75">
      <c r="A1383" s="187"/>
    </row>
    <row r="1384" ht="12.75">
      <c r="A1384" s="187"/>
    </row>
    <row r="1385" ht="12.75">
      <c r="A1385" s="187"/>
    </row>
    <row r="1386" ht="12.75">
      <c r="A1386" s="187"/>
    </row>
    <row r="1387" ht="12.75">
      <c r="A1387" s="187"/>
    </row>
    <row r="1388" ht="12.75">
      <c r="A1388" s="187"/>
    </row>
    <row r="1389" ht="12.75">
      <c r="A1389" s="187"/>
    </row>
    <row r="1390" ht="12.75">
      <c r="A1390" s="187"/>
    </row>
    <row r="1391" ht="12.75">
      <c r="A1391" s="187"/>
    </row>
    <row r="1392" ht="12.75">
      <c r="A1392" s="187"/>
    </row>
    <row r="1393" ht="12.75">
      <c r="A1393" s="187"/>
    </row>
    <row r="1394" ht="12.75">
      <c r="A1394" s="187"/>
    </row>
    <row r="1395" ht="12.75">
      <c r="A1395" s="187"/>
    </row>
    <row r="1396" ht="12.75">
      <c r="A1396" s="187"/>
    </row>
    <row r="1397" ht="12.75">
      <c r="A1397" s="187"/>
    </row>
    <row r="1398" ht="12.75">
      <c r="A1398" s="187"/>
    </row>
    <row r="1399" ht="12.75">
      <c r="A1399" s="187"/>
    </row>
    <row r="1400" ht="12.75">
      <c r="A1400" s="187"/>
    </row>
    <row r="1401" ht="12.75">
      <c r="A1401" s="187"/>
    </row>
    <row r="1402" ht="12.75">
      <c r="A1402" s="187"/>
    </row>
    <row r="1403" ht="12.75">
      <c r="A1403" s="187"/>
    </row>
    <row r="1404" ht="12.75">
      <c r="A1404" s="187"/>
    </row>
    <row r="1405" ht="12.75">
      <c r="A1405" s="187"/>
    </row>
    <row r="1406" ht="12.75">
      <c r="A1406" s="187"/>
    </row>
    <row r="1407" ht="12.75">
      <c r="A1407" s="187"/>
    </row>
    <row r="1408" ht="12.75">
      <c r="A1408" s="187"/>
    </row>
    <row r="1409" ht="12.75">
      <c r="A1409" s="187"/>
    </row>
    <row r="1410" ht="12.75">
      <c r="A1410" s="187"/>
    </row>
    <row r="1411" ht="12.75">
      <c r="A1411" s="187"/>
    </row>
    <row r="1412" ht="12.75">
      <c r="A1412" s="187"/>
    </row>
    <row r="1413" ht="12.75">
      <c r="A1413" s="187"/>
    </row>
    <row r="1414" ht="12.75">
      <c r="A1414" s="187"/>
    </row>
    <row r="1415" ht="12.75">
      <c r="A1415" s="187"/>
    </row>
    <row r="1416" ht="12.75">
      <c r="A1416" s="187"/>
    </row>
    <row r="1417" ht="12.75">
      <c r="A1417" s="187"/>
    </row>
    <row r="1418" ht="12.75">
      <c r="A1418" s="187"/>
    </row>
    <row r="1419" ht="12.75">
      <c r="A1419" s="187"/>
    </row>
    <row r="1420" ht="12.75">
      <c r="A1420" s="187"/>
    </row>
    <row r="1421" ht="12.75">
      <c r="A1421" s="187"/>
    </row>
    <row r="1422" ht="12.75">
      <c r="A1422" s="187"/>
    </row>
    <row r="1423" ht="12.75">
      <c r="A1423" s="187"/>
    </row>
    <row r="1424" ht="12.75">
      <c r="A1424" s="187"/>
    </row>
    <row r="1425" ht="12.75">
      <c r="A1425" s="187"/>
    </row>
    <row r="1426" ht="12.75">
      <c r="A1426" s="187"/>
    </row>
    <row r="1427" ht="12.75">
      <c r="A1427" s="187"/>
    </row>
    <row r="1428" ht="12.75">
      <c r="A1428" s="187"/>
    </row>
    <row r="1429" ht="12.75">
      <c r="A1429" s="187"/>
    </row>
    <row r="1430" ht="12.75">
      <c r="A1430" s="187"/>
    </row>
    <row r="1431" ht="12.75">
      <c r="A1431" s="187"/>
    </row>
    <row r="1432" ht="12.75">
      <c r="A1432" s="187"/>
    </row>
    <row r="1433" ht="12.75">
      <c r="A1433" s="187"/>
    </row>
    <row r="1434" ht="12.75">
      <c r="A1434" s="187"/>
    </row>
    <row r="1435" ht="12.75">
      <c r="A1435" s="187"/>
    </row>
    <row r="1436" ht="12.75">
      <c r="A1436" s="187"/>
    </row>
    <row r="1437" ht="12.75">
      <c r="A1437" s="187"/>
    </row>
    <row r="1438" ht="12.75">
      <c r="A1438" s="187"/>
    </row>
    <row r="1439" ht="12.75">
      <c r="A1439" s="187"/>
    </row>
    <row r="1440" ht="12.75">
      <c r="A1440" s="187"/>
    </row>
    <row r="1441" ht="12.75">
      <c r="A1441" s="187"/>
    </row>
    <row r="1442" ht="12.75">
      <c r="A1442" s="187"/>
    </row>
    <row r="1443" ht="12.75">
      <c r="A1443" s="187"/>
    </row>
    <row r="1444" ht="12.75">
      <c r="A1444" s="187"/>
    </row>
    <row r="1445" ht="12.75">
      <c r="A1445" s="187"/>
    </row>
    <row r="1446" ht="12.75">
      <c r="A1446" s="187"/>
    </row>
    <row r="1447" ht="12.75">
      <c r="A1447" s="187"/>
    </row>
    <row r="1448" ht="12.75">
      <c r="A1448" s="187"/>
    </row>
    <row r="1449" ht="12.75">
      <c r="A1449" s="187"/>
    </row>
    <row r="1450" ht="12.75">
      <c r="A1450" s="187"/>
    </row>
    <row r="1451" ht="12.75">
      <c r="A1451" s="187"/>
    </row>
    <row r="1452" ht="12.75">
      <c r="A1452" s="187"/>
    </row>
    <row r="1453" ht="12.75">
      <c r="A1453" s="187"/>
    </row>
    <row r="1454" ht="12.75">
      <c r="A1454" s="187"/>
    </row>
    <row r="1455" ht="12.75">
      <c r="A1455" s="187"/>
    </row>
    <row r="1456" ht="12.75">
      <c r="A1456" s="187"/>
    </row>
    <row r="1457" ht="12.75">
      <c r="A1457" s="187"/>
    </row>
    <row r="1458" ht="12.75">
      <c r="A1458" s="187"/>
    </row>
    <row r="1459" ht="12.75">
      <c r="A1459" s="187"/>
    </row>
    <row r="1460" ht="12.75">
      <c r="A1460" s="187"/>
    </row>
    <row r="1461" ht="12.75">
      <c r="A1461" s="187"/>
    </row>
    <row r="1462" ht="12.75">
      <c r="A1462" s="187"/>
    </row>
    <row r="1463" ht="12.75">
      <c r="A1463" s="187"/>
    </row>
    <row r="1464" ht="12.75">
      <c r="A1464" s="187"/>
    </row>
    <row r="1465" ht="12.75">
      <c r="A1465" s="187"/>
    </row>
    <row r="1466" ht="12.75">
      <c r="A1466" s="187"/>
    </row>
    <row r="1467" ht="12.75">
      <c r="A1467" s="187"/>
    </row>
    <row r="1468" ht="12.75">
      <c r="A1468" s="187"/>
    </row>
    <row r="1469" ht="12.75">
      <c r="A1469" s="187"/>
    </row>
    <row r="1470" ht="12.75">
      <c r="A1470" s="187"/>
    </row>
    <row r="1471" ht="12.75">
      <c r="A1471" s="187"/>
    </row>
    <row r="1472" ht="12.75">
      <c r="A1472" s="187"/>
    </row>
    <row r="1473" ht="12.75">
      <c r="A1473" s="187"/>
    </row>
    <row r="1474" ht="12.75">
      <c r="A1474" s="187"/>
    </row>
    <row r="1475" ht="12.75">
      <c r="A1475" s="187"/>
    </row>
    <row r="1476" ht="12.75">
      <c r="A1476" s="187"/>
    </row>
    <row r="1477" ht="12.75">
      <c r="A1477" s="187"/>
    </row>
    <row r="1478" ht="12.75">
      <c r="A1478" s="187"/>
    </row>
    <row r="1479" ht="12.75">
      <c r="A1479" s="187"/>
    </row>
    <row r="1480" ht="12.75">
      <c r="A1480" s="187"/>
    </row>
    <row r="1481" ht="12.75">
      <c r="A1481" s="187"/>
    </row>
    <row r="1482" ht="12.75">
      <c r="A1482" s="187"/>
    </row>
    <row r="1483" ht="12.75">
      <c r="A1483" s="187"/>
    </row>
    <row r="1484" ht="12.75">
      <c r="A1484" s="187"/>
    </row>
    <row r="1485" ht="12.75">
      <c r="A1485" s="187"/>
    </row>
    <row r="1486" ht="12.75">
      <c r="A1486" s="187"/>
    </row>
    <row r="1487" ht="12.75">
      <c r="A1487" s="187"/>
    </row>
    <row r="1488" ht="12.75">
      <c r="A1488" s="187"/>
    </row>
    <row r="1489" ht="12.75">
      <c r="A1489" s="187"/>
    </row>
    <row r="1490" ht="12.75">
      <c r="A1490" s="187"/>
    </row>
    <row r="1491" ht="12.75">
      <c r="A1491" s="187"/>
    </row>
    <row r="1492" ht="12.75">
      <c r="A1492" s="187"/>
    </row>
    <row r="1493" ht="12.75">
      <c r="A1493" s="187"/>
    </row>
    <row r="1494" ht="12.75">
      <c r="A1494" s="187"/>
    </row>
    <row r="1495" ht="12.75">
      <c r="A1495" s="187"/>
    </row>
    <row r="1496" ht="12.75">
      <c r="A1496" s="187"/>
    </row>
    <row r="1497" ht="12.75">
      <c r="A1497" s="187"/>
    </row>
    <row r="1498" ht="12.75">
      <c r="A1498" s="187"/>
    </row>
    <row r="1499" ht="12.75">
      <c r="A1499" s="187"/>
    </row>
    <row r="1500" ht="12.75">
      <c r="A1500" s="187"/>
    </row>
    <row r="1501" ht="12.75">
      <c r="A1501" s="187"/>
    </row>
    <row r="1502" ht="12.75">
      <c r="A1502" s="187"/>
    </row>
    <row r="1503" ht="12.75">
      <c r="A1503" s="187"/>
    </row>
    <row r="1504" ht="12.75">
      <c r="A1504" s="187"/>
    </row>
    <row r="1505" ht="12.75">
      <c r="A1505" s="187"/>
    </row>
    <row r="1506" ht="12.75">
      <c r="A1506" s="187"/>
    </row>
    <row r="1507" ht="12.75">
      <c r="A1507" s="187"/>
    </row>
    <row r="1508" ht="12.75">
      <c r="A1508" s="187"/>
    </row>
    <row r="1509" ht="12.75">
      <c r="A1509" s="187"/>
    </row>
    <row r="1510" ht="12.75">
      <c r="A1510" s="187"/>
    </row>
    <row r="1511" ht="12.75">
      <c r="A1511" s="187"/>
    </row>
    <row r="1512" ht="12.75">
      <c r="A1512" s="187"/>
    </row>
    <row r="1513" ht="12.75">
      <c r="A1513" s="187"/>
    </row>
    <row r="1514" ht="12.75">
      <c r="A1514" s="187"/>
    </row>
    <row r="1515" ht="12.75">
      <c r="A1515" s="187"/>
    </row>
    <row r="1516" ht="12.75">
      <c r="A1516" s="187"/>
    </row>
    <row r="1517" ht="12.75">
      <c r="A1517" s="187"/>
    </row>
    <row r="1518" ht="12.75">
      <c r="A1518" s="187"/>
    </row>
    <row r="1519" ht="12.75">
      <c r="A1519" s="187"/>
    </row>
    <row r="1520" ht="12.75">
      <c r="A1520" s="187"/>
    </row>
    <row r="1521" ht="12.75">
      <c r="A1521" s="187"/>
    </row>
    <row r="1522" ht="12.75">
      <c r="A1522" s="187"/>
    </row>
    <row r="1523" ht="12.75">
      <c r="A1523" s="187"/>
    </row>
    <row r="1524" ht="12.75">
      <c r="A1524" s="187"/>
    </row>
    <row r="1525" ht="12.75">
      <c r="A1525" s="187"/>
    </row>
    <row r="1526" ht="12.75">
      <c r="A1526" s="187"/>
    </row>
    <row r="1527" ht="12.75">
      <c r="A1527" s="187"/>
    </row>
    <row r="1528" ht="12.75">
      <c r="A1528" s="187"/>
    </row>
    <row r="1529" ht="12.75">
      <c r="A1529" s="187"/>
    </row>
    <row r="1530" ht="12.75">
      <c r="A1530" s="187"/>
    </row>
    <row r="1531" ht="12.75">
      <c r="A1531" s="187"/>
    </row>
    <row r="1532" ht="12.75">
      <c r="A1532" s="187"/>
    </row>
    <row r="1533" ht="12.75">
      <c r="A1533" s="187"/>
    </row>
    <row r="1534" ht="12.75">
      <c r="A1534" s="187"/>
    </row>
    <row r="1535" ht="12.75">
      <c r="A1535" s="187"/>
    </row>
    <row r="1536" ht="12.75">
      <c r="A1536" s="187"/>
    </row>
    <row r="1537" ht="12.75">
      <c r="A1537" s="187"/>
    </row>
    <row r="1538" ht="12.75">
      <c r="A1538" s="187"/>
    </row>
    <row r="1539" ht="12.75">
      <c r="A1539" s="187"/>
    </row>
    <row r="1540" ht="12.75">
      <c r="A1540" s="187"/>
    </row>
    <row r="1541" ht="12.75">
      <c r="A1541" s="187"/>
    </row>
    <row r="1542" ht="12.75">
      <c r="A1542" s="187"/>
    </row>
    <row r="1543" ht="12.75">
      <c r="A1543" s="187"/>
    </row>
    <row r="1544" ht="12.75">
      <c r="A1544" s="187"/>
    </row>
    <row r="1545" ht="12.75">
      <c r="A1545" s="187"/>
    </row>
    <row r="1546" ht="12.75">
      <c r="A1546" s="187"/>
    </row>
    <row r="1547" ht="12.75">
      <c r="A1547" s="187"/>
    </row>
    <row r="1548" ht="12.75">
      <c r="A1548" s="187"/>
    </row>
    <row r="1549" ht="12.75">
      <c r="A1549" s="187"/>
    </row>
    <row r="1550" ht="12.75">
      <c r="A1550" s="187"/>
    </row>
    <row r="1551" ht="12.75">
      <c r="A1551" s="187"/>
    </row>
    <row r="1552" ht="12.75">
      <c r="A1552" s="187"/>
    </row>
    <row r="1553" ht="12.75">
      <c r="A1553" s="187"/>
    </row>
    <row r="1554" ht="12.75">
      <c r="A1554" s="187"/>
    </row>
    <row r="1555" ht="12.75">
      <c r="A1555" s="187"/>
    </row>
    <row r="1556" ht="12.75">
      <c r="A1556" s="187"/>
    </row>
    <row r="1557" ht="12.75">
      <c r="A1557" s="187"/>
    </row>
    <row r="1558" ht="12.75">
      <c r="A1558" s="187"/>
    </row>
    <row r="1559" ht="12.75">
      <c r="A1559" s="187"/>
    </row>
    <row r="1560" ht="12.75">
      <c r="A1560" s="187"/>
    </row>
    <row r="1561" ht="12.75">
      <c r="A1561" s="187"/>
    </row>
    <row r="1562" ht="12.75">
      <c r="A1562" s="187"/>
    </row>
    <row r="1563" ht="12.75">
      <c r="A1563" s="187"/>
    </row>
    <row r="1564" ht="12.75">
      <c r="A1564" s="187"/>
    </row>
    <row r="1565" ht="12.75">
      <c r="A1565" s="187"/>
    </row>
    <row r="1566" ht="12.75">
      <c r="A1566" s="187"/>
    </row>
    <row r="1567" ht="12.75">
      <c r="A1567" s="187"/>
    </row>
    <row r="1568" ht="12.75">
      <c r="A1568" s="187"/>
    </row>
    <row r="1569" ht="12.75">
      <c r="A1569" s="187"/>
    </row>
    <row r="1570" ht="12.75">
      <c r="A1570" s="187"/>
    </row>
    <row r="1571" ht="12.75">
      <c r="A1571" s="187"/>
    </row>
    <row r="1572" ht="12.75">
      <c r="A1572" s="187"/>
    </row>
    <row r="1573" ht="12.75">
      <c r="A1573" s="187"/>
    </row>
    <row r="1574" ht="12.75">
      <c r="A1574" s="187"/>
    </row>
    <row r="1575" ht="12.75">
      <c r="A1575" s="187"/>
    </row>
    <row r="1576" ht="12.75">
      <c r="A1576" s="187"/>
    </row>
    <row r="1577" ht="12.75">
      <c r="A1577" s="187"/>
    </row>
    <row r="1578" ht="12.75">
      <c r="A1578" s="187"/>
    </row>
    <row r="1579" ht="12.75">
      <c r="A1579" s="187"/>
    </row>
    <row r="1580" ht="12.75">
      <c r="A1580" s="187"/>
    </row>
    <row r="1581" ht="12.75">
      <c r="A1581" s="187"/>
    </row>
    <row r="1582" ht="12.75">
      <c r="A1582" s="187"/>
    </row>
    <row r="1583" ht="12.75">
      <c r="A1583" s="187"/>
    </row>
    <row r="1584" ht="12.75">
      <c r="A1584" s="187"/>
    </row>
    <row r="1585" ht="12.75">
      <c r="A1585" s="187"/>
    </row>
    <row r="1586" ht="12.75">
      <c r="A1586" s="187"/>
    </row>
    <row r="1587" ht="12.75">
      <c r="A1587" s="187"/>
    </row>
    <row r="1588" ht="12.75">
      <c r="A1588" s="187"/>
    </row>
    <row r="1589" ht="12.75">
      <c r="A1589" s="187"/>
    </row>
    <row r="1590" ht="12.75">
      <c r="A1590" s="187"/>
    </row>
    <row r="1591" ht="12.75">
      <c r="A1591" s="187"/>
    </row>
    <row r="1592" ht="12.75">
      <c r="A1592" s="187"/>
    </row>
    <row r="1593" ht="12.75">
      <c r="A1593" s="187"/>
    </row>
    <row r="1594" ht="12.75">
      <c r="A1594" s="187"/>
    </row>
    <row r="1595" ht="12.75">
      <c r="A1595" s="187"/>
    </row>
    <row r="1596" ht="12.75">
      <c r="A1596" s="187"/>
    </row>
    <row r="1597" ht="12.75">
      <c r="A1597" s="187"/>
    </row>
    <row r="1598" ht="12.75">
      <c r="A1598" s="187"/>
    </row>
    <row r="1599" ht="12.75">
      <c r="A1599" s="187"/>
    </row>
    <row r="1600" ht="12.75">
      <c r="A1600" s="187"/>
    </row>
    <row r="1601" ht="12.75">
      <c r="A1601" s="187"/>
    </row>
    <row r="1602" ht="12.75">
      <c r="A1602" s="187"/>
    </row>
    <row r="1603" ht="12.75">
      <c r="A1603" s="187"/>
    </row>
    <row r="1604" ht="12.75">
      <c r="A1604" s="187"/>
    </row>
    <row r="1605" ht="12.75">
      <c r="A1605" s="187"/>
    </row>
    <row r="1606" ht="12.75">
      <c r="A1606" s="187"/>
    </row>
    <row r="1607" ht="12.75">
      <c r="A1607" s="187"/>
    </row>
    <row r="1608" ht="12.75">
      <c r="A1608" s="187"/>
    </row>
    <row r="1609" ht="12.75">
      <c r="A1609" s="187"/>
    </row>
    <row r="1610" ht="12.75">
      <c r="A1610" s="187"/>
    </row>
    <row r="1611" ht="12.75">
      <c r="A1611" s="187"/>
    </row>
    <row r="1612" ht="12.75">
      <c r="A1612" s="187"/>
    </row>
    <row r="1613" ht="12.75">
      <c r="A1613" s="187"/>
    </row>
    <row r="1614" ht="12.75">
      <c r="A1614" s="187"/>
    </row>
    <row r="1615" ht="12.75">
      <c r="A1615" s="187"/>
    </row>
    <row r="1616" ht="12.75">
      <c r="A1616" s="187"/>
    </row>
    <row r="1617" ht="12.75">
      <c r="A1617" s="187"/>
    </row>
    <row r="1618" ht="12.75">
      <c r="A1618" s="187"/>
    </row>
    <row r="1619" ht="12.75">
      <c r="A1619" s="187"/>
    </row>
    <row r="1620" ht="12.75">
      <c r="A1620" s="187"/>
    </row>
    <row r="1621" ht="12.75">
      <c r="A1621" s="187"/>
    </row>
    <row r="1622" ht="12.75">
      <c r="A1622" s="187"/>
    </row>
    <row r="1623" ht="12.75">
      <c r="A1623" s="187"/>
    </row>
    <row r="1624" ht="12.75">
      <c r="A1624" s="187"/>
    </row>
    <row r="1625" ht="12.75">
      <c r="A1625" s="187"/>
    </row>
    <row r="1626" ht="12.75">
      <c r="A1626" s="187"/>
    </row>
    <row r="1627" ht="12.75">
      <c r="A1627" s="187"/>
    </row>
    <row r="1628" ht="12.75">
      <c r="A1628" s="187"/>
    </row>
    <row r="1629" ht="12.75">
      <c r="A1629" s="187"/>
    </row>
    <row r="1630" ht="12.75">
      <c r="A1630" s="187"/>
    </row>
    <row r="1631" ht="12.75">
      <c r="A1631" s="187"/>
    </row>
    <row r="1632" ht="12.75">
      <c r="A1632" s="187"/>
    </row>
    <row r="1633" ht="12.75">
      <c r="A1633" s="187"/>
    </row>
    <row r="1634" ht="12.75">
      <c r="A1634" s="187"/>
    </row>
    <row r="1635" ht="12.75">
      <c r="A1635" s="187"/>
    </row>
    <row r="1636" ht="12.75">
      <c r="A1636" s="187"/>
    </row>
    <row r="1637" ht="12.75">
      <c r="A1637" s="187"/>
    </row>
    <row r="1638" ht="12.75">
      <c r="A1638" s="187"/>
    </row>
    <row r="1639" ht="12.75">
      <c r="A1639" s="187"/>
    </row>
    <row r="1640" ht="12.75">
      <c r="A1640" s="187"/>
    </row>
    <row r="1641" ht="12.75">
      <c r="A1641" s="187"/>
    </row>
    <row r="1642" ht="12.75">
      <c r="A1642" s="187"/>
    </row>
    <row r="1643" ht="12.75">
      <c r="A1643" s="187"/>
    </row>
    <row r="1644" ht="12.75">
      <c r="A1644" s="187"/>
    </row>
    <row r="1645" ht="12.75">
      <c r="A1645" s="187"/>
    </row>
    <row r="1646" ht="12.75">
      <c r="A1646" s="187"/>
    </row>
    <row r="1647" ht="12.75">
      <c r="A1647" s="187"/>
    </row>
    <row r="1648" ht="12.75">
      <c r="A1648" s="187"/>
    </row>
    <row r="1649" ht="12.75">
      <c r="A1649" s="187"/>
    </row>
    <row r="1650" ht="12.75">
      <c r="A1650" s="187"/>
    </row>
    <row r="1651" ht="12.75">
      <c r="A1651" s="187"/>
    </row>
    <row r="1652" ht="12.75">
      <c r="A1652" s="187"/>
    </row>
    <row r="1653" ht="12.75">
      <c r="A1653" s="187"/>
    </row>
    <row r="1654" ht="12.75">
      <c r="A1654" s="187"/>
    </row>
    <row r="1655" ht="12.75">
      <c r="A1655" s="187"/>
    </row>
    <row r="1656" ht="12.75">
      <c r="A1656" s="187"/>
    </row>
    <row r="1657" ht="12.75">
      <c r="A1657" s="187"/>
    </row>
    <row r="1658" ht="12.75">
      <c r="A1658" s="187"/>
    </row>
    <row r="1659" ht="12.75">
      <c r="A1659" s="187"/>
    </row>
    <row r="1660" ht="12.75">
      <c r="A1660" s="187"/>
    </row>
    <row r="1661" ht="12.75">
      <c r="A1661" s="187"/>
    </row>
    <row r="1662" ht="12.75">
      <c r="A1662" s="187"/>
    </row>
    <row r="1663" ht="12.75">
      <c r="A1663" s="187"/>
    </row>
    <row r="1664" ht="12.75">
      <c r="A1664" s="187"/>
    </row>
    <row r="1665" ht="12.75">
      <c r="A1665" s="187"/>
    </row>
    <row r="1666" ht="12.75">
      <c r="A1666" s="187"/>
    </row>
    <row r="1667" ht="12.75">
      <c r="A1667" s="187"/>
    </row>
    <row r="1668" ht="12.75">
      <c r="A1668" s="187"/>
    </row>
    <row r="1669" ht="12.75">
      <c r="A1669" s="187"/>
    </row>
    <row r="1670" ht="12.75">
      <c r="A1670" s="187"/>
    </row>
    <row r="1671" ht="12.75">
      <c r="A1671" s="187"/>
    </row>
    <row r="1672" ht="12.75">
      <c r="A1672" s="187"/>
    </row>
    <row r="1673" ht="12.75">
      <c r="A1673" s="187"/>
    </row>
    <row r="1674" ht="12.75">
      <c r="A1674" s="187"/>
    </row>
    <row r="1675" ht="12.75">
      <c r="A1675" s="187"/>
    </row>
    <row r="1676" ht="12.75">
      <c r="A1676" s="187"/>
    </row>
    <row r="1677" ht="12.75">
      <c r="A1677" s="187"/>
    </row>
    <row r="1678" ht="12.75">
      <c r="A1678" s="187"/>
    </row>
    <row r="1679" ht="12.75">
      <c r="A1679" s="187"/>
    </row>
    <row r="1680" ht="12.75">
      <c r="A1680" s="187"/>
    </row>
    <row r="1681" ht="12.75">
      <c r="A1681" s="187"/>
    </row>
    <row r="1682" ht="12.75">
      <c r="A1682" s="187"/>
    </row>
    <row r="1683" ht="12.75">
      <c r="A1683" s="187"/>
    </row>
    <row r="1684" ht="12.75">
      <c r="A1684" s="187"/>
    </row>
    <row r="1685" ht="12.75">
      <c r="A1685" s="187"/>
    </row>
    <row r="1686" ht="12.75">
      <c r="A1686" s="187"/>
    </row>
    <row r="1687" ht="12.75">
      <c r="A1687" s="187"/>
    </row>
    <row r="1688" ht="12.75">
      <c r="A1688" s="187"/>
    </row>
    <row r="1689" ht="12.75">
      <c r="A1689" s="187"/>
    </row>
    <row r="1690" ht="12.75">
      <c r="A1690" s="187"/>
    </row>
    <row r="1691" ht="12.75">
      <c r="A1691" s="187"/>
    </row>
    <row r="1692" ht="12.75">
      <c r="A1692" s="187"/>
    </row>
    <row r="1693" ht="12.75">
      <c r="A1693" s="187"/>
    </row>
    <row r="1694" ht="12.75">
      <c r="A1694" s="187"/>
    </row>
    <row r="1695" ht="12.75">
      <c r="A1695" s="187"/>
    </row>
    <row r="1696" ht="12.75">
      <c r="A1696" s="187"/>
    </row>
    <row r="1697" ht="12.75">
      <c r="A1697" s="187"/>
    </row>
    <row r="1698" ht="12.75">
      <c r="A1698" s="187"/>
    </row>
    <row r="1699" ht="12.75">
      <c r="A1699" s="187"/>
    </row>
    <row r="1700" ht="12.75">
      <c r="A1700" s="187"/>
    </row>
    <row r="1701" ht="12.75">
      <c r="A1701" s="187"/>
    </row>
    <row r="1702" ht="12.75">
      <c r="A1702" s="187"/>
    </row>
    <row r="1703" ht="12.75">
      <c r="A1703" s="187"/>
    </row>
    <row r="1704" ht="12.75">
      <c r="A1704" s="187"/>
    </row>
    <row r="1705" ht="12.75">
      <c r="A1705" s="187"/>
    </row>
    <row r="1706" ht="12.75">
      <c r="A1706" s="187"/>
    </row>
    <row r="1707" ht="12.75">
      <c r="A1707" s="187"/>
    </row>
    <row r="1708" ht="12.75">
      <c r="A1708" s="187"/>
    </row>
    <row r="1709" ht="12.75">
      <c r="A1709" s="187"/>
    </row>
    <row r="1710" ht="12.75">
      <c r="A1710" s="187"/>
    </row>
    <row r="1711" ht="12.75">
      <c r="A1711" s="187"/>
    </row>
    <row r="1712" ht="12.75">
      <c r="A1712" s="187"/>
    </row>
    <row r="1713" ht="12.75">
      <c r="A1713" s="187"/>
    </row>
    <row r="1714" ht="12.75">
      <c r="A1714" s="187"/>
    </row>
    <row r="1715" ht="12.75">
      <c r="A1715" s="187"/>
    </row>
    <row r="1716" ht="12.75">
      <c r="A1716" s="187"/>
    </row>
    <row r="1717" ht="12.75">
      <c r="A1717" s="187"/>
    </row>
    <row r="1718" ht="12.75">
      <c r="A1718" s="187"/>
    </row>
    <row r="1719" ht="12.75">
      <c r="A1719" s="187"/>
    </row>
    <row r="1720" ht="12.75">
      <c r="A1720" s="187"/>
    </row>
    <row r="1721" ht="12.75">
      <c r="A1721" s="187"/>
    </row>
    <row r="1722" ht="12.75">
      <c r="A1722" s="187"/>
    </row>
    <row r="1723" ht="12.75">
      <c r="A1723" s="187"/>
    </row>
    <row r="1724" ht="12.75">
      <c r="A1724" s="187"/>
    </row>
    <row r="1725" ht="12.75">
      <c r="A1725" s="187"/>
    </row>
    <row r="1726" ht="12.75">
      <c r="A1726" s="187"/>
    </row>
    <row r="1727" ht="12.75">
      <c r="A1727" s="187"/>
    </row>
    <row r="1728" ht="12.75">
      <c r="A1728" s="187"/>
    </row>
    <row r="1729" ht="12.75">
      <c r="A1729" s="187"/>
    </row>
    <row r="1730" ht="12.75">
      <c r="A1730" s="187"/>
    </row>
    <row r="1731" ht="12.75">
      <c r="A1731" s="187"/>
    </row>
    <row r="1732" ht="12.75">
      <c r="A1732" s="187"/>
    </row>
    <row r="1733" ht="12.75">
      <c r="A1733" s="187"/>
    </row>
    <row r="1734" ht="12.75">
      <c r="A1734" s="187"/>
    </row>
    <row r="1735" ht="12.75">
      <c r="A1735" s="187"/>
    </row>
    <row r="1736" ht="12.75">
      <c r="A1736" s="187"/>
    </row>
    <row r="1737" ht="12.75">
      <c r="A1737" s="187"/>
    </row>
    <row r="1738" ht="12.75">
      <c r="A1738" s="187"/>
    </row>
    <row r="1739" ht="12.75">
      <c r="A1739" s="187"/>
    </row>
    <row r="1740" ht="12.75">
      <c r="A1740" s="187"/>
    </row>
    <row r="1741" ht="12.75">
      <c r="A1741" s="187"/>
    </row>
    <row r="1742" ht="12.75">
      <c r="A1742" s="187"/>
    </row>
    <row r="1743" ht="12.75">
      <c r="A1743" s="187"/>
    </row>
    <row r="1744" ht="12.75">
      <c r="A1744" s="187"/>
    </row>
    <row r="1745" ht="12.75">
      <c r="A1745" s="187"/>
    </row>
    <row r="1746" ht="12.75">
      <c r="A1746" s="187"/>
    </row>
    <row r="1747" ht="12.75">
      <c r="A1747" s="187"/>
    </row>
    <row r="1748" ht="12.75">
      <c r="A1748" s="187"/>
    </row>
    <row r="1749" ht="12.75">
      <c r="A1749" s="187"/>
    </row>
    <row r="1750" ht="12.75">
      <c r="A1750" s="187"/>
    </row>
    <row r="1751" ht="12.75">
      <c r="A1751" s="187"/>
    </row>
    <row r="1752" ht="12.75">
      <c r="A1752" s="187"/>
    </row>
    <row r="1753" ht="12.75">
      <c r="A1753" s="187"/>
    </row>
    <row r="1754" ht="12.75">
      <c r="A1754" s="187"/>
    </row>
    <row r="1755" ht="12.75">
      <c r="A1755" s="187"/>
    </row>
    <row r="1756" ht="12.75">
      <c r="A1756" s="187"/>
    </row>
    <row r="1757" ht="12.75">
      <c r="A1757" s="187"/>
    </row>
    <row r="1758" ht="12.75">
      <c r="A1758" s="187"/>
    </row>
    <row r="1759" ht="12.75">
      <c r="A1759" s="187"/>
    </row>
    <row r="1760" ht="12.75">
      <c r="A1760" s="187"/>
    </row>
    <row r="1761" ht="12.75">
      <c r="A1761" s="187"/>
    </row>
    <row r="1762" ht="12.75">
      <c r="A1762" s="187"/>
    </row>
    <row r="1763" ht="12.75">
      <c r="A1763" s="187"/>
    </row>
    <row r="1764" ht="12.75">
      <c r="A1764" s="187"/>
    </row>
    <row r="1765" ht="12.75">
      <c r="A1765" s="187"/>
    </row>
    <row r="1766" ht="12.75">
      <c r="A1766" s="187"/>
    </row>
    <row r="1767" ht="12.75">
      <c r="A1767" s="187"/>
    </row>
    <row r="1768" ht="12.75">
      <c r="A1768" s="187"/>
    </row>
    <row r="1769" ht="12.75">
      <c r="A1769" s="187"/>
    </row>
    <row r="1770" ht="12.75">
      <c r="A1770" s="187"/>
    </row>
    <row r="1771" ht="12.75">
      <c r="A1771" s="187"/>
    </row>
    <row r="1772" ht="12.75">
      <c r="A1772" s="187"/>
    </row>
    <row r="1773" ht="12.75">
      <c r="A1773" s="187"/>
    </row>
    <row r="1774" ht="12.75">
      <c r="A1774" s="187"/>
    </row>
    <row r="1775" ht="12.75">
      <c r="A1775" s="187"/>
    </row>
    <row r="1776" ht="12.75">
      <c r="A1776" s="187"/>
    </row>
    <row r="1777" ht="12.75">
      <c r="A1777" s="187"/>
    </row>
    <row r="1778" ht="12.75">
      <c r="A1778" s="187"/>
    </row>
    <row r="1779" ht="12.75">
      <c r="A1779" s="187"/>
    </row>
    <row r="1780" ht="12.75">
      <c r="A1780" s="187"/>
    </row>
    <row r="1781" ht="12.75">
      <c r="A1781" s="187"/>
    </row>
    <row r="1782" ht="12.75">
      <c r="A1782" s="187"/>
    </row>
    <row r="1783" ht="12.75">
      <c r="A1783" s="187"/>
    </row>
    <row r="1784" ht="12.75">
      <c r="A1784" s="187"/>
    </row>
    <row r="1785" ht="12.75">
      <c r="A1785" s="187"/>
    </row>
    <row r="1786" ht="12.75">
      <c r="A1786" s="187"/>
    </row>
    <row r="1787" ht="12.75">
      <c r="A1787" s="187"/>
    </row>
    <row r="1788" ht="12.75">
      <c r="A1788" s="187"/>
    </row>
    <row r="1789" ht="12.75">
      <c r="A1789" s="187"/>
    </row>
    <row r="1790" ht="12.75">
      <c r="A1790" s="187"/>
    </row>
    <row r="1791" ht="12.75">
      <c r="A1791" s="187"/>
    </row>
    <row r="1792" ht="12.75">
      <c r="A1792" s="187"/>
    </row>
    <row r="1793" ht="12.75">
      <c r="A1793" s="187"/>
    </row>
    <row r="1794" ht="12.75">
      <c r="A1794" s="187"/>
    </row>
    <row r="1795" ht="12.75">
      <c r="A1795" s="187"/>
    </row>
    <row r="1796" ht="12.75">
      <c r="A1796" s="187"/>
    </row>
    <row r="1797" ht="12.75">
      <c r="A1797" s="187"/>
    </row>
    <row r="1798" ht="12.75">
      <c r="A1798" s="187"/>
    </row>
    <row r="1799" ht="12.75">
      <c r="A1799" s="187"/>
    </row>
    <row r="1800" ht="12.75">
      <c r="A1800" s="187"/>
    </row>
    <row r="1801" ht="12.75">
      <c r="A1801" s="187"/>
    </row>
    <row r="1802" ht="12.75">
      <c r="A1802" s="187"/>
    </row>
    <row r="1803" ht="12.75">
      <c r="A1803" s="187"/>
    </row>
    <row r="1804" ht="12.75">
      <c r="A1804" s="187"/>
    </row>
    <row r="1805" ht="12.75">
      <c r="A1805" s="187"/>
    </row>
    <row r="1806" ht="12.75">
      <c r="A1806" s="187"/>
    </row>
    <row r="1807" ht="12.75">
      <c r="A1807" s="187"/>
    </row>
    <row r="1808" ht="12.75">
      <c r="A1808" s="187"/>
    </row>
    <row r="1809" ht="12.75">
      <c r="A1809" s="187"/>
    </row>
    <row r="1810" ht="12.75">
      <c r="A1810" s="187"/>
    </row>
    <row r="1811" ht="12.75">
      <c r="A1811" s="187"/>
    </row>
    <row r="1812" ht="12.75">
      <c r="A1812" s="187"/>
    </row>
    <row r="1813" ht="12.75">
      <c r="A1813" s="187"/>
    </row>
    <row r="1814" ht="12.75">
      <c r="A1814" s="187"/>
    </row>
    <row r="1815" ht="12.75">
      <c r="A1815" s="187"/>
    </row>
    <row r="1816" ht="12.75">
      <c r="A1816" s="187"/>
    </row>
    <row r="1817" ht="12.75">
      <c r="A1817" s="187"/>
    </row>
    <row r="1818" ht="12.75">
      <c r="A1818" s="187"/>
    </row>
    <row r="1819" ht="12.75">
      <c r="A1819" s="187"/>
    </row>
    <row r="1820" ht="12.75">
      <c r="A1820" s="187"/>
    </row>
    <row r="1821" ht="12.75">
      <c r="A1821" s="187"/>
    </row>
    <row r="1822" ht="12.75">
      <c r="A1822" s="187"/>
    </row>
    <row r="1823" ht="12.75">
      <c r="A1823" s="187"/>
    </row>
    <row r="1824" ht="12.75">
      <c r="A1824" s="187"/>
    </row>
    <row r="1825" ht="12.75">
      <c r="A1825" s="187"/>
    </row>
    <row r="1826" ht="12.75">
      <c r="A1826" s="187"/>
    </row>
    <row r="1827" ht="12.75">
      <c r="A1827" s="187"/>
    </row>
    <row r="1828" ht="12.75">
      <c r="A1828" s="187"/>
    </row>
    <row r="1829" ht="12.75">
      <c r="A1829" s="187"/>
    </row>
    <row r="1830" ht="12.75">
      <c r="A1830" s="187"/>
    </row>
    <row r="1831" ht="12.75">
      <c r="A1831" s="187"/>
    </row>
    <row r="1832" ht="12.75">
      <c r="A1832" s="187"/>
    </row>
    <row r="1833" ht="12.75">
      <c r="A1833" s="187"/>
    </row>
    <row r="1834" ht="12.75">
      <c r="A1834" s="187"/>
    </row>
    <row r="1835" ht="12.75">
      <c r="A1835" s="187"/>
    </row>
    <row r="1836" ht="12.75">
      <c r="A1836" s="187"/>
    </row>
    <row r="1837" ht="12.75">
      <c r="A1837" s="187"/>
    </row>
    <row r="1838" ht="12.75">
      <c r="A1838" s="187"/>
    </row>
    <row r="1839" ht="12.75">
      <c r="A1839" s="187"/>
    </row>
    <row r="1840" ht="12.75">
      <c r="A1840" s="187"/>
    </row>
    <row r="1841" ht="12.75">
      <c r="A1841" s="187"/>
    </row>
    <row r="1842" ht="12.75">
      <c r="A1842" s="187"/>
    </row>
    <row r="1843" ht="12.75">
      <c r="A1843" s="187"/>
    </row>
    <row r="1844" ht="12.75">
      <c r="A1844" s="187"/>
    </row>
    <row r="1845" ht="12.75">
      <c r="A1845" s="187"/>
    </row>
    <row r="1846" ht="12.75">
      <c r="A1846" s="187"/>
    </row>
    <row r="1847" ht="12.75">
      <c r="A1847" s="187"/>
    </row>
    <row r="1848" ht="12.75">
      <c r="A1848" s="187"/>
    </row>
    <row r="1849" ht="12.75">
      <c r="A1849" s="187"/>
    </row>
    <row r="1850" ht="12.75">
      <c r="A1850" s="187"/>
    </row>
    <row r="1851" ht="12.75">
      <c r="A1851" s="187"/>
    </row>
    <row r="1852" ht="12.75">
      <c r="A1852" s="187"/>
    </row>
    <row r="1853" ht="12.75">
      <c r="A1853" s="187"/>
    </row>
    <row r="1854" ht="12.75">
      <c r="A1854" s="187"/>
    </row>
    <row r="1855" ht="12.75">
      <c r="A1855" s="187"/>
    </row>
    <row r="1856" ht="12.75">
      <c r="A1856" s="187"/>
    </row>
    <row r="1857" ht="12.75">
      <c r="A1857" s="187"/>
    </row>
    <row r="1858" ht="12.75">
      <c r="A1858" s="187"/>
    </row>
    <row r="1859" ht="12.75">
      <c r="A1859" s="187"/>
    </row>
    <row r="1860" ht="12.75">
      <c r="A1860" s="187"/>
    </row>
    <row r="1861" ht="12.75">
      <c r="A1861" s="187"/>
    </row>
    <row r="1862" ht="12.75">
      <c r="A1862" s="187"/>
    </row>
    <row r="1863" ht="12.75">
      <c r="A1863" s="187"/>
    </row>
    <row r="1864" ht="12.75">
      <c r="A1864" s="187"/>
    </row>
    <row r="1865" ht="12.75">
      <c r="A1865" s="187"/>
    </row>
    <row r="1866" ht="12.75">
      <c r="A1866" s="187"/>
    </row>
    <row r="1867" ht="12.75">
      <c r="A1867" s="187"/>
    </row>
    <row r="1868" ht="12.75">
      <c r="A1868" s="187"/>
    </row>
    <row r="1869" ht="12.75">
      <c r="A1869" s="187"/>
    </row>
    <row r="1870" ht="12.75">
      <c r="A1870" s="187"/>
    </row>
    <row r="1871" ht="12.75">
      <c r="A1871" s="187"/>
    </row>
    <row r="1872" ht="12.75">
      <c r="A1872" s="187"/>
    </row>
    <row r="1873" ht="12.75">
      <c r="A1873" s="187"/>
    </row>
    <row r="1874" ht="12.75">
      <c r="A1874" s="187"/>
    </row>
    <row r="1875" ht="12.75">
      <c r="A1875" s="187"/>
    </row>
    <row r="1876" ht="12.75">
      <c r="A1876" s="187"/>
    </row>
    <row r="1877" ht="12.75">
      <c r="A1877" s="187"/>
    </row>
    <row r="1878" ht="12.75">
      <c r="A1878" s="187"/>
    </row>
    <row r="1879" ht="12.75">
      <c r="A1879" s="187"/>
    </row>
    <row r="1880" ht="12.75">
      <c r="A1880" s="187"/>
    </row>
    <row r="1881" ht="12.75">
      <c r="A1881" s="187"/>
    </row>
    <row r="1882" ht="12.75">
      <c r="A1882" s="187"/>
    </row>
    <row r="1883" ht="12.75">
      <c r="A1883" s="187"/>
    </row>
    <row r="1884" ht="12.75">
      <c r="A1884" s="187"/>
    </row>
    <row r="1885" ht="12.75">
      <c r="A1885" s="187"/>
    </row>
    <row r="1886" ht="12.75">
      <c r="A1886" s="187"/>
    </row>
    <row r="1887" ht="12.75">
      <c r="A1887" s="187"/>
    </row>
    <row r="1888" ht="12.75">
      <c r="A1888" s="187"/>
    </row>
    <row r="1889" ht="12.75">
      <c r="A1889" s="187"/>
    </row>
    <row r="1890" ht="12.75">
      <c r="A1890" s="187"/>
    </row>
    <row r="1891" ht="12.75">
      <c r="A1891" s="187"/>
    </row>
    <row r="1892" ht="12.75">
      <c r="A1892" s="187"/>
    </row>
    <row r="1893" ht="12.75">
      <c r="A1893" s="187"/>
    </row>
    <row r="1894" ht="12.75">
      <c r="A1894" s="187"/>
    </row>
    <row r="1895" ht="12.75">
      <c r="A1895" s="187"/>
    </row>
    <row r="1896" ht="12.75">
      <c r="A1896" s="187"/>
    </row>
    <row r="1897" ht="12.75">
      <c r="A1897" s="187"/>
    </row>
    <row r="1898" ht="12.75">
      <c r="A1898" s="187"/>
    </row>
    <row r="1899" ht="12.75">
      <c r="A1899" s="187"/>
    </row>
    <row r="1900" ht="12.75">
      <c r="A1900" s="187"/>
    </row>
    <row r="1901" ht="12.75">
      <c r="A1901" s="187"/>
    </row>
    <row r="1902" ht="12.75">
      <c r="A1902" s="187"/>
    </row>
    <row r="1903" ht="12.75">
      <c r="A1903" s="187"/>
    </row>
    <row r="1904" ht="12.75">
      <c r="A1904" s="187"/>
    </row>
    <row r="1905" ht="12.75">
      <c r="A1905" s="187"/>
    </row>
    <row r="1906" ht="12.75">
      <c r="A1906" s="187"/>
    </row>
    <row r="1907" ht="12.75">
      <c r="A1907" s="187"/>
    </row>
    <row r="1908" ht="12.75">
      <c r="A1908" s="187"/>
    </row>
    <row r="1909" ht="12.75">
      <c r="A1909" s="187"/>
    </row>
    <row r="1910" ht="12.75">
      <c r="A1910" s="187"/>
    </row>
    <row r="1911" ht="12.75">
      <c r="A1911" s="187"/>
    </row>
    <row r="1912" ht="12.75">
      <c r="A1912" s="187"/>
    </row>
    <row r="1913" ht="12.75">
      <c r="A1913" s="187"/>
    </row>
    <row r="1914" ht="12.75">
      <c r="A1914" s="187"/>
    </row>
    <row r="1915" ht="12.75">
      <c r="A1915" s="187"/>
    </row>
    <row r="1916" ht="12.75">
      <c r="A1916" s="187"/>
    </row>
    <row r="1917" ht="12.75">
      <c r="A1917" s="187"/>
    </row>
    <row r="1918" ht="12.75">
      <c r="A1918" s="187"/>
    </row>
    <row r="1919" ht="12.75">
      <c r="A1919" s="187"/>
    </row>
    <row r="1920" ht="12.75">
      <c r="A1920" s="187"/>
    </row>
    <row r="1921" ht="12.75">
      <c r="A1921" s="187"/>
    </row>
    <row r="1922" ht="12.75">
      <c r="A1922" s="187"/>
    </row>
    <row r="1923" ht="12.75">
      <c r="A1923" s="187"/>
    </row>
    <row r="1924" ht="12.75">
      <c r="A1924" s="187"/>
    </row>
    <row r="1925" ht="12.75">
      <c r="A1925" s="187"/>
    </row>
    <row r="1926" ht="12.75">
      <c r="A1926" s="187"/>
    </row>
    <row r="1927" ht="12.75">
      <c r="A1927" s="187"/>
    </row>
    <row r="1928" ht="12.75">
      <c r="A1928" s="187"/>
    </row>
    <row r="1929" ht="12.75">
      <c r="A1929" s="187"/>
    </row>
    <row r="1930" ht="12.75">
      <c r="A1930" s="187"/>
    </row>
    <row r="1931" ht="12.75">
      <c r="A1931" s="187"/>
    </row>
    <row r="1932" ht="12.75">
      <c r="A1932" s="187"/>
    </row>
    <row r="1933" ht="12.75">
      <c r="A1933" s="187"/>
    </row>
    <row r="1934" ht="12.75">
      <c r="A1934" s="187"/>
    </row>
    <row r="1935" ht="12.75">
      <c r="A1935" s="187"/>
    </row>
    <row r="1936" ht="12.75">
      <c r="A1936" s="187"/>
    </row>
    <row r="1937" ht="12.75">
      <c r="A1937" s="187"/>
    </row>
    <row r="1938" ht="12.75">
      <c r="A1938" s="187"/>
    </row>
    <row r="1939" ht="12.75">
      <c r="A1939" s="187"/>
    </row>
    <row r="1940" ht="12.75">
      <c r="A1940" s="187"/>
    </row>
    <row r="1941" ht="12.75">
      <c r="A1941" s="187"/>
    </row>
    <row r="1942" ht="12.75">
      <c r="A1942" s="187"/>
    </row>
    <row r="1943" ht="12.75">
      <c r="A1943" s="187"/>
    </row>
    <row r="1944" ht="12.75">
      <c r="A1944" s="187"/>
    </row>
    <row r="1945" ht="12.75">
      <c r="A1945" s="187"/>
    </row>
    <row r="1946" ht="12.75">
      <c r="A1946" s="187"/>
    </row>
    <row r="1947" ht="12.75">
      <c r="A1947" s="187"/>
    </row>
    <row r="1948" ht="12.75">
      <c r="A1948" s="187"/>
    </row>
    <row r="1949" ht="12.75">
      <c r="A1949" s="187"/>
    </row>
    <row r="1950" ht="12.75">
      <c r="A1950" s="187"/>
    </row>
    <row r="1951" ht="12.75">
      <c r="A1951" s="187"/>
    </row>
    <row r="1952" ht="12.75">
      <c r="A1952" s="187"/>
    </row>
    <row r="1953" ht="12.75">
      <c r="A1953" s="187"/>
    </row>
    <row r="1954" ht="12.75">
      <c r="A1954" s="187"/>
    </row>
    <row r="1955" ht="12.75">
      <c r="A1955" s="187"/>
    </row>
    <row r="1956" ht="12.75">
      <c r="A1956" s="187"/>
    </row>
    <row r="1957" ht="12.75">
      <c r="A1957" s="187"/>
    </row>
    <row r="1958" ht="12.75">
      <c r="A1958" s="187"/>
    </row>
    <row r="1959" ht="12.75">
      <c r="A1959" s="187"/>
    </row>
    <row r="1960" ht="12.75">
      <c r="A1960" s="187"/>
    </row>
    <row r="1961" ht="12.75">
      <c r="A1961" s="187"/>
    </row>
    <row r="1962" ht="12.75">
      <c r="A1962" s="187"/>
    </row>
    <row r="1963" ht="12.75">
      <c r="A1963" s="187"/>
    </row>
    <row r="1964" ht="12.75">
      <c r="A1964" s="187"/>
    </row>
    <row r="1965" ht="12.75">
      <c r="A1965" s="187"/>
    </row>
    <row r="1966" ht="12.75">
      <c r="A1966" s="187"/>
    </row>
    <row r="1967" ht="12.75">
      <c r="A1967" s="187"/>
    </row>
    <row r="1968" ht="12.75">
      <c r="A1968" s="187"/>
    </row>
    <row r="1969" ht="12.75">
      <c r="A1969" s="187"/>
    </row>
    <row r="1970" ht="12.75">
      <c r="A1970" s="187"/>
    </row>
    <row r="1971" ht="12.75">
      <c r="A1971" s="187"/>
    </row>
    <row r="1972" ht="12.75">
      <c r="A1972" s="187"/>
    </row>
    <row r="1973" ht="12.75">
      <c r="A1973" s="187"/>
    </row>
    <row r="1974" ht="12.75">
      <c r="A1974" s="187"/>
    </row>
    <row r="1975" ht="12.75">
      <c r="A1975" s="187"/>
    </row>
    <row r="1976" ht="12.75">
      <c r="A1976" s="187"/>
    </row>
    <row r="1977" ht="12.75">
      <c r="A1977" s="187"/>
    </row>
    <row r="1978" ht="12.75">
      <c r="A1978" s="187"/>
    </row>
    <row r="1979" ht="12.75">
      <c r="A1979" s="187"/>
    </row>
    <row r="1980" ht="12.75">
      <c r="A1980" s="187"/>
    </row>
    <row r="1981" ht="12.75">
      <c r="A1981" s="187"/>
    </row>
    <row r="1982" ht="12.75">
      <c r="A1982" s="187"/>
    </row>
    <row r="1983" ht="12.75">
      <c r="A1983" s="187"/>
    </row>
    <row r="1984" ht="12.75">
      <c r="A1984" s="187"/>
    </row>
    <row r="1985" ht="12.75">
      <c r="A1985" s="187"/>
    </row>
    <row r="1986" ht="12.75">
      <c r="A1986" s="187"/>
    </row>
    <row r="1987" ht="12.75">
      <c r="A1987" s="187"/>
    </row>
    <row r="1988" ht="12.75">
      <c r="A1988" s="187"/>
    </row>
    <row r="1989" ht="12.75">
      <c r="A1989" s="187"/>
    </row>
    <row r="1990" ht="12.75">
      <c r="A1990" s="187"/>
    </row>
    <row r="1991" ht="12.75">
      <c r="A1991" s="187"/>
    </row>
    <row r="1992" ht="12.75">
      <c r="A1992" s="187"/>
    </row>
    <row r="1993" ht="12.75">
      <c r="A1993" s="187"/>
    </row>
    <row r="1994" ht="12.75">
      <c r="A1994" s="187"/>
    </row>
    <row r="1995" ht="12.75">
      <c r="A1995" s="187"/>
    </row>
    <row r="1996" ht="12.75">
      <c r="A1996" s="187"/>
    </row>
    <row r="1997" ht="12.75">
      <c r="A1997" s="187"/>
    </row>
    <row r="1998" ht="12.75">
      <c r="A1998" s="187"/>
    </row>
    <row r="1999" ht="12.75">
      <c r="A1999" s="187"/>
    </row>
    <row r="2000" ht="12.75">
      <c r="A2000" s="187"/>
    </row>
    <row r="2001" ht="12.75">
      <c r="A2001" s="187"/>
    </row>
    <row r="2002" ht="12.75">
      <c r="A2002" s="187"/>
    </row>
    <row r="2003" ht="12.75">
      <c r="A2003" s="187"/>
    </row>
    <row r="2004" ht="12.75">
      <c r="A2004" s="187"/>
    </row>
    <row r="2005" ht="12.75">
      <c r="A2005" s="187"/>
    </row>
    <row r="2006" ht="12.75">
      <c r="A2006" s="187"/>
    </row>
    <row r="2007" ht="12.75">
      <c r="A2007" s="187"/>
    </row>
    <row r="2008" ht="12.75">
      <c r="A2008" s="187"/>
    </row>
    <row r="2009" ht="12.75">
      <c r="A2009" s="187"/>
    </row>
    <row r="2010" ht="12.75">
      <c r="A2010" s="187"/>
    </row>
    <row r="2011" ht="12.75">
      <c r="A2011" s="187"/>
    </row>
    <row r="2012" ht="12.75">
      <c r="A2012" s="187"/>
    </row>
    <row r="2013" ht="12.75">
      <c r="A2013" s="187"/>
    </row>
    <row r="2014" ht="12.75">
      <c r="A2014" s="187"/>
    </row>
    <row r="2015" ht="12.75">
      <c r="A2015" s="187"/>
    </row>
    <row r="2016" ht="12.75">
      <c r="A2016" s="187"/>
    </row>
    <row r="2017" ht="12.75">
      <c r="A2017" s="187"/>
    </row>
    <row r="2018" ht="12.75">
      <c r="A2018" s="187"/>
    </row>
    <row r="2019" ht="12.75">
      <c r="A2019" s="187"/>
    </row>
    <row r="2020" ht="12.75">
      <c r="A2020" s="187"/>
    </row>
    <row r="2021" ht="12.75">
      <c r="A2021" s="187"/>
    </row>
    <row r="2022" ht="12.75">
      <c r="A2022" s="187"/>
    </row>
    <row r="2023" ht="12.75">
      <c r="A2023" s="187"/>
    </row>
    <row r="2024" ht="12.75">
      <c r="A2024" s="187"/>
    </row>
    <row r="2025" ht="12.75">
      <c r="A2025" s="187"/>
    </row>
    <row r="2026" ht="12.75">
      <c r="A2026" s="187"/>
    </row>
    <row r="2027" ht="12.75">
      <c r="A2027" s="187"/>
    </row>
    <row r="2028" ht="12.75">
      <c r="A2028" s="187"/>
    </row>
    <row r="2029" ht="12.75">
      <c r="A2029" s="187"/>
    </row>
    <row r="2030" ht="12.75">
      <c r="A2030" s="187"/>
    </row>
    <row r="2031" ht="12.75">
      <c r="A2031" s="187"/>
    </row>
    <row r="2032" ht="12.75">
      <c r="A2032" s="187"/>
    </row>
    <row r="2033" ht="12.75">
      <c r="A2033" s="187"/>
    </row>
    <row r="2034" ht="12.75">
      <c r="A2034" s="187"/>
    </row>
    <row r="2035" ht="12.75">
      <c r="A2035" s="187"/>
    </row>
    <row r="2036" ht="12.75">
      <c r="A2036" s="187"/>
    </row>
    <row r="2037" ht="12.75">
      <c r="A2037" s="187"/>
    </row>
    <row r="2038" ht="12.75">
      <c r="A2038" s="187"/>
    </row>
    <row r="2039" ht="12.75">
      <c r="A2039" s="187"/>
    </row>
    <row r="2040" ht="12.75">
      <c r="A2040" s="187"/>
    </row>
    <row r="2041" ht="12.75">
      <c r="A2041" s="187"/>
    </row>
    <row r="2042" ht="12.75">
      <c r="A2042" s="187"/>
    </row>
    <row r="2043" ht="12.75">
      <c r="A2043" s="187"/>
    </row>
    <row r="2044" ht="12.75">
      <c r="A2044" s="187"/>
    </row>
    <row r="2045" ht="12.75">
      <c r="A2045" s="187"/>
    </row>
    <row r="2046" ht="12.75">
      <c r="A2046" s="187"/>
    </row>
    <row r="2047" ht="12.75">
      <c r="A2047" s="187"/>
    </row>
    <row r="2048" ht="12.75">
      <c r="A2048" s="187"/>
    </row>
    <row r="2049" ht="12.75">
      <c r="A2049" s="187"/>
    </row>
    <row r="2050" ht="12.75">
      <c r="A2050" s="187"/>
    </row>
    <row r="2051" ht="12.75">
      <c r="A2051" s="187"/>
    </row>
    <row r="2052" ht="12.75">
      <c r="A2052" s="187"/>
    </row>
    <row r="2053" ht="12.75">
      <c r="A2053" s="187"/>
    </row>
    <row r="2054" ht="12.75">
      <c r="A2054" s="187"/>
    </row>
    <row r="2055" ht="12.75">
      <c r="A2055" s="187"/>
    </row>
    <row r="2056" ht="12.75">
      <c r="A2056" s="187"/>
    </row>
    <row r="2057" ht="12.75">
      <c r="A2057" s="187"/>
    </row>
    <row r="2058" ht="12.75">
      <c r="A2058" s="187"/>
    </row>
    <row r="2059" ht="12.75">
      <c r="A2059" s="187"/>
    </row>
    <row r="2060" ht="12.75">
      <c r="A2060" s="187"/>
    </row>
    <row r="2061" ht="12.75">
      <c r="A2061" s="187"/>
    </row>
    <row r="2062" ht="12.75">
      <c r="A2062" s="187"/>
    </row>
    <row r="2063" ht="12.75">
      <c r="A2063" s="187"/>
    </row>
    <row r="2064" ht="12.75">
      <c r="A2064" s="187"/>
    </row>
    <row r="2065" ht="12.75">
      <c r="A2065" s="187"/>
    </row>
    <row r="2066" ht="12.75">
      <c r="A2066" s="187"/>
    </row>
    <row r="2067" ht="12.75">
      <c r="A2067" s="187"/>
    </row>
    <row r="2068" ht="12.75">
      <c r="A2068" s="187"/>
    </row>
    <row r="2069" ht="12.75">
      <c r="A2069" s="187"/>
    </row>
    <row r="2070" ht="12.75">
      <c r="A2070" s="187"/>
    </row>
    <row r="2071" ht="12.75">
      <c r="A2071" s="187"/>
    </row>
    <row r="2072" ht="12.75">
      <c r="A2072" s="187"/>
    </row>
    <row r="2073" ht="12.75">
      <c r="A2073" s="187"/>
    </row>
    <row r="2074" ht="12.75">
      <c r="A2074" s="187"/>
    </row>
    <row r="2075" ht="12.75">
      <c r="A2075" s="187"/>
    </row>
    <row r="2076" ht="12.75">
      <c r="A2076" s="187"/>
    </row>
    <row r="2077" ht="12.75">
      <c r="A2077" s="187"/>
    </row>
    <row r="2078" ht="12.75">
      <c r="A2078" s="187"/>
    </row>
    <row r="2079" ht="12.75">
      <c r="A2079" s="187"/>
    </row>
    <row r="2080" ht="12.75">
      <c r="A2080" s="187"/>
    </row>
    <row r="2081" ht="12.75">
      <c r="A2081" s="187"/>
    </row>
    <row r="2082" ht="12.75">
      <c r="A2082" s="187"/>
    </row>
    <row r="2083" ht="12.75">
      <c r="A2083" s="187"/>
    </row>
    <row r="2084" ht="12.75">
      <c r="A2084" s="187"/>
    </row>
    <row r="2085" ht="12.75">
      <c r="A2085" s="187"/>
    </row>
    <row r="2086" ht="12.75">
      <c r="A2086" s="187"/>
    </row>
    <row r="2087" ht="12.75">
      <c r="A2087" s="187"/>
    </row>
    <row r="2088" ht="12.75">
      <c r="A2088" s="187"/>
    </row>
    <row r="2089" ht="12.75">
      <c r="A2089" s="187"/>
    </row>
    <row r="2090" ht="12.75">
      <c r="A2090" s="187"/>
    </row>
    <row r="2091" ht="12.75">
      <c r="A2091" s="187"/>
    </row>
    <row r="2092" ht="12.75">
      <c r="A2092" s="187"/>
    </row>
    <row r="2093" ht="12.75">
      <c r="A2093" s="187"/>
    </row>
    <row r="2094" ht="12.75">
      <c r="A2094" s="187"/>
    </row>
    <row r="2095" ht="12.75">
      <c r="A2095" s="187"/>
    </row>
    <row r="2096" ht="12.75">
      <c r="A2096" s="187"/>
    </row>
    <row r="2097" ht="12.75">
      <c r="A2097" s="187"/>
    </row>
    <row r="2098" ht="12.75">
      <c r="A2098" s="187"/>
    </row>
    <row r="2099" ht="12.75">
      <c r="A2099" s="187"/>
    </row>
    <row r="2100" ht="12.75">
      <c r="A2100" s="187"/>
    </row>
    <row r="2101" ht="12.75">
      <c r="A2101" s="187"/>
    </row>
    <row r="2102" ht="12.75">
      <c r="A2102" s="187"/>
    </row>
    <row r="2103" ht="12.75">
      <c r="A2103" s="187"/>
    </row>
    <row r="2104" ht="12.75">
      <c r="A2104" s="187"/>
    </row>
    <row r="2105" ht="12.75">
      <c r="A2105" s="187"/>
    </row>
    <row r="2106" ht="12.75">
      <c r="A2106" s="187"/>
    </row>
    <row r="2107" ht="12.75">
      <c r="A2107" s="187"/>
    </row>
    <row r="2108" ht="12.75">
      <c r="A2108" s="187"/>
    </row>
    <row r="2109" ht="12.75">
      <c r="A2109" s="187"/>
    </row>
    <row r="2110" ht="12.75">
      <c r="A2110" s="187"/>
    </row>
    <row r="2111" ht="12.75">
      <c r="A2111" s="187"/>
    </row>
    <row r="2112" ht="12.75">
      <c r="A2112" s="187"/>
    </row>
    <row r="2113" ht="12.75">
      <c r="A2113" s="187"/>
    </row>
    <row r="2114" ht="12.75">
      <c r="A2114" s="187"/>
    </row>
    <row r="2115" ht="12.75">
      <c r="A2115" s="187"/>
    </row>
    <row r="2116" ht="12.75">
      <c r="A2116" s="187"/>
    </row>
    <row r="2117" ht="12.75">
      <c r="A2117" s="187"/>
    </row>
    <row r="2118" ht="12.75">
      <c r="A2118" s="187"/>
    </row>
    <row r="2119" ht="12.75">
      <c r="A2119" s="187"/>
    </row>
    <row r="2120" ht="12.75">
      <c r="A2120" s="187"/>
    </row>
    <row r="2121" ht="12.75">
      <c r="A2121" s="187"/>
    </row>
    <row r="2122" ht="12.75">
      <c r="A2122" s="187"/>
    </row>
    <row r="2123" ht="12.75">
      <c r="A2123" s="187"/>
    </row>
    <row r="2124" ht="12.75">
      <c r="A2124" s="187"/>
    </row>
    <row r="2125" ht="12.75">
      <c r="A2125" s="187"/>
    </row>
    <row r="2126" ht="12.75">
      <c r="A2126" s="187"/>
    </row>
    <row r="2127" ht="12.75">
      <c r="A2127" s="187"/>
    </row>
    <row r="2128" ht="12.75">
      <c r="A2128" s="187"/>
    </row>
    <row r="2129" ht="12.75">
      <c r="A2129" s="187"/>
    </row>
    <row r="2130" ht="12.75">
      <c r="A2130" s="187"/>
    </row>
    <row r="2131" ht="12.75">
      <c r="A2131" s="187"/>
    </row>
    <row r="2132" ht="12.75">
      <c r="A2132" s="187"/>
    </row>
    <row r="2133" ht="12.75">
      <c r="A2133" s="187"/>
    </row>
    <row r="2134" ht="12.75">
      <c r="A2134" s="187"/>
    </row>
    <row r="2135" ht="12.75">
      <c r="A2135" s="187"/>
    </row>
    <row r="2136" ht="12.75">
      <c r="A2136" s="187"/>
    </row>
    <row r="2137" ht="12.75">
      <c r="A2137" s="187"/>
    </row>
    <row r="2138" ht="12.75">
      <c r="A2138" s="187"/>
    </row>
    <row r="2139" ht="12.75">
      <c r="A2139" s="187"/>
    </row>
    <row r="2140" ht="12.75">
      <c r="A2140" s="187"/>
    </row>
    <row r="2141" ht="12.75">
      <c r="A2141" s="187"/>
    </row>
    <row r="2142" ht="12.75">
      <c r="A2142" s="187"/>
    </row>
    <row r="2143" ht="12.75">
      <c r="A2143" s="187"/>
    </row>
    <row r="2144" ht="12.75">
      <c r="A2144" s="187"/>
    </row>
    <row r="2145" ht="12.75">
      <c r="A2145" s="187"/>
    </row>
    <row r="2146" ht="12.75">
      <c r="A2146" s="187"/>
    </row>
    <row r="2147" ht="12.75">
      <c r="A2147" s="187"/>
    </row>
    <row r="2148" ht="12.75">
      <c r="A2148" s="187"/>
    </row>
    <row r="2149" ht="12.75">
      <c r="A2149" s="187"/>
    </row>
    <row r="2150" ht="12.75">
      <c r="A2150" s="187"/>
    </row>
    <row r="2151" ht="12.75">
      <c r="A2151" s="187"/>
    </row>
    <row r="2152" ht="12.75">
      <c r="A2152" s="187"/>
    </row>
    <row r="2153" ht="12.75">
      <c r="A2153" s="187"/>
    </row>
    <row r="2154" ht="12.75">
      <c r="A2154" s="187"/>
    </row>
    <row r="2155" ht="12.75">
      <c r="A2155" s="187"/>
    </row>
    <row r="2156" ht="12.75">
      <c r="A2156" s="187"/>
    </row>
    <row r="2157" ht="12.75">
      <c r="A2157" s="187"/>
    </row>
    <row r="2158" ht="12.75">
      <c r="A2158" s="187"/>
    </row>
    <row r="2159" ht="12.75">
      <c r="A2159" s="187"/>
    </row>
    <row r="2160" ht="12.75">
      <c r="A2160" s="187"/>
    </row>
    <row r="2161" ht="12.75">
      <c r="A2161" s="187"/>
    </row>
    <row r="2162" ht="12.75">
      <c r="A2162" s="187"/>
    </row>
    <row r="2163" ht="12.75">
      <c r="A2163" s="187"/>
    </row>
    <row r="2164" ht="12.75">
      <c r="A2164" s="187"/>
    </row>
    <row r="2165" ht="12.75">
      <c r="A2165" s="187"/>
    </row>
    <row r="2166" ht="12.75">
      <c r="A2166" s="187"/>
    </row>
    <row r="2167" ht="12.75">
      <c r="A2167" s="187"/>
    </row>
    <row r="2168" ht="12.75">
      <c r="A2168" s="187"/>
    </row>
    <row r="2169" ht="12.75">
      <c r="A2169" s="187"/>
    </row>
    <row r="2170" ht="12.75">
      <c r="A2170" s="187"/>
    </row>
    <row r="2171" ht="12.75">
      <c r="A2171" s="187"/>
    </row>
    <row r="2172" ht="12.75">
      <c r="A2172" s="187"/>
    </row>
    <row r="2173" ht="12.75">
      <c r="A2173" s="187"/>
    </row>
    <row r="2174" ht="12.75">
      <c r="A2174" s="187"/>
    </row>
    <row r="2175" ht="12.75">
      <c r="A2175" s="187"/>
    </row>
    <row r="2176" ht="12.75">
      <c r="A2176" s="187"/>
    </row>
    <row r="2177" ht="12.75">
      <c r="A2177" s="187"/>
    </row>
    <row r="2178" ht="12.75">
      <c r="A2178" s="187"/>
    </row>
    <row r="2179" ht="12.75">
      <c r="A2179" s="187"/>
    </row>
    <row r="2180" ht="12.75">
      <c r="A2180" s="187"/>
    </row>
    <row r="2181" ht="12.75">
      <c r="A2181" s="187"/>
    </row>
    <row r="2182" ht="12.75">
      <c r="A2182" s="187"/>
    </row>
    <row r="2183" ht="12.75">
      <c r="A2183" s="187"/>
    </row>
    <row r="2184" ht="12.75">
      <c r="A2184" s="187"/>
    </row>
    <row r="2185" ht="12.75">
      <c r="A2185" s="187"/>
    </row>
    <row r="2186" ht="12.75">
      <c r="A2186" s="187"/>
    </row>
    <row r="2187" ht="12.75">
      <c r="A2187" s="187"/>
    </row>
    <row r="2188" ht="12.75">
      <c r="A2188" s="187"/>
    </row>
    <row r="2189" ht="12.75">
      <c r="A2189" s="187"/>
    </row>
    <row r="2190" ht="12.75">
      <c r="A2190" s="187"/>
    </row>
    <row r="2191" ht="12.75">
      <c r="A2191" s="187"/>
    </row>
    <row r="2192" ht="12.75">
      <c r="A2192" s="187"/>
    </row>
    <row r="2193" ht="12.75">
      <c r="A2193" s="187"/>
    </row>
    <row r="2194" ht="12.75">
      <c r="A2194" s="187"/>
    </row>
    <row r="2195" ht="12.75">
      <c r="A2195" s="187"/>
    </row>
    <row r="2196" ht="12.75">
      <c r="A2196" s="187"/>
    </row>
    <row r="2197" ht="12.75">
      <c r="A2197" s="187"/>
    </row>
    <row r="2198" ht="12.75">
      <c r="A2198" s="187"/>
    </row>
    <row r="2199" ht="12.75">
      <c r="A2199" s="187"/>
    </row>
    <row r="2200" ht="12.75">
      <c r="A2200" s="187"/>
    </row>
    <row r="2201" ht="12.75">
      <c r="A2201" s="187"/>
    </row>
    <row r="2202" ht="12.75">
      <c r="A2202" s="187"/>
    </row>
    <row r="2203" ht="12.75">
      <c r="A2203" s="187"/>
    </row>
    <row r="2204" ht="12.75">
      <c r="A2204" s="187"/>
    </row>
    <row r="2205" ht="12.75">
      <c r="A2205" s="187"/>
    </row>
    <row r="2206" ht="12.75">
      <c r="A2206" s="187"/>
    </row>
    <row r="2207" ht="12.75">
      <c r="A2207" s="187"/>
    </row>
    <row r="2208" ht="12.75">
      <c r="A2208" s="187"/>
    </row>
    <row r="2209" ht="12.75">
      <c r="A2209" s="187"/>
    </row>
    <row r="2210" ht="12.75">
      <c r="A2210" s="187"/>
    </row>
    <row r="2211" ht="12.75">
      <c r="A2211" s="187"/>
    </row>
    <row r="2212" ht="12.75">
      <c r="A2212" s="187"/>
    </row>
    <row r="2213" ht="12.75">
      <c r="A2213" s="187"/>
    </row>
    <row r="2214" ht="12.75">
      <c r="A2214" s="187"/>
    </row>
    <row r="2215" ht="12.75">
      <c r="A2215" s="187"/>
    </row>
    <row r="2216" ht="12.75">
      <c r="A2216" s="187"/>
    </row>
    <row r="2217" ht="12.75">
      <c r="A2217" s="187"/>
    </row>
    <row r="2218" ht="12.75">
      <c r="A2218" s="187"/>
    </row>
    <row r="2219" ht="12.75">
      <c r="A2219" s="187"/>
    </row>
    <row r="2220" ht="12.75">
      <c r="A2220" s="187"/>
    </row>
    <row r="2221" ht="12.75">
      <c r="A2221" s="187"/>
    </row>
    <row r="2222" ht="12.75">
      <c r="A2222" s="187"/>
    </row>
    <row r="2223" ht="12.75">
      <c r="A2223" s="187"/>
    </row>
    <row r="2224" ht="12.75">
      <c r="A2224" s="187"/>
    </row>
    <row r="2225" ht="12.75">
      <c r="A2225" s="187"/>
    </row>
    <row r="2226" ht="12.75">
      <c r="A2226" s="187"/>
    </row>
    <row r="2227" ht="12.75">
      <c r="A2227" s="187"/>
    </row>
    <row r="2228" ht="12.75">
      <c r="A2228" s="187"/>
    </row>
    <row r="2229" ht="12.75">
      <c r="A2229" s="187"/>
    </row>
    <row r="2230" ht="12.75">
      <c r="A2230" s="187"/>
    </row>
    <row r="2231" ht="12.75">
      <c r="A2231" s="187"/>
    </row>
    <row r="2232" ht="12.75">
      <c r="A2232" s="187"/>
    </row>
    <row r="2233" ht="12.75">
      <c r="A2233" s="187"/>
    </row>
    <row r="2234" ht="12.75">
      <c r="A2234" s="187"/>
    </row>
    <row r="2235" ht="12.75">
      <c r="A2235" s="187"/>
    </row>
    <row r="2236" ht="12.75">
      <c r="A2236" s="187"/>
    </row>
    <row r="2237" ht="12.75">
      <c r="A2237" s="187"/>
    </row>
    <row r="2238" ht="12.75">
      <c r="A2238" s="187"/>
    </row>
    <row r="2239" ht="12.75">
      <c r="A2239" s="187"/>
    </row>
    <row r="2240" ht="12.75">
      <c r="A2240" s="187"/>
    </row>
    <row r="2241" ht="12.75">
      <c r="A2241" s="187"/>
    </row>
    <row r="2242" ht="12.75">
      <c r="A2242" s="187"/>
    </row>
    <row r="2243" ht="12.75">
      <c r="A2243" s="187"/>
    </row>
    <row r="2244" ht="12.75">
      <c r="A2244" s="187"/>
    </row>
    <row r="2245" ht="12.75">
      <c r="A2245" s="187"/>
    </row>
    <row r="2246" ht="12.75">
      <c r="A2246" s="187"/>
    </row>
    <row r="2247" ht="12.75">
      <c r="A2247" s="187"/>
    </row>
    <row r="2248" ht="12.75">
      <c r="A2248" s="187"/>
    </row>
    <row r="2249" ht="12.75">
      <c r="A2249" s="187"/>
    </row>
    <row r="2250" ht="12.75">
      <c r="A2250" s="187"/>
    </row>
    <row r="2251" ht="12.75">
      <c r="A2251" s="187"/>
    </row>
    <row r="2252" ht="12.75">
      <c r="A2252" s="187"/>
    </row>
    <row r="2253" ht="12.75">
      <c r="A2253" s="187"/>
    </row>
    <row r="2254" ht="12.75">
      <c r="A2254" s="187"/>
    </row>
    <row r="2255" ht="12.75">
      <c r="A2255" s="187"/>
    </row>
    <row r="2256" ht="12.75">
      <c r="A2256" s="187"/>
    </row>
    <row r="2257" ht="12.75">
      <c r="A2257" s="187"/>
    </row>
    <row r="2258" ht="12.75">
      <c r="A2258" s="187"/>
    </row>
    <row r="2259" ht="12.75">
      <c r="A2259" s="187"/>
    </row>
    <row r="2260" ht="12.75">
      <c r="A2260" s="187"/>
    </row>
    <row r="2261" ht="12.75">
      <c r="A2261" s="187"/>
    </row>
    <row r="2262" ht="12.75">
      <c r="A2262" s="187"/>
    </row>
    <row r="2263" ht="12.75">
      <c r="A2263" s="187"/>
    </row>
    <row r="2264" ht="12.75">
      <c r="A2264" s="187"/>
    </row>
    <row r="2265" ht="12.75">
      <c r="A2265" s="187"/>
    </row>
    <row r="2266" ht="12.75">
      <c r="A2266" s="187"/>
    </row>
    <row r="2267" ht="12.75">
      <c r="A2267" s="187"/>
    </row>
    <row r="2268" ht="12.75">
      <c r="A2268" s="187"/>
    </row>
    <row r="2269" ht="12.75">
      <c r="A2269" s="187"/>
    </row>
    <row r="2270" ht="12.75">
      <c r="A2270" s="187"/>
    </row>
    <row r="2271" ht="12.75">
      <c r="A2271" s="187"/>
    </row>
    <row r="2272" ht="12.75">
      <c r="A2272" s="187"/>
    </row>
    <row r="2273" ht="12.75">
      <c r="A2273" s="187"/>
    </row>
    <row r="2274" ht="12.75">
      <c r="A2274" s="187"/>
    </row>
    <row r="2275" ht="12.75">
      <c r="A2275" s="187"/>
    </row>
    <row r="2276" ht="12.75">
      <c r="A2276" s="187"/>
    </row>
    <row r="2277" ht="12.75">
      <c r="A2277" s="187"/>
    </row>
    <row r="2278" ht="12.75">
      <c r="A2278" s="187"/>
    </row>
    <row r="2279" ht="12.75">
      <c r="A2279" s="187"/>
    </row>
    <row r="2280" ht="12.75">
      <c r="A2280" s="187"/>
    </row>
    <row r="2281" ht="12.75">
      <c r="A2281" s="187"/>
    </row>
    <row r="2282" ht="12.75">
      <c r="A2282" s="187"/>
    </row>
    <row r="2283" ht="12.75">
      <c r="A2283" s="187"/>
    </row>
    <row r="2284" ht="12.75">
      <c r="A2284" s="187"/>
    </row>
    <row r="2285" ht="12.75">
      <c r="A2285" s="187"/>
    </row>
    <row r="2286" ht="12.75">
      <c r="A2286" s="187"/>
    </row>
    <row r="2287" ht="12.75">
      <c r="A2287" s="187"/>
    </row>
    <row r="2288" ht="12.75">
      <c r="A2288" s="187"/>
    </row>
    <row r="2289" ht="12.75">
      <c r="A2289" s="187"/>
    </row>
    <row r="2290" ht="12.75">
      <c r="A2290" s="187"/>
    </row>
    <row r="2291" ht="12.75">
      <c r="A2291" s="187"/>
    </row>
    <row r="2292" ht="12.75">
      <c r="A2292" s="187"/>
    </row>
    <row r="2293" ht="12.75">
      <c r="A2293" s="187"/>
    </row>
    <row r="2294" ht="12.75">
      <c r="A2294" s="187"/>
    </row>
    <row r="2295" ht="12.75">
      <c r="A2295" s="187"/>
    </row>
    <row r="2296" ht="12.75">
      <c r="A2296" s="187"/>
    </row>
    <row r="2297" ht="12.75">
      <c r="A2297" s="187"/>
    </row>
    <row r="2298" ht="12.75">
      <c r="A2298" s="187"/>
    </row>
    <row r="2299" ht="12.75">
      <c r="A2299" s="187"/>
    </row>
    <row r="2300" ht="12.75">
      <c r="A2300" s="187"/>
    </row>
    <row r="2301" ht="12.75">
      <c r="A2301" s="187"/>
    </row>
    <row r="2302" ht="12.75">
      <c r="A2302" s="187"/>
    </row>
    <row r="2303" ht="12.75">
      <c r="A2303" s="187"/>
    </row>
    <row r="2304" ht="12.75">
      <c r="A2304" s="187"/>
    </row>
    <row r="2305" ht="12.75">
      <c r="A2305" s="187"/>
    </row>
    <row r="2306" ht="12.75">
      <c r="A2306" s="187"/>
    </row>
    <row r="2307" ht="12.75">
      <c r="A2307" s="187"/>
    </row>
    <row r="2308" ht="12.75">
      <c r="A2308" s="187"/>
    </row>
    <row r="2309" ht="12.75">
      <c r="A2309" s="187"/>
    </row>
    <row r="2310" ht="12.75">
      <c r="A2310" s="187"/>
    </row>
    <row r="2311" ht="12.75">
      <c r="A2311" s="187"/>
    </row>
    <row r="2312" ht="12.75">
      <c r="A2312" s="187"/>
    </row>
    <row r="2313" ht="12.75">
      <c r="A2313" s="187"/>
    </row>
    <row r="2314" ht="12.75">
      <c r="A2314" s="187"/>
    </row>
    <row r="2315" ht="12.75">
      <c r="A2315" s="187"/>
    </row>
    <row r="2316" ht="12.75">
      <c r="A2316" s="187"/>
    </row>
    <row r="2317" ht="12.75">
      <c r="A2317" s="187"/>
    </row>
    <row r="2318" ht="12.75">
      <c r="A2318" s="187"/>
    </row>
    <row r="2319" ht="12.75">
      <c r="A2319" s="187"/>
    </row>
    <row r="2320" ht="12.75">
      <c r="A2320" s="187"/>
    </row>
    <row r="2321" ht="12.75">
      <c r="A2321" s="187"/>
    </row>
    <row r="2322" ht="12.75">
      <c r="A2322" s="187"/>
    </row>
    <row r="2323" ht="12.75">
      <c r="A2323" s="187"/>
    </row>
    <row r="2324" ht="12.75">
      <c r="A2324" s="187"/>
    </row>
    <row r="2325" ht="12.75">
      <c r="A2325" s="187"/>
    </row>
    <row r="2326" ht="12.75">
      <c r="A2326" s="187"/>
    </row>
    <row r="2327" ht="12.75">
      <c r="A2327" s="187"/>
    </row>
    <row r="2328" ht="12.75">
      <c r="A2328" s="187"/>
    </row>
    <row r="2329" ht="12.75">
      <c r="A2329" s="187"/>
    </row>
    <row r="2330" ht="12.75">
      <c r="A2330" s="187"/>
    </row>
    <row r="2331" ht="12.75">
      <c r="A2331" s="187"/>
    </row>
    <row r="2332" ht="12.75">
      <c r="A2332" s="187"/>
    </row>
    <row r="2333" ht="12.75">
      <c r="A2333" s="187"/>
    </row>
    <row r="2334" ht="12.75">
      <c r="A2334" s="187"/>
    </row>
    <row r="2335" ht="12.75">
      <c r="A2335" s="187"/>
    </row>
    <row r="2336" ht="12.75">
      <c r="A2336" s="187"/>
    </row>
    <row r="2337" ht="12.75">
      <c r="A2337" s="187"/>
    </row>
    <row r="2338" ht="12.75">
      <c r="A2338" s="187"/>
    </row>
    <row r="2339" ht="12.75">
      <c r="A2339" s="187"/>
    </row>
    <row r="2340" ht="12.75">
      <c r="A2340" s="187"/>
    </row>
    <row r="2341" ht="12.75">
      <c r="A2341" s="187"/>
    </row>
    <row r="2342" ht="12.75">
      <c r="A2342" s="187"/>
    </row>
    <row r="2343" ht="12.75">
      <c r="A2343" s="187"/>
    </row>
    <row r="2344" ht="12.75">
      <c r="A2344" s="187"/>
    </row>
    <row r="2345" ht="12.75">
      <c r="A2345" s="187"/>
    </row>
    <row r="2346" ht="12.75">
      <c r="A2346" s="187"/>
    </row>
    <row r="2347" ht="12.75">
      <c r="A2347" s="187"/>
    </row>
    <row r="2348" ht="12.75">
      <c r="A2348" s="187"/>
    </row>
    <row r="2349" ht="12.75">
      <c r="A2349" s="187"/>
    </row>
    <row r="2350" ht="12.75">
      <c r="A2350" s="187"/>
    </row>
    <row r="2351" ht="12.75">
      <c r="A2351" s="187"/>
    </row>
    <row r="2352" ht="12.75">
      <c r="A2352" s="187"/>
    </row>
    <row r="2353" ht="12.75">
      <c r="A2353" s="187"/>
    </row>
    <row r="2354" ht="12.75">
      <c r="A2354" s="187"/>
    </row>
    <row r="2355" ht="12.75">
      <c r="A2355" s="187"/>
    </row>
    <row r="2356" ht="12.75">
      <c r="A2356" s="187"/>
    </row>
    <row r="2357" ht="12.75">
      <c r="A2357" s="187"/>
    </row>
    <row r="2358" ht="12.75">
      <c r="A2358" s="187"/>
    </row>
    <row r="2359" ht="12.75">
      <c r="A2359" s="187"/>
    </row>
    <row r="2360" ht="12.75">
      <c r="A2360" s="187"/>
    </row>
    <row r="2361" ht="12.75">
      <c r="A2361" s="187"/>
    </row>
    <row r="2362" ht="12.75">
      <c r="A2362" s="187"/>
    </row>
    <row r="2363" ht="12.75">
      <c r="A2363" s="187"/>
    </row>
    <row r="2364" ht="12.75">
      <c r="A2364" s="187"/>
    </row>
    <row r="2365" ht="12.75">
      <c r="A2365" s="187"/>
    </row>
    <row r="2366" ht="12.75">
      <c r="A2366" s="187"/>
    </row>
    <row r="2367" ht="12.75">
      <c r="A2367" s="187"/>
    </row>
    <row r="2368" ht="12.75">
      <c r="A2368" s="187"/>
    </row>
    <row r="2369" ht="12.75">
      <c r="A2369" s="187"/>
    </row>
    <row r="2370" ht="12.75">
      <c r="A2370" s="187"/>
    </row>
    <row r="2371" ht="12.75">
      <c r="A2371" s="187"/>
    </row>
    <row r="2372" ht="12.75">
      <c r="A2372" s="187"/>
    </row>
    <row r="2373" ht="12.75">
      <c r="A2373" s="187"/>
    </row>
    <row r="2374" ht="12.75">
      <c r="A2374" s="187"/>
    </row>
    <row r="2375" ht="12.75">
      <c r="A2375" s="187"/>
    </row>
    <row r="2376" ht="12.75">
      <c r="A2376" s="187"/>
    </row>
    <row r="2377" ht="12.75">
      <c r="A2377" s="187"/>
    </row>
    <row r="2378" ht="12.75">
      <c r="A2378" s="187"/>
    </row>
    <row r="2379" ht="12.75">
      <c r="A2379" s="187"/>
    </row>
    <row r="2380" ht="12.75">
      <c r="A2380" s="187"/>
    </row>
    <row r="2381" ht="12.75">
      <c r="A2381" s="187"/>
    </row>
    <row r="2382" ht="12.75">
      <c r="A2382" s="187"/>
    </row>
    <row r="2383" ht="12.75">
      <c r="A2383" s="187"/>
    </row>
    <row r="2384" ht="12.75">
      <c r="A2384" s="187"/>
    </row>
    <row r="2385" ht="12.75">
      <c r="A2385" s="187"/>
    </row>
    <row r="2386" ht="12.75">
      <c r="A2386" s="187"/>
    </row>
    <row r="2387" ht="12.75">
      <c r="A2387" s="187"/>
    </row>
    <row r="2388" ht="12.75">
      <c r="A2388" s="187"/>
    </row>
    <row r="2389" ht="12.75">
      <c r="A2389" s="187"/>
    </row>
    <row r="2390" ht="12.75">
      <c r="A2390" s="187"/>
    </row>
    <row r="2391" ht="12.75">
      <c r="A2391" s="187"/>
    </row>
    <row r="2392" ht="12.75">
      <c r="A2392" s="187"/>
    </row>
    <row r="2393" ht="12.75">
      <c r="A2393" s="187"/>
    </row>
    <row r="2394" ht="12.75">
      <c r="A2394" s="187"/>
    </row>
    <row r="2395" ht="12.75">
      <c r="A2395" s="187"/>
    </row>
    <row r="2396" ht="12.75">
      <c r="A2396" s="187"/>
    </row>
    <row r="2397" ht="12.75">
      <c r="A2397" s="187"/>
    </row>
    <row r="2398" ht="12.75">
      <c r="A2398" s="187"/>
    </row>
    <row r="2399" ht="12.75">
      <c r="A2399" s="187"/>
    </row>
    <row r="2400" ht="12.75">
      <c r="A2400" s="187"/>
    </row>
    <row r="2401" ht="12.75">
      <c r="A2401" s="187"/>
    </row>
    <row r="2402" ht="12.75">
      <c r="A2402" s="187"/>
    </row>
    <row r="2403" ht="12.75">
      <c r="A2403" s="187"/>
    </row>
    <row r="2404" ht="12.75">
      <c r="A2404" s="187"/>
    </row>
    <row r="2405" ht="12.75">
      <c r="A2405" s="187"/>
    </row>
    <row r="2406" ht="12.75">
      <c r="A2406" s="187"/>
    </row>
    <row r="2407" ht="12.75">
      <c r="A2407" s="187"/>
    </row>
    <row r="2408" ht="12.75">
      <c r="A2408" s="187"/>
    </row>
    <row r="2409" ht="12.75">
      <c r="A2409" s="187"/>
    </row>
    <row r="2410" ht="12.75">
      <c r="A2410" s="187"/>
    </row>
    <row r="2411" ht="12.75">
      <c r="A2411" s="187"/>
    </row>
    <row r="2412" ht="12.75">
      <c r="A2412" s="187"/>
    </row>
    <row r="2413" ht="12.75">
      <c r="A2413" s="187"/>
    </row>
    <row r="2414" ht="12.75">
      <c r="A2414" s="187"/>
    </row>
    <row r="2415" ht="12.75">
      <c r="A2415" s="187"/>
    </row>
    <row r="2416" ht="12.75">
      <c r="A2416" s="187"/>
    </row>
    <row r="2417" ht="12.75">
      <c r="A2417" s="187"/>
    </row>
    <row r="2418" ht="12.75">
      <c r="A2418" s="187"/>
    </row>
    <row r="2419" ht="12.75">
      <c r="A2419" s="187"/>
    </row>
    <row r="2420" ht="12.75">
      <c r="A2420" s="187"/>
    </row>
    <row r="2421" ht="12.75">
      <c r="A2421" s="187"/>
    </row>
    <row r="2422" ht="12.75">
      <c r="A2422" s="187"/>
    </row>
    <row r="2423" ht="12.75">
      <c r="A2423" s="187"/>
    </row>
    <row r="2424" ht="12.75">
      <c r="A2424" s="187"/>
    </row>
    <row r="2425" ht="12.75">
      <c r="A2425" s="187"/>
    </row>
    <row r="2426" ht="12.75">
      <c r="A2426" s="187"/>
    </row>
    <row r="2427" ht="12.75">
      <c r="A2427" s="187"/>
    </row>
    <row r="2428" ht="12.75">
      <c r="A2428" s="187"/>
    </row>
    <row r="2429" ht="12.75">
      <c r="A2429" s="187"/>
    </row>
    <row r="2430" ht="12.75">
      <c r="A2430" s="187"/>
    </row>
    <row r="2431" ht="12.75">
      <c r="A2431" s="187"/>
    </row>
    <row r="2432" ht="12.75">
      <c r="A2432" s="187"/>
    </row>
    <row r="2433" ht="12.75">
      <c r="A2433" s="187"/>
    </row>
    <row r="2434" ht="12.75">
      <c r="A2434" s="187"/>
    </row>
    <row r="2435" ht="12.75">
      <c r="A2435" s="187"/>
    </row>
    <row r="2436" ht="12.75">
      <c r="A2436" s="187"/>
    </row>
    <row r="2437" ht="12.75">
      <c r="A2437" s="187"/>
    </row>
    <row r="2438" ht="12.75">
      <c r="A2438" s="187"/>
    </row>
    <row r="2439" ht="12.75">
      <c r="A2439" s="187"/>
    </row>
    <row r="2440" ht="12.75">
      <c r="A2440" s="187"/>
    </row>
    <row r="2441" ht="12.75">
      <c r="A2441" s="187"/>
    </row>
    <row r="2442" ht="12.75">
      <c r="A2442" s="187"/>
    </row>
    <row r="2443" ht="12.75">
      <c r="A2443" s="187"/>
    </row>
    <row r="2444" ht="12.75">
      <c r="A2444" s="187"/>
    </row>
    <row r="2445" ht="12.75">
      <c r="A2445" s="187"/>
    </row>
    <row r="2446" ht="12.75">
      <c r="A2446" s="187"/>
    </row>
    <row r="2447" ht="12.75">
      <c r="A2447" s="187"/>
    </row>
    <row r="2448" ht="12.75">
      <c r="A2448" s="187"/>
    </row>
    <row r="2449" ht="12.75">
      <c r="A2449" s="187"/>
    </row>
    <row r="2450" ht="12.75">
      <c r="A2450" s="187"/>
    </row>
    <row r="2451" ht="12.75">
      <c r="A2451" s="187"/>
    </row>
    <row r="2452" ht="12.75">
      <c r="A2452" s="187"/>
    </row>
    <row r="2453" ht="12.75">
      <c r="A2453" s="187"/>
    </row>
    <row r="2454" ht="12.75">
      <c r="A2454" s="187"/>
    </row>
    <row r="2455" ht="12.75">
      <c r="A2455" s="187"/>
    </row>
    <row r="2456" ht="12.75">
      <c r="A2456" s="187"/>
    </row>
    <row r="2457" ht="12.75">
      <c r="A2457" s="187"/>
    </row>
    <row r="2458" ht="12.75">
      <c r="A2458" s="187"/>
    </row>
    <row r="2459" ht="12.75">
      <c r="A2459" s="187"/>
    </row>
    <row r="2460" ht="12.75">
      <c r="A2460" s="187"/>
    </row>
    <row r="2461" ht="12.75">
      <c r="A2461" s="187"/>
    </row>
    <row r="2462" ht="12.75">
      <c r="A2462" s="187"/>
    </row>
    <row r="2463" ht="12.75">
      <c r="A2463" s="187"/>
    </row>
    <row r="2464" ht="12.75">
      <c r="A2464" s="187"/>
    </row>
    <row r="2465" ht="12.75">
      <c r="A2465" s="187"/>
    </row>
    <row r="2466" ht="12.75">
      <c r="A2466" s="187"/>
    </row>
    <row r="2467" ht="12.75">
      <c r="A2467" s="187"/>
    </row>
    <row r="2468" ht="12.75">
      <c r="A2468" s="187"/>
    </row>
    <row r="2469" ht="12.75">
      <c r="A2469" s="187"/>
    </row>
    <row r="2470" ht="12.75">
      <c r="A2470" s="187"/>
    </row>
    <row r="2471" ht="12.75">
      <c r="A2471" s="187"/>
    </row>
    <row r="2472" ht="12.75">
      <c r="A2472" s="187"/>
    </row>
    <row r="2473" ht="12.75">
      <c r="A2473" s="187"/>
    </row>
    <row r="2474" ht="12.75">
      <c r="A2474" s="187"/>
    </row>
    <row r="2475" ht="12.75">
      <c r="A2475" s="187"/>
    </row>
    <row r="2476" ht="12.75">
      <c r="A2476" s="187"/>
    </row>
    <row r="2477" ht="12.75">
      <c r="A2477" s="187"/>
    </row>
    <row r="2478" ht="12.75">
      <c r="A2478" s="187"/>
    </row>
    <row r="2479" ht="12.75">
      <c r="A2479" s="187"/>
    </row>
    <row r="2480" ht="12.75">
      <c r="A2480" s="187"/>
    </row>
    <row r="2481" ht="12.75">
      <c r="A2481" s="187"/>
    </row>
    <row r="2482" ht="12.75">
      <c r="A2482" s="187"/>
    </row>
    <row r="2483" ht="12.75">
      <c r="A2483" s="187"/>
    </row>
    <row r="2484" ht="12.75">
      <c r="A2484" s="187"/>
    </row>
    <row r="2485" ht="12.75">
      <c r="A2485" s="187"/>
    </row>
    <row r="2486" ht="12.75">
      <c r="A2486" s="187"/>
    </row>
    <row r="2487" ht="12.75">
      <c r="A2487" s="187"/>
    </row>
    <row r="2488" ht="12.75">
      <c r="A2488" s="187"/>
    </row>
    <row r="2489" ht="12.75">
      <c r="A2489" s="187"/>
    </row>
    <row r="2490" ht="12.75">
      <c r="A2490" s="187"/>
    </row>
    <row r="2491" ht="12.75">
      <c r="A2491" s="187"/>
    </row>
    <row r="2492" ht="12.75">
      <c r="A2492" s="187"/>
    </row>
    <row r="2493" ht="12.75">
      <c r="A2493" s="187"/>
    </row>
    <row r="2494" ht="12.75">
      <c r="A2494" s="187"/>
    </row>
    <row r="2495" ht="12.75">
      <c r="A2495" s="187"/>
    </row>
    <row r="2496" ht="12.75">
      <c r="A2496" s="187"/>
    </row>
    <row r="2497" ht="12.75">
      <c r="A2497" s="187"/>
    </row>
    <row r="2498" ht="12.75">
      <c r="A2498" s="187"/>
    </row>
    <row r="2499" ht="12.75">
      <c r="A2499" s="187"/>
    </row>
    <row r="2500" ht="12.75">
      <c r="A2500" s="187"/>
    </row>
    <row r="2501" ht="12.75">
      <c r="A2501" s="187"/>
    </row>
    <row r="2502" ht="12.75">
      <c r="A2502" s="187"/>
    </row>
    <row r="2503" ht="12.75">
      <c r="A2503" s="187"/>
    </row>
    <row r="2504" ht="12.75">
      <c r="A2504" s="187"/>
    </row>
    <row r="2505" ht="12.75">
      <c r="A2505" s="187"/>
    </row>
    <row r="2506" ht="12.75">
      <c r="A2506" s="187"/>
    </row>
    <row r="2507" ht="12.75">
      <c r="A2507" s="187"/>
    </row>
    <row r="2508" ht="12.75">
      <c r="A2508" s="187"/>
    </row>
    <row r="2509" ht="12.75">
      <c r="A2509" s="187"/>
    </row>
    <row r="2510" ht="12.75">
      <c r="A2510" s="187"/>
    </row>
    <row r="2511" ht="12.75">
      <c r="A2511" s="187"/>
    </row>
    <row r="2512" ht="12.75">
      <c r="A2512" s="187"/>
    </row>
    <row r="2513" ht="12.75">
      <c r="A2513" s="187"/>
    </row>
    <row r="2514" ht="12.75">
      <c r="A2514" s="187"/>
    </row>
    <row r="2515" ht="12.75">
      <c r="A2515" s="187"/>
    </row>
    <row r="2516" ht="12.75">
      <c r="A2516" s="187"/>
    </row>
    <row r="2517" ht="12.75">
      <c r="A2517" s="187"/>
    </row>
    <row r="2518" ht="12.75">
      <c r="A2518" s="187"/>
    </row>
    <row r="2519" ht="12.75">
      <c r="A2519" s="187"/>
    </row>
    <row r="2520" ht="12.75">
      <c r="A2520" s="187"/>
    </row>
    <row r="2521" ht="12.75">
      <c r="A2521" s="187"/>
    </row>
    <row r="2522" ht="12.75">
      <c r="A2522" s="187"/>
    </row>
    <row r="2523" ht="12.75">
      <c r="A2523" s="187"/>
    </row>
    <row r="2524" ht="12.75">
      <c r="A2524" s="187"/>
    </row>
    <row r="2525" ht="12.75">
      <c r="A2525" s="187"/>
    </row>
    <row r="2526" ht="12.75">
      <c r="A2526" s="187"/>
    </row>
    <row r="2527" ht="12.75">
      <c r="A2527" s="187"/>
    </row>
    <row r="2528" ht="12.75">
      <c r="A2528" s="187"/>
    </row>
    <row r="2529" ht="12.75">
      <c r="A2529" s="187"/>
    </row>
    <row r="2530" ht="12.75">
      <c r="A2530" s="187"/>
    </row>
    <row r="2531" ht="12.75">
      <c r="A2531" s="187"/>
    </row>
    <row r="2532" ht="12.75">
      <c r="A2532" s="187"/>
    </row>
    <row r="2533" ht="12.75">
      <c r="A2533" s="187"/>
    </row>
    <row r="2534" ht="12.75">
      <c r="A2534" s="187"/>
    </row>
    <row r="2535" ht="12.75">
      <c r="A2535" s="187"/>
    </row>
    <row r="2536" ht="12.75">
      <c r="A2536" s="187"/>
    </row>
    <row r="2537" ht="12.75">
      <c r="A2537" s="187"/>
    </row>
    <row r="2538" ht="12.75">
      <c r="A2538" s="187"/>
    </row>
    <row r="2539" ht="12.75">
      <c r="A2539" s="187"/>
    </row>
    <row r="2540" ht="12.75">
      <c r="A2540" s="187"/>
    </row>
    <row r="2541" ht="12.75">
      <c r="A2541" s="187"/>
    </row>
    <row r="2542" ht="12.75">
      <c r="A2542" s="187"/>
    </row>
    <row r="2543" ht="12.75">
      <c r="A2543" s="187"/>
    </row>
    <row r="2544" ht="12.75">
      <c r="A2544" s="187"/>
    </row>
    <row r="2545" ht="12.75">
      <c r="A2545" s="187"/>
    </row>
    <row r="2546" ht="12.75">
      <c r="A2546" s="187"/>
    </row>
    <row r="2547" ht="12.75">
      <c r="A2547" s="187"/>
    </row>
    <row r="2548" ht="12.75">
      <c r="A2548" s="187"/>
    </row>
    <row r="2549" ht="12.75">
      <c r="A2549" s="187"/>
    </row>
    <row r="2550" ht="12.75">
      <c r="A2550" s="187"/>
    </row>
    <row r="2551" ht="12.75">
      <c r="A2551" s="187"/>
    </row>
    <row r="2552" ht="12.75">
      <c r="A2552" s="187"/>
    </row>
    <row r="2553" ht="12.75">
      <c r="A2553" s="187"/>
    </row>
    <row r="2554" ht="12.75">
      <c r="A2554" s="187"/>
    </row>
    <row r="2555" ht="12.75">
      <c r="A2555" s="187"/>
    </row>
    <row r="2556" ht="12.75">
      <c r="A2556" s="187"/>
    </row>
    <row r="2557" ht="12.75">
      <c r="A2557" s="187"/>
    </row>
    <row r="2558" ht="12.75">
      <c r="A2558" s="187"/>
    </row>
    <row r="2559" ht="12.75">
      <c r="A2559" s="187"/>
    </row>
    <row r="2560" ht="12.75">
      <c r="A2560" s="187"/>
    </row>
    <row r="2561" ht="12.75">
      <c r="A2561" s="187"/>
    </row>
    <row r="2562" ht="12.75">
      <c r="A2562" s="187"/>
    </row>
    <row r="2563" ht="12.75">
      <c r="A2563" s="187"/>
    </row>
    <row r="2564" ht="12.75">
      <c r="A2564" s="187"/>
    </row>
    <row r="2565" ht="12.75">
      <c r="A2565" s="187"/>
    </row>
    <row r="2566" ht="12.75">
      <c r="A2566" s="187"/>
    </row>
    <row r="2567" ht="12.75">
      <c r="A2567" s="187"/>
    </row>
    <row r="2568" ht="12.75">
      <c r="A2568" s="187"/>
    </row>
    <row r="2569" ht="12.75">
      <c r="A2569" s="187"/>
    </row>
    <row r="2570" ht="12.75">
      <c r="A2570" s="187"/>
    </row>
    <row r="2571" ht="12.75">
      <c r="A2571" s="187"/>
    </row>
    <row r="2572" ht="12.75">
      <c r="A2572" s="187"/>
    </row>
    <row r="2573" ht="12.75">
      <c r="A2573" s="187"/>
    </row>
    <row r="2574" ht="12.75">
      <c r="A2574" s="187"/>
    </row>
    <row r="2575" ht="12.75">
      <c r="A2575" s="187"/>
    </row>
    <row r="2576" ht="12.75">
      <c r="A2576" s="187"/>
    </row>
    <row r="2577" ht="12.75">
      <c r="A2577" s="187"/>
    </row>
    <row r="2578" ht="12.75">
      <c r="A2578" s="187"/>
    </row>
    <row r="2579" ht="12.75">
      <c r="A2579" s="187"/>
    </row>
    <row r="2580" ht="12.75">
      <c r="A2580" s="187"/>
    </row>
    <row r="2581" ht="12.75">
      <c r="A2581" s="187"/>
    </row>
    <row r="2582" ht="12.75">
      <c r="A2582" s="187"/>
    </row>
    <row r="2583" ht="12.75">
      <c r="A2583" s="187"/>
    </row>
    <row r="2584" ht="12.75">
      <c r="A2584" s="187"/>
    </row>
    <row r="2585" ht="12.75">
      <c r="A2585" s="187"/>
    </row>
    <row r="2586" ht="12.75">
      <c r="A2586" s="187"/>
    </row>
    <row r="2587" ht="12.75">
      <c r="A2587" s="187"/>
    </row>
    <row r="2588" ht="12.75">
      <c r="A2588" s="187"/>
    </row>
    <row r="2589" ht="12.75">
      <c r="A2589" s="187"/>
    </row>
    <row r="2590" ht="12.75">
      <c r="A2590" s="187"/>
    </row>
    <row r="2591" ht="12.75">
      <c r="A2591" s="187"/>
    </row>
    <row r="2592" ht="12.75">
      <c r="A2592" s="187"/>
    </row>
    <row r="2593" ht="12.75">
      <c r="A2593" s="187"/>
    </row>
    <row r="2594" ht="12.75">
      <c r="A2594" s="187"/>
    </row>
    <row r="2595" ht="12.75">
      <c r="A2595" s="187"/>
    </row>
    <row r="2596" ht="12.75">
      <c r="A2596" s="187"/>
    </row>
    <row r="2597" ht="12.75">
      <c r="A2597" s="187"/>
    </row>
    <row r="2598" ht="12.75">
      <c r="A2598" s="187"/>
    </row>
    <row r="2599" ht="12.75">
      <c r="A2599" s="187"/>
    </row>
    <row r="2600" ht="12.75">
      <c r="A2600" s="187"/>
    </row>
    <row r="2601" ht="12.75">
      <c r="A2601" s="187"/>
    </row>
    <row r="2602" ht="12.75">
      <c r="A2602" s="187"/>
    </row>
    <row r="2603" ht="12.75">
      <c r="A2603" s="187"/>
    </row>
    <row r="2604" ht="12.75">
      <c r="A2604" s="187"/>
    </row>
    <row r="2605" ht="12.75">
      <c r="A2605" s="187"/>
    </row>
    <row r="2606" ht="12.75">
      <c r="A2606" s="187"/>
    </row>
    <row r="2607" ht="12.75">
      <c r="A2607" s="187"/>
    </row>
    <row r="2608" ht="12.75">
      <c r="A2608" s="187"/>
    </row>
    <row r="2609" ht="12.75">
      <c r="A2609" s="187"/>
    </row>
    <row r="2610" ht="12.75">
      <c r="A2610" s="187"/>
    </row>
    <row r="2611" ht="12.75">
      <c r="A2611" s="187"/>
    </row>
    <row r="2612" ht="12.75">
      <c r="A2612" s="187"/>
    </row>
    <row r="2613" ht="12.75">
      <c r="A2613" s="187"/>
    </row>
    <row r="2614" ht="12.75">
      <c r="A2614" s="187"/>
    </row>
    <row r="2615" ht="12.75">
      <c r="A2615" s="187"/>
    </row>
    <row r="2616" ht="12.75">
      <c r="A2616" s="187"/>
    </row>
    <row r="2617" ht="12.75">
      <c r="A2617" s="187"/>
    </row>
    <row r="2618" ht="12.75">
      <c r="A2618" s="187"/>
    </row>
    <row r="2619" ht="12.75">
      <c r="A2619" s="187"/>
    </row>
    <row r="2620" ht="12.75">
      <c r="A2620" s="187"/>
    </row>
    <row r="2621" ht="12.75">
      <c r="A2621" s="187"/>
    </row>
    <row r="2622" ht="12.75">
      <c r="A2622" s="187"/>
    </row>
    <row r="2623" ht="12.75">
      <c r="A2623" s="187"/>
    </row>
    <row r="2624" ht="12.75">
      <c r="A2624" s="187"/>
    </row>
    <row r="2625" ht="12.75">
      <c r="A2625" s="187"/>
    </row>
    <row r="2626" ht="12.75">
      <c r="A2626" s="187"/>
    </row>
    <row r="2627" ht="12.75">
      <c r="A2627" s="187"/>
    </row>
    <row r="2628" ht="12.75">
      <c r="A2628" s="187"/>
    </row>
    <row r="2629" ht="12.75">
      <c r="A2629" s="187"/>
    </row>
    <row r="2630" ht="12.75">
      <c r="A2630" s="187"/>
    </row>
    <row r="2631" ht="12.75">
      <c r="A2631" s="187"/>
    </row>
    <row r="2632" ht="12.75">
      <c r="A2632" s="187"/>
    </row>
    <row r="2633" ht="12.75">
      <c r="A2633" s="187"/>
    </row>
    <row r="2634" ht="12.75">
      <c r="A2634" s="187"/>
    </row>
    <row r="2635" ht="12.75">
      <c r="A2635" s="187"/>
    </row>
    <row r="2636" ht="12.75">
      <c r="A2636" s="187"/>
    </row>
    <row r="2637" ht="12.75">
      <c r="A2637" s="187"/>
    </row>
    <row r="2638" ht="12.75">
      <c r="A2638" s="187"/>
    </row>
    <row r="2639" ht="12.75">
      <c r="A2639" s="187"/>
    </row>
    <row r="2640" ht="12.75">
      <c r="A2640" s="187"/>
    </row>
    <row r="2641" ht="12.75">
      <c r="A2641" s="187"/>
    </row>
    <row r="2642" ht="12.75">
      <c r="A2642" s="187"/>
    </row>
    <row r="2643" ht="12.75">
      <c r="A2643" s="187"/>
    </row>
    <row r="2644" ht="12.75">
      <c r="A2644" s="187"/>
    </row>
    <row r="2645" ht="12.75">
      <c r="A2645" s="187"/>
    </row>
    <row r="2646" ht="12.75">
      <c r="A2646" s="187"/>
    </row>
    <row r="2647" ht="12.75">
      <c r="A2647" s="187"/>
    </row>
    <row r="2648" ht="12.75">
      <c r="A2648" s="187"/>
    </row>
    <row r="2649" ht="12.75">
      <c r="A2649" s="187"/>
    </row>
    <row r="2650" ht="12.75">
      <c r="A2650" s="187"/>
    </row>
    <row r="2651" ht="12.75">
      <c r="A2651" s="187"/>
    </row>
    <row r="2652" ht="12.75">
      <c r="A2652" s="187"/>
    </row>
    <row r="2653" ht="12.75">
      <c r="A2653" s="187"/>
    </row>
    <row r="2654" ht="12.75">
      <c r="A2654" s="187"/>
    </row>
    <row r="2655" ht="12.75">
      <c r="A2655" s="187"/>
    </row>
    <row r="2656" ht="12.75">
      <c r="A2656" s="187"/>
    </row>
    <row r="2657" ht="12.75">
      <c r="A2657" s="187"/>
    </row>
    <row r="2658" ht="12.75">
      <c r="A2658" s="187"/>
    </row>
    <row r="2659" ht="12.75">
      <c r="A2659" s="187"/>
    </row>
    <row r="2660" ht="12.75">
      <c r="A2660" s="187"/>
    </row>
    <row r="2661" ht="12.75">
      <c r="A2661" s="187"/>
    </row>
    <row r="2662" ht="12.75">
      <c r="A2662" s="187"/>
    </row>
    <row r="2663" ht="12.75">
      <c r="A2663" s="187"/>
    </row>
    <row r="2664" ht="12.75">
      <c r="A2664" s="187"/>
    </row>
    <row r="2665" ht="12.75">
      <c r="A2665" s="187"/>
    </row>
    <row r="2666" ht="12.75">
      <c r="A2666" s="187"/>
    </row>
    <row r="2667" ht="12.75">
      <c r="A2667" s="187"/>
    </row>
    <row r="2668" ht="12.75">
      <c r="A2668" s="187"/>
    </row>
    <row r="2669" ht="12.75">
      <c r="A2669" s="187"/>
    </row>
    <row r="2670" ht="12.75">
      <c r="A2670" s="187"/>
    </row>
    <row r="2671" ht="12.75">
      <c r="A2671" s="187"/>
    </row>
    <row r="2672" ht="12.75">
      <c r="A2672" s="187"/>
    </row>
    <row r="2673" ht="12.75">
      <c r="A2673" s="187"/>
    </row>
    <row r="2674" ht="12.75">
      <c r="A2674" s="187"/>
    </row>
    <row r="2675" ht="12.75">
      <c r="A2675" s="187"/>
    </row>
    <row r="2676" ht="12.75">
      <c r="A2676" s="187"/>
    </row>
    <row r="2677" ht="12.75">
      <c r="A2677" s="187"/>
    </row>
    <row r="2678" ht="12.75">
      <c r="A2678" s="187"/>
    </row>
    <row r="2679" ht="12.75">
      <c r="A2679" s="187"/>
    </row>
    <row r="2680" ht="12.75">
      <c r="A2680" s="187"/>
    </row>
    <row r="2681" ht="12.75">
      <c r="A2681" s="187"/>
    </row>
    <row r="2682" ht="12.75">
      <c r="A2682" s="187"/>
    </row>
    <row r="2683" ht="12.75">
      <c r="A2683" s="187"/>
    </row>
    <row r="2684" ht="12.75">
      <c r="A2684" s="187"/>
    </row>
    <row r="2685" ht="12.75">
      <c r="A2685" s="187"/>
    </row>
    <row r="2686" ht="12.75">
      <c r="A2686" s="187"/>
    </row>
    <row r="2687" ht="12.75">
      <c r="A2687" s="187"/>
    </row>
    <row r="2688" ht="12.75">
      <c r="A2688" s="187"/>
    </row>
    <row r="2689" ht="12.75">
      <c r="A2689" s="187"/>
    </row>
    <row r="2690" ht="12.75">
      <c r="A2690" s="187"/>
    </row>
    <row r="2691" ht="12.75">
      <c r="A2691" s="187"/>
    </row>
    <row r="2692" ht="12.75">
      <c r="A2692" s="187"/>
    </row>
    <row r="2693" ht="12.75">
      <c r="A2693" s="187"/>
    </row>
    <row r="2694" ht="12.75">
      <c r="A2694" s="187"/>
    </row>
    <row r="2695" ht="12.75">
      <c r="A2695" s="187"/>
    </row>
    <row r="2696" ht="12.75">
      <c r="A2696" s="187"/>
    </row>
    <row r="2697" ht="12.75">
      <c r="A2697" s="187"/>
    </row>
    <row r="2698" ht="12.75">
      <c r="A2698" s="187"/>
    </row>
    <row r="2699" ht="12.75">
      <c r="A2699" s="187"/>
    </row>
    <row r="2700" ht="12.75">
      <c r="A2700" s="187"/>
    </row>
    <row r="2701" ht="12.75">
      <c r="A2701" s="187"/>
    </row>
    <row r="2702" ht="12.75">
      <c r="A2702" s="187"/>
    </row>
    <row r="2703" ht="12.75">
      <c r="A2703" s="187"/>
    </row>
    <row r="2704" ht="12.75">
      <c r="A2704" s="187"/>
    </row>
    <row r="2705" ht="12.75">
      <c r="A2705" s="187"/>
    </row>
    <row r="2706" ht="12.75">
      <c r="A2706" s="187"/>
    </row>
    <row r="2707" ht="12.75">
      <c r="A2707" s="187"/>
    </row>
    <row r="2708" ht="12.75">
      <c r="A2708" s="187"/>
    </row>
    <row r="2709" ht="12.75">
      <c r="A2709" s="187"/>
    </row>
    <row r="2710" ht="12.75">
      <c r="A2710" s="187"/>
    </row>
    <row r="2711" ht="12.75">
      <c r="A2711" s="187"/>
    </row>
    <row r="2712" ht="12.75">
      <c r="A2712" s="187"/>
    </row>
    <row r="2713" ht="12.75">
      <c r="A2713" s="187"/>
    </row>
    <row r="2714" ht="12.75">
      <c r="A2714" s="187"/>
    </row>
    <row r="2715" ht="12.75">
      <c r="A2715" s="187"/>
    </row>
    <row r="2716" ht="12.75">
      <c r="A2716" s="187"/>
    </row>
    <row r="2717" ht="12.75">
      <c r="A2717" s="187"/>
    </row>
    <row r="2718" ht="12.75">
      <c r="A2718" s="187"/>
    </row>
    <row r="2719" ht="12.75">
      <c r="A2719" s="187"/>
    </row>
    <row r="2720" ht="12.75">
      <c r="A2720" s="187"/>
    </row>
    <row r="2721" ht="12.75">
      <c r="A2721" s="187"/>
    </row>
    <row r="2722" ht="12.75">
      <c r="A2722" s="187"/>
    </row>
    <row r="2723" ht="12.75">
      <c r="A2723" s="187"/>
    </row>
    <row r="2724" ht="12.75">
      <c r="A2724" s="187"/>
    </row>
    <row r="2725" ht="12.75">
      <c r="A2725" s="187"/>
    </row>
    <row r="2726" ht="12.75">
      <c r="A2726" s="187"/>
    </row>
    <row r="2727" ht="12.75">
      <c r="A2727" s="187"/>
    </row>
    <row r="2728" ht="12.75">
      <c r="A2728" s="187"/>
    </row>
    <row r="2729" ht="12.75">
      <c r="A2729" s="187"/>
    </row>
    <row r="2730" ht="12.75">
      <c r="A2730" s="187"/>
    </row>
    <row r="2731" ht="12.75">
      <c r="A2731" s="187"/>
    </row>
    <row r="2732" ht="12.75">
      <c r="A2732" s="187"/>
    </row>
    <row r="2733" ht="12.75">
      <c r="A2733" s="187"/>
    </row>
    <row r="2734" ht="12.75">
      <c r="A2734" s="187"/>
    </row>
    <row r="2735" ht="12.75">
      <c r="A2735" s="187"/>
    </row>
    <row r="2736" ht="12.75">
      <c r="A2736" s="187"/>
    </row>
    <row r="2737" ht="12.75">
      <c r="A2737" s="187"/>
    </row>
    <row r="2738" ht="12.75">
      <c r="A2738" s="187"/>
    </row>
    <row r="2739" ht="12.75">
      <c r="A2739" s="187"/>
    </row>
    <row r="2740" ht="12.75">
      <c r="A2740" s="187"/>
    </row>
    <row r="2741" ht="12.75">
      <c r="A2741" s="187"/>
    </row>
    <row r="2742" ht="12.75">
      <c r="A2742" s="187"/>
    </row>
    <row r="2743" ht="12.75">
      <c r="A2743" s="187"/>
    </row>
    <row r="2744" ht="12.75">
      <c r="A2744" s="187"/>
    </row>
    <row r="2745" ht="12.75">
      <c r="A2745" s="187"/>
    </row>
    <row r="2746" ht="12.75">
      <c r="A2746" s="187"/>
    </row>
    <row r="2747" ht="12.75">
      <c r="A2747" s="187"/>
    </row>
    <row r="2748" ht="12.75">
      <c r="A2748" s="187"/>
    </row>
    <row r="2749" ht="12.75">
      <c r="A2749" s="187"/>
    </row>
    <row r="2750" ht="12.75">
      <c r="A2750" s="187"/>
    </row>
    <row r="2751" ht="12.75">
      <c r="A2751" s="187"/>
    </row>
    <row r="2752" ht="12.75">
      <c r="A2752" s="187"/>
    </row>
    <row r="2753" ht="12.75">
      <c r="A2753" s="187"/>
    </row>
    <row r="2754" ht="12.75">
      <c r="A2754" s="187"/>
    </row>
    <row r="2755" ht="12.75">
      <c r="A2755" s="187"/>
    </row>
    <row r="2756" ht="12.75">
      <c r="A2756" s="187"/>
    </row>
    <row r="2757" ht="12.75">
      <c r="A2757" s="187"/>
    </row>
    <row r="2758" ht="12.75">
      <c r="A2758" s="187"/>
    </row>
    <row r="2759" ht="12.75">
      <c r="A2759" s="187"/>
    </row>
    <row r="2760" ht="12.75">
      <c r="A2760" s="187"/>
    </row>
    <row r="2761" ht="12.75">
      <c r="A2761" s="187"/>
    </row>
    <row r="2762" ht="12.75">
      <c r="A2762" s="187"/>
    </row>
    <row r="2763" ht="12.75">
      <c r="A2763" s="187"/>
    </row>
    <row r="2764" ht="12.75">
      <c r="A2764" s="187"/>
    </row>
    <row r="2765" ht="12.75">
      <c r="A2765" s="187"/>
    </row>
    <row r="2766" ht="12.75">
      <c r="A2766" s="187"/>
    </row>
    <row r="2767" ht="12.75">
      <c r="A2767" s="187"/>
    </row>
    <row r="2768" ht="12.75">
      <c r="A2768" s="187"/>
    </row>
    <row r="2769" ht="12.75">
      <c r="A2769" s="187"/>
    </row>
    <row r="2770" ht="12.75">
      <c r="A2770" s="187"/>
    </row>
    <row r="2771" ht="12.75">
      <c r="A2771" s="187"/>
    </row>
    <row r="2772" ht="12.75">
      <c r="A2772" s="187"/>
    </row>
    <row r="2773" ht="12.75">
      <c r="A2773" s="187"/>
    </row>
    <row r="2774" ht="12.75">
      <c r="A2774" s="187"/>
    </row>
    <row r="2775" ht="12.75">
      <c r="A2775" s="187"/>
    </row>
    <row r="2776" ht="12.75">
      <c r="A2776" s="187"/>
    </row>
    <row r="2777" ht="12.75">
      <c r="A2777" s="187"/>
    </row>
    <row r="2778" ht="12.75">
      <c r="A2778" s="187"/>
    </row>
    <row r="2779" ht="12.75">
      <c r="A2779" s="187"/>
    </row>
    <row r="2780" ht="12.75">
      <c r="A2780" s="187"/>
    </row>
    <row r="2781" ht="12.75">
      <c r="A2781" s="187"/>
    </row>
    <row r="2782" ht="12.75">
      <c r="A2782" s="187"/>
    </row>
    <row r="2783" ht="12.75">
      <c r="A2783" s="187"/>
    </row>
    <row r="2784" ht="12.75">
      <c r="A2784" s="187"/>
    </row>
    <row r="2785" ht="12.75">
      <c r="A2785" s="187"/>
    </row>
    <row r="2786" ht="12.75">
      <c r="A2786" s="187"/>
    </row>
    <row r="2787" ht="12.75">
      <c r="A2787" s="187"/>
    </row>
    <row r="2788" ht="12.75">
      <c r="A2788" s="187"/>
    </row>
    <row r="2789" ht="12.75">
      <c r="A2789" s="187"/>
    </row>
    <row r="2790" ht="12.75">
      <c r="A2790" s="187"/>
    </row>
    <row r="2791" ht="12.75">
      <c r="A2791" s="187"/>
    </row>
    <row r="2792" ht="12.75">
      <c r="A2792" s="187"/>
    </row>
    <row r="2793" ht="12.75">
      <c r="A2793" s="187"/>
    </row>
    <row r="2794" ht="12.75">
      <c r="A2794" s="187"/>
    </row>
    <row r="2795" ht="12.75">
      <c r="A2795" s="187"/>
    </row>
    <row r="2796" ht="12.75">
      <c r="A2796" s="187"/>
    </row>
    <row r="2797" ht="12.75">
      <c r="A2797" s="187"/>
    </row>
    <row r="2798" ht="12.75">
      <c r="A2798" s="187"/>
    </row>
    <row r="2799" ht="12.75">
      <c r="A2799" s="187"/>
    </row>
    <row r="2800" ht="12.75">
      <c r="A2800" s="187"/>
    </row>
    <row r="2801" ht="12.75">
      <c r="A2801" s="187"/>
    </row>
    <row r="2802" ht="12.75">
      <c r="A2802" s="187"/>
    </row>
    <row r="2803" ht="12.75">
      <c r="A2803" s="187"/>
    </row>
    <row r="2804" ht="12.75">
      <c r="A2804" s="187"/>
    </row>
    <row r="2805" ht="12.75">
      <c r="A2805" s="187"/>
    </row>
    <row r="2806" ht="12.75">
      <c r="A2806" s="187"/>
    </row>
    <row r="2807" ht="12.75">
      <c r="A2807" s="187"/>
    </row>
    <row r="2808" ht="12.75">
      <c r="A2808" s="187"/>
    </row>
    <row r="2809" ht="12.75">
      <c r="A2809" s="187"/>
    </row>
    <row r="2810" ht="12.75">
      <c r="A2810" s="187"/>
    </row>
    <row r="2811" ht="12.75">
      <c r="A2811" s="187"/>
    </row>
    <row r="2812" ht="12.75">
      <c r="A2812" s="187"/>
    </row>
    <row r="2813" ht="12.75">
      <c r="A2813" s="187"/>
    </row>
    <row r="2814" ht="12.75">
      <c r="A2814" s="187"/>
    </row>
    <row r="2815" ht="12.75">
      <c r="A2815" s="187"/>
    </row>
    <row r="2816" ht="12.75">
      <c r="A2816" s="187"/>
    </row>
    <row r="2817" ht="12.75">
      <c r="A2817" s="187"/>
    </row>
    <row r="2818" ht="12.75">
      <c r="A2818" s="187"/>
    </row>
    <row r="2819" ht="12.75">
      <c r="A2819" s="187"/>
    </row>
    <row r="2820" ht="12.75">
      <c r="A2820" s="187"/>
    </row>
    <row r="2821" ht="12.75">
      <c r="A2821" s="187"/>
    </row>
    <row r="2822" ht="12.75">
      <c r="A2822" s="187"/>
    </row>
    <row r="2823" ht="12.75">
      <c r="A2823" s="187"/>
    </row>
    <row r="2824" ht="12.75">
      <c r="A2824" s="187"/>
    </row>
    <row r="2825" ht="12.75">
      <c r="A2825" s="187"/>
    </row>
    <row r="2826" ht="12.75">
      <c r="A2826" s="187"/>
    </row>
    <row r="2827" ht="12.75">
      <c r="A2827" s="187"/>
    </row>
    <row r="2828" ht="12.75">
      <c r="A2828" s="187"/>
    </row>
    <row r="2829" ht="12.75">
      <c r="A2829" s="187"/>
    </row>
    <row r="2830" ht="12.75">
      <c r="A2830" s="187"/>
    </row>
    <row r="2831" ht="12.75">
      <c r="A2831" s="187"/>
    </row>
    <row r="2832" ht="12.75">
      <c r="A2832" s="187"/>
    </row>
    <row r="2833" ht="12.75">
      <c r="A2833" s="187"/>
    </row>
    <row r="2834" ht="12.75">
      <c r="A2834" s="187"/>
    </row>
    <row r="2835" ht="12.75">
      <c r="A2835" s="187"/>
    </row>
    <row r="2836" ht="12.75">
      <c r="A2836" s="187"/>
    </row>
    <row r="2837" ht="12.75">
      <c r="A2837" s="187"/>
    </row>
    <row r="2838" ht="12.75">
      <c r="A2838" s="187"/>
    </row>
    <row r="2839" ht="12.75">
      <c r="A2839" s="187"/>
    </row>
    <row r="2840" ht="12.75">
      <c r="A2840" s="187"/>
    </row>
    <row r="2841" ht="12.75">
      <c r="A2841" s="187"/>
    </row>
    <row r="2842" ht="12.75">
      <c r="A2842" s="187"/>
    </row>
    <row r="2843" ht="12.75">
      <c r="A2843" s="187"/>
    </row>
    <row r="2844" ht="12.75">
      <c r="A2844" s="187"/>
    </row>
    <row r="2845" ht="12.75">
      <c r="A2845" s="187"/>
    </row>
    <row r="2846" ht="12.75">
      <c r="A2846" s="187"/>
    </row>
    <row r="2847" ht="12.75">
      <c r="A2847" s="187"/>
    </row>
    <row r="2848" ht="12.75">
      <c r="A2848" s="187"/>
    </row>
    <row r="2849" ht="12.75">
      <c r="A2849" s="187"/>
    </row>
    <row r="2850" ht="12.75">
      <c r="A2850" s="187"/>
    </row>
    <row r="2851" ht="12.75">
      <c r="A2851" s="187"/>
    </row>
    <row r="2852" ht="12.75">
      <c r="A2852" s="187"/>
    </row>
    <row r="2853" ht="12.75">
      <c r="A2853" s="187"/>
    </row>
    <row r="2854" ht="12.75">
      <c r="A2854" s="187"/>
    </row>
    <row r="2855" ht="12.75">
      <c r="A2855" s="187"/>
    </row>
    <row r="2856" ht="12.75">
      <c r="A2856" s="187"/>
    </row>
    <row r="2857" ht="12.75">
      <c r="A2857" s="187"/>
    </row>
    <row r="2858" ht="12.75">
      <c r="A2858" s="187"/>
    </row>
    <row r="2859" ht="12.75">
      <c r="A2859" s="187"/>
    </row>
    <row r="2860" ht="12.75">
      <c r="A2860" s="187"/>
    </row>
    <row r="2861" ht="12.75">
      <c r="A2861" s="187"/>
    </row>
    <row r="2862" ht="12.75">
      <c r="A2862" s="187"/>
    </row>
    <row r="2863" ht="12.75">
      <c r="A2863" s="187"/>
    </row>
    <row r="2864" ht="12.75">
      <c r="A2864" s="187"/>
    </row>
    <row r="2865" ht="12.75">
      <c r="A2865" s="187"/>
    </row>
    <row r="2866" ht="12.75">
      <c r="A2866" s="187"/>
    </row>
    <row r="2867" ht="12.75">
      <c r="A2867" s="187"/>
    </row>
    <row r="2868" ht="12.75">
      <c r="A2868" s="187"/>
    </row>
    <row r="2869" ht="12.75">
      <c r="A2869" s="187"/>
    </row>
    <row r="2870" ht="12.75">
      <c r="A2870" s="187"/>
    </row>
    <row r="2871" ht="12.75">
      <c r="A2871" s="187"/>
    </row>
    <row r="2872" ht="12.75">
      <c r="A2872" s="187"/>
    </row>
    <row r="2873" ht="12.75">
      <c r="A2873" s="187"/>
    </row>
    <row r="2874" ht="12.75">
      <c r="A2874" s="187"/>
    </row>
    <row r="2875" ht="12.75">
      <c r="A2875" s="187"/>
    </row>
    <row r="2876" ht="12.75">
      <c r="A2876" s="187"/>
    </row>
    <row r="2877" ht="12.75">
      <c r="A2877" s="187"/>
    </row>
    <row r="2878" ht="12.75">
      <c r="A2878" s="187"/>
    </row>
    <row r="2879" ht="12.75">
      <c r="A2879" s="187"/>
    </row>
    <row r="2880" ht="12.75">
      <c r="A2880" s="187"/>
    </row>
    <row r="2881" ht="12.75">
      <c r="A2881" s="187"/>
    </row>
    <row r="2882" ht="12.75">
      <c r="A2882" s="187"/>
    </row>
    <row r="2883" ht="12.75">
      <c r="A2883" s="187"/>
    </row>
    <row r="2884" ht="12.75">
      <c r="A2884" s="187"/>
    </row>
    <row r="2885" ht="12.75">
      <c r="A2885" s="187"/>
    </row>
    <row r="2886" ht="12.75">
      <c r="A2886" s="187"/>
    </row>
    <row r="2887" ht="12.75">
      <c r="A2887" s="187"/>
    </row>
    <row r="2888" ht="12.75">
      <c r="A2888" s="187"/>
    </row>
    <row r="2889" ht="12.75">
      <c r="A2889" s="187"/>
    </row>
    <row r="2890" ht="12.75">
      <c r="A2890" s="187"/>
    </row>
    <row r="2891" ht="12.75">
      <c r="A2891" s="187"/>
    </row>
    <row r="2892" ht="12.75">
      <c r="A2892" s="187"/>
    </row>
    <row r="2893" ht="12.75">
      <c r="A2893" s="187"/>
    </row>
    <row r="2894" ht="12.75">
      <c r="A2894" s="187"/>
    </row>
    <row r="2895" ht="12.75">
      <c r="A2895" s="187"/>
    </row>
    <row r="2896" ht="12.75">
      <c r="A2896" s="187"/>
    </row>
    <row r="2897" ht="12.75">
      <c r="A2897" s="187"/>
    </row>
    <row r="2898" ht="12.75">
      <c r="A2898" s="187"/>
    </row>
    <row r="2899" ht="12.75">
      <c r="A2899" s="187"/>
    </row>
    <row r="2900" ht="12.75">
      <c r="A2900" s="187"/>
    </row>
    <row r="2901" ht="12.75">
      <c r="A2901" s="187"/>
    </row>
    <row r="2902" ht="12.75">
      <c r="A2902" s="187"/>
    </row>
    <row r="2903" ht="12.75">
      <c r="A2903" s="187"/>
    </row>
    <row r="2904" ht="12.75">
      <c r="A2904" s="187"/>
    </row>
    <row r="2905" ht="12.75">
      <c r="A2905" s="187"/>
    </row>
    <row r="2906" ht="12.75">
      <c r="A2906" s="187"/>
    </row>
    <row r="2907" ht="12.75">
      <c r="A2907" s="187"/>
    </row>
    <row r="2908" ht="12.75">
      <c r="A2908" s="187"/>
    </row>
    <row r="2909" ht="12.75">
      <c r="A2909" s="187"/>
    </row>
    <row r="2910" ht="12.75">
      <c r="A2910" s="187"/>
    </row>
    <row r="2911" ht="12.75">
      <c r="A2911" s="187"/>
    </row>
    <row r="2912" ht="12.75">
      <c r="A2912" s="187"/>
    </row>
    <row r="2913" ht="12.75">
      <c r="A2913" s="187"/>
    </row>
    <row r="2914" ht="12.75">
      <c r="A2914" s="187"/>
    </row>
    <row r="2915" ht="12.75">
      <c r="A2915" s="187"/>
    </row>
    <row r="2916" ht="12.75">
      <c r="A2916" s="187"/>
    </row>
    <row r="2917" ht="12.75">
      <c r="A2917" s="187"/>
    </row>
    <row r="2918" ht="12.75">
      <c r="A2918" s="187"/>
    </row>
    <row r="2919" ht="12.75">
      <c r="A2919" s="187"/>
    </row>
    <row r="2920" ht="12.75">
      <c r="A2920" s="187"/>
    </row>
    <row r="2921" ht="12.75">
      <c r="A2921" s="187"/>
    </row>
    <row r="2922" ht="12.75">
      <c r="A2922" s="187"/>
    </row>
    <row r="2923" ht="12.75">
      <c r="A2923" s="187"/>
    </row>
    <row r="2924" ht="12.75">
      <c r="A2924" s="187"/>
    </row>
    <row r="2925" ht="12.75">
      <c r="A2925" s="187"/>
    </row>
    <row r="2926" ht="12.75">
      <c r="A2926" s="187"/>
    </row>
    <row r="2927" ht="12.75">
      <c r="A2927" s="187"/>
    </row>
    <row r="2928" ht="12.75">
      <c r="A2928" s="187"/>
    </row>
    <row r="2929" ht="12.75">
      <c r="A2929" s="187"/>
    </row>
    <row r="2930" ht="12.75">
      <c r="A2930" s="187"/>
    </row>
    <row r="2931" ht="12.75">
      <c r="A2931" s="187"/>
    </row>
    <row r="2932" ht="12.75">
      <c r="A2932" s="187"/>
    </row>
    <row r="2933" ht="12.75">
      <c r="A2933" s="187"/>
    </row>
    <row r="2934" ht="12.75">
      <c r="A2934" s="187"/>
    </row>
    <row r="2935" ht="12.75">
      <c r="A2935" s="187"/>
    </row>
    <row r="2936" ht="12.75">
      <c r="A2936" s="187"/>
    </row>
    <row r="2937" ht="12.75">
      <c r="A2937" s="187"/>
    </row>
    <row r="2938" ht="12.75">
      <c r="A2938" s="187"/>
    </row>
    <row r="2939" ht="12.75">
      <c r="A2939" s="187"/>
    </row>
    <row r="2940" ht="12.75">
      <c r="A2940" s="187"/>
    </row>
    <row r="2941" ht="12.75">
      <c r="A2941" s="187"/>
    </row>
    <row r="2942" ht="12.75">
      <c r="A2942" s="187"/>
    </row>
    <row r="2943" ht="12.75">
      <c r="A2943" s="187"/>
    </row>
    <row r="2944" ht="12.75">
      <c r="A2944" s="187"/>
    </row>
    <row r="2945" ht="12.75">
      <c r="A2945" s="187"/>
    </row>
    <row r="2946" ht="12.75">
      <c r="A2946" s="187"/>
    </row>
    <row r="2947" ht="12.75">
      <c r="A2947" s="187"/>
    </row>
    <row r="2948" ht="12.75">
      <c r="A2948" s="187"/>
    </row>
    <row r="2949" ht="12.75">
      <c r="A2949" s="187"/>
    </row>
    <row r="2950" ht="12.75">
      <c r="A2950" s="187"/>
    </row>
    <row r="2951" ht="12.75">
      <c r="A2951" s="187"/>
    </row>
    <row r="2952" ht="12.75">
      <c r="A2952" s="187"/>
    </row>
    <row r="2953" ht="12.75">
      <c r="A2953" s="187"/>
    </row>
    <row r="2954" ht="12.75">
      <c r="A2954" s="187"/>
    </row>
    <row r="2955" ht="12.75">
      <c r="A2955" s="187"/>
    </row>
    <row r="2956" ht="12.75">
      <c r="A2956" s="187"/>
    </row>
    <row r="2957" ht="12.75">
      <c r="A2957" s="187"/>
    </row>
    <row r="2958" ht="12.75">
      <c r="A2958" s="187"/>
    </row>
    <row r="2959" ht="12.75">
      <c r="A2959" s="187"/>
    </row>
    <row r="2960" ht="12.75">
      <c r="A2960" s="187"/>
    </row>
    <row r="2961" ht="12.75">
      <c r="A2961" s="187"/>
    </row>
    <row r="2962" ht="12.75">
      <c r="A2962" s="187"/>
    </row>
    <row r="2963" ht="12.75">
      <c r="A2963" s="187"/>
    </row>
    <row r="2964" ht="12.75">
      <c r="A2964" s="187"/>
    </row>
    <row r="2965" ht="12.75">
      <c r="A2965" s="187"/>
    </row>
    <row r="2966" ht="12.75">
      <c r="A2966" s="187"/>
    </row>
    <row r="2967" ht="12.75">
      <c r="A2967" s="187"/>
    </row>
    <row r="2968" ht="12.75">
      <c r="A2968" s="187"/>
    </row>
    <row r="2969" ht="12.75">
      <c r="A2969" s="187"/>
    </row>
    <row r="2970" ht="12.75">
      <c r="A2970" s="187"/>
    </row>
    <row r="2971" ht="12.75">
      <c r="A2971" s="187"/>
    </row>
    <row r="2972" ht="12.75">
      <c r="A2972" s="187"/>
    </row>
    <row r="2973" ht="12.75">
      <c r="A2973" s="187"/>
    </row>
    <row r="2974" ht="12.75">
      <c r="A2974" s="187"/>
    </row>
    <row r="2975" ht="12.75">
      <c r="A2975" s="187"/>
    </row>
    <row r="2976" ht="12.75">
      <c r="A2976" s="187"/>
    </row>
    <row r="2977" ht="12.75">
      <c r="A2977" s="187"/>
    </row>
    <row r="2978" ht="12.75">
      <c r="A2978" s="187"/>
    </row>
    <row r="2979" ht="12.75">
      <c r="A2979" s="187"/>
    </row>
    <row r="2980" ht="12.75">
      <c r="A2980" s="187"/>
    </row>
    <row r="2981" ht="12.75">
      <c r="A2981" s="187"/>
    </row>
    <row r="2982" ht="12.75">
      <c r="A2982" s="187"/>
    </row>
    <row r="2983" ht="12.75">
      <c r="A2983" s="187"/>
    </row>
    <row r="2984" ht="12.75">
      <c r="A2984" s="187"/>
    </row>
    <row r="2985" ht="12.75">
      <c r="A2985" s="187"/>
    </row>
    <row r="2986" ht="12.75">
      <c r="A2986" s="187"/>
    </row>
    <row r="2987" ht="12.75">
      <c r="A2987" s="187"/>
    </row>
    <row r="2988" ht="12.75">
      <c r="A2988" s="187"/>
    </row>
    <row r="2989" ht="12.75">
      <c r="A2989" s="187"/>
    </row>
    <row r="2990" ht="12.75">
      <c r="A2990" s="187"/>
    </row>
    <row r="2991" ht="12.75">
      <c r="A2991" s="187"/>
    </row>
    <row r="2992" ht="12.75">
      <c r="A2992" s="187"/>
    </row>
    <row r="2993" ht="12.75">
      <c r="A2993" s="187"/>
    </row>
    <row r="2994" ht="12.75">
      <c r="A2994" s="187"/>
    </row>
    <row r="2995" ht="12.75">
      <c r="A2995" s="187"/>
    </row>
    <row r="2996" ht="12.75">
      <c r="A2996" s="187"/>
    </row>
    <row r="2997" ht="12.75">
      <c r="A2997" s="187"/>
    </row>
    <row r="2998" ht="12.75">
      <c r="A2998" s="187"/>
    </row>
    <row r="2999" ht="12.75">
      <c r="A2999" s="187"/>
    </row>
    <row r="3000" ht="12.75">
      <c r="A3000" s="187"/>
    </row>
    <row r="3001" ht="12.75">
      <c r="A3001" s="187"/>
    </row>
    <row r="3002" ht="12.75">
      <c r="A3002" s="187"/>
    </row>
    <row r="3003" ht="12.75">
      <c r="A3003" s="187"/>
    </row>
    <row r="3004" ht="12.75">
      <c r="A3004" s="187"/>
    </row>
    <row r="3005" ht="12.75">
      <c r="A3005" s="187"/>
    </row>
    <row r="3006" ht="12.75">
      <c r="A3006" s="187"/>
    </row>
    <row r="3007" ht="12.75">
      <c r="A3007" s="187"/>
    </row>
    <row r="3008" ht="12.75">
      <c r="A3008" s="187"/>
    </row>
    <row r="3009" ht="12.75">
      <c r="A3009" s="187"/>
    </row>
    <row r="3010" ht="12.75">
      <c r="A3010" s="187"/>
    </row>
    <row r="3011" ht="12.75">
      <c r="A3011" s="187"/>
    </row>
    <row r="3012" ht="12.75">
      <c r="A3012" s="187"/>
    </row>
    <row r="3013" ht="12.75">
      <c r="A3013" s="187"/>
    </row>
    <row r="3014" ht="12.75">
      <c r="A3014" s="187"/>
    </row>
    <row r="3015" ht="12.75">
      <c r="A3015" s="187"/>
    </row>
    <row r="3016" ht="12.75">
      <c r="A3016" s="187"/>
    </row>
    <row r="3017" ht="12.75">
      <c r="A3017" s="187"/>
    </row>
    <row r="3018" ht="12.75">
      <c r="A3018" s="187"/>
    </row>
    <row r="3019" ht="12.75">
      <c r="A3019" s="187"/>
    </row>
    <row r="3020" ht="12.75">
      <c r="A3020" s="187"/>
    </row>
    <row r="3021" ht="12.75">
      <c r="A3021" s="187"/>
    </row>
    <row r="3022" ht="12.75">
      <c r="A3022" s="187"/>
    </row>
    <row r="3023" ht="12.75">
      <c r="A3023" s="187"/>
    </row>
    <row r="3024" ht="12.75">
      <c r="A3024" s="187"/>
    </row>
    <row r="3025" ht="12.75">
      <c r="A3025" s="187"/>
    </row>
    <row r="3026" ht="12.75">
      <c r="A3026" s="187"/>
    </row>
    <row r="3027" ht="12.75">
      <c r="A3027" s="187"/>
    </row>
    <row r="3028" ht="12.75">
      <c r="A3028" s="187"/>
    </row>
    <row r="3029" ht="12.75">
      <c r="A3029" s="187"/>
    </row>
    <row r="3030" ht="12.75">
      <c r="A3030" s="187"/>
    </row>
    <row r="3031" ht="12.75">
      <c r="A3031" s="187"/>
    </row>
    <row r="3032" ht="12.75">
      <c r="A3032" s="187"/>
    </row>
    <row r="3033" ht="12.75">
      <c r="A3033" s="187"/>
    </row>
    <row r="3034" ht="12.75">
      <c r="A3034" s="187"/>
    </row>
    <row r="3035" ht="12.75">
      <c r="A3035" s="187"/>
    </row>
    <row r="3036" ht="12.75">
      <c r="A3036" s="187"/>
    </row>
    <row r="3037" ht="12.75">
      <c r="A3037" s="187"/>
    </row>
    <row r="3038" ht="12.75">
      <c r="A3038" s="187"/>
    </row>
    <row r="3039" ht="12.75">
      <c r="A3039" s="187"/>
    </row>
    <row r="3040" ht="12.75">
      <c r="A3040" s="187"/>
    </row>
    <row r="3041" ht="12.75">
      <c r="A3041" s="187"/>
    </row>
    <row r="3042" ht="12.75">
      <c r="A3042" s="187"/>
    </row>
    <row r="3043" ht="12.75">
      <c r="A3043" s="187"/>
    </row>
    <row r="3044" ht="12.75">
      <c r="A3044" s="187"/>
    </row>
    <row r="3045" ht="12.75">
      <c r="A3045" s="187"/>
    </row>
    <row r="3046" ht="12.75">
      <c r="A3046" s="187"/>
    </row>
    <row r="3047" ht="12.75">
      <c r="A3047" s="187"/>
    </row>
    <row r="3048" ht="12.75">
      <c r="A3048" s="187"/>
    </row>
    <row r="3049" ht="12.75">
      <c r="A3049" s="187"/>
    </row>
    <row r="3050" ht="12.75">
      <c r="A3050" s="187"/>
    </row>
    <row r="3051" ht="12.75">
      <c r="A3051" s="187"/>
    </row>
    <row r="3052" ht="12.75">
      <c r="A3052" s="187"/>
    </row>
    <row r="3053" ht="12.75">
      <c r="A3053" s="187"/>
    </row>
    <row r="3054" ht="12.75">
      <c r="A3054" s="187"/>
    </row>
    <row r="3055" ht="12.75">
      <c r="A3055" s="187"/>
    </row>
    <row r="3056" ht="12.75">
      <c r="A3056" s="187"/>
    </row>
    <row r="3057" ht="12.75">
      <c r="A3057" s="187"/>
    </row>
    <row r="3058" ht="12.75">
      <c r="A3058" s="187"/>
    </row>
    <row r="3059" ht="12.75">
      <c r="A3059" s="187"/>
    </row>
    <row r="3060" ht="12.75">
      <c r="A3060" s="187"/>
    </row>
    <row r="3061" ht="12.75">
      <c r="A3061" s="187"/>
    </row>
    <row r="3062" ht="12.75">
      <c r="A3062" s="187"/>
    </row>
    <row r="3063" ht="12.75">
      <c r="A3063" s="187"/>
    </row>
    <row r="3064" ht="12.75">
      <c r="A3064" s="187"/>
    </row>
    <row r="3065" ht="12.75">
      <c r="A3065" s="187"/>
    </row>
    <row r="3066" ht="12.75">
      <c r="A3066" s="187"/>
    </row>
    <row r="3067" ht="12.75">
      <c r="A3067" s="187"/>
    </row>
    <row r="3068" ht="12.75">
      <c r="A3068" s="187"/>
    </row>
    <row r="3069" ht="12.75">
      <c r="A3069" s="187"/>
    </row>
    <row r="3070" ht="12.75">
      <c r="A3070" s="187"/>
    </row>
    <row r="3071" ht="12.75">
      <c r="A3071" s="187"/>
    </row>
    <row r="3072" ht="12.75">
      <c r="A3072" s="187"/>
    </row>
    <row r="3073" ht="12.75">
      <c r="A3073" s="187"/>
    </row>
    <row r="3074" ht="12.75">
      <c r="A3074" s="187"/>
    </row>
    <row r="3075" ht="12.75">
      <c r="A3075" s="187"/>
    </row>
    <row r="3076" ht="12.75">
      <c r="A3076" s="187"/>
    </row>
    <row r="3077" ht="12.75">
      <c r="A3077" s="187"/>
    </row>
    <row r="3078" ht="12.75">
      <c r="A3078" s="187"/>
    </row>
    <row r="3079" ht="12.75">
      <c r="A3079" s="187"/>
    </row>
    <row r="3080" ht="12.75">
      <c r="A3080" s="187"/>
    </row>
    <row r="3081" ht="12.75">
      <c r="A3081" s="187"/>
    </row>
    <row r="3082" ht="12.75">
      <c r="A3082" s="187"/>
    </row>
    <row r="3083" ht="12.75">
      <c r="A3083" s="187"/>
    </row>
    <row r="3084" ht="12.75">
      <c r="A3084" s="187"/>
    </row>
    <row r="3085" ht="12.75">
      <c r="A3085" s="187"/>
    </row>
    <row r="3086" ht="12.75">
      <c r="A3086" s="187"/>
    </row>
    <row r="3087" ht="12.75">
      <c r="A3087" s="187"/>
    </row>
    <row r="3088" ht="12.75">
      <c r="A3088" s="187"/>
    </row>
    <row r="3089" ht="12.75">
      <c r="A3089" s="187"/>
    </row>
    <row r="3090" ht="12.75">
      <c r="A3090" s="187"/>
    </row>
    <row r="3091" ht="12.75">
      <c r="A3091" s="187"/>
    </row>
    <row r="3092" ht="12.75">
      <c r="A3092" s="187"/>
    </row>
    <row r="3093" ht="12.75">
      <c r="A3093" s="187"/>
    </row>
    <row r="3094" ht="12.75">
      <c r="A3094" s="187"/>
    </row>
    <row r="3095" ht="12.75">
      <c r="A3095" s="187"/>
    </row>
    <row r="3096" ht="12.75">
      <c r="A3096" s="187"/>
    </row>
    <row r="3097" ht="12.75">
      <c r="A3097" s="187"/>
    </row>
    <row r="3098" ht="12.75">
      <c r="A3098" s="187"/>
    </row>
    <row r="3099" ht="12.75">
      <c r="A3099" s="187"/>
    </row>
    <row r="3100" ht="12.75">
      <c r="A3100" s="187"/>
    </row>
    <row r="3101" ht="12.75">
      <c r="A3101" s="187"/>
    </row>
    <row r="3102" ht="12.75">
      <c r="A3102" s="187"/>
    </row>
    <row r="3103" ht="12.75">
      <c r="A3103" s="187"/>
    </row>
    <row r="3104" ht="12.75">
      <c r="A3104" s="187"/>
    </row>
    <row r="3105" ht="12.75">
      <c r="A3105" s="187"/>
    </row>
    <row r="3106" ht="12.75">
      <c r="A3106" s="187"/>
    </row>
    <row r="3107" ht="12.75">
      <c r="A3107" s="187"/>
    </row>
    <row r="3108" ht="12.75">
      <c r="A3108" s="187"/>
    </row>
    <row r="3109" ht="12.75">
      <c r="A3109" s="187"/>
    </row>
    <row r="3110" ht="12.75">
      <c r="A3110" s="187"/>
    </row>
    <row r="3111" ht="12.75">
      <c r="A3111" s="187"/>
    </row>
    <row r="3112" ht="12.75">
      <c r="A3112" s="187"/>
    </row>
    <row r="3113" ht="12.75">
      <c r="A3113" s="187"/>
    </row>
    <row r="3114" ht="12.75">
      <c r="A3114" s="187"/>
    </row>
    <row r="3115" ht="12.75">
      <c r="A3115" s="187"/>
    </row>
    <row r="3116" ht="12.75">
      <c r="A3116" s="187"/>
    </row>
    <row r="3117" ht="12.75">
      <c r="A3117" s="187"/>
    </row>
    <row r="3118" ht="12.75">
      <c r="A3118" s="187"/>
    </row>
    <row r="3119" ht="12.75">
      <c r="A3119" s="187"/>
    </row>
    <row r="3120" ht="12.75">
      <c r="A3120" s="187"/>
    </row>
    <row r="3121" ht="12.75">
      <c r="A3121" s="187"/>
    </row>
    <row r="3122" ht="12.75">
      <c r="A3122" s="187"/>
    </row>
    <row r="3123" ht="12.75">
      <c r="A3123" s="187"/>
    </row>
    <row r="3124" ht="12.75">
      <c r="A3124" s="187"/>
    </row>
    <row r="3125" ht="12.75">
      <c r="A3125" s="187"/>
    </row>
    <row r="3126" ht="12.75">
      <c r="A3126" s="187"/>
    </row>
    <row r="3127" ht="12.75">
      <c r="A3127" s="187"/>
    </row>
    <row r="3128" ht="12.75">
      <c r="A3128" s="187"/>
    </row>
    <row r="3129" ht="12.75">
      <c r="A3129" s="187"/>
    </row>
    <row r="3130" ht="12.75">
      <c r="A3130" s="187"/>
    </row>
    <row r="3131" ht="12.75">
      <c r="A3131" s="187"/>
    </row>
    <row r="3132" ht="12.75">
      <c r="A3132" s="187"/>
    </row>
    <row r="3133" ht="12.75">
      <c r="A3133" s="187"/>
    </row>
    <row r="3134" ht="12.75">
      <c r="A3134" s="187"/>
    </row>
    <row r="3135" ht="12.75">
      <c r="A3135" s="187"/>
    </row>
    <row r="3136" ht="12.75">
      <c r="A3136" s="187"/>
    </row>
    <row r="3137" ht="12.75">
      <c r="A3137" s="187"/>
    </row>
    <row r="3138" ht="12.75">
      <c r="A3138" s="187"/>
    </row>
    <row r="3139" ht="12.75">
      <c r="A3139" s="187"/>
    </row>
    <row r="3140" ht="12.75">
      <c r="A3140" s="187"/>
    </row>
    <row r="3141" ht="12.75">
      <c r="A3141" s="187"/>
    </row>
    <row r="3142" ht="12.75">
      <c r="A3142" s="187"/>
    </row>
    <row r="3143" ht="12.75">
      <c r="A3143" s="187"/>
    </row>
    <row r="3144" ht="12.75">
      <c r="A3144" s="187"/>
    </row>
    <row r="3145" ht="12.75">
      <c r="A3145" s="187"/>
    </row>
    <row r="3146" ht="12.75">
      <c r="A3146" s="187"/>
    </row>
    <row r="3147" ht="12.75">
      <c r="A3147" s="187"/>
    </row>
    <row r="3148" ht="12.75">
      <c r="A3148" s="187"/>
    </row>
    <row r="3149" ht="12.75">
      <c r="A3149" s="187"/>
    </row>
    <row r="3150" ht="12.75">
      <c r="A3150" s="187"/>
    </row>
    <row r="3151" ht="12.75">
      <c r="A3151" s="187"/>
    </row>
    <row r="3152" ht="12.75">
      <c r="A3152" s="187"/>
    </row>
    <row r="3153" ht="12.75">
      <c r="A3153" s="187"/>
    </row>
    <row r="3154" ht="12.75">
      <c r="A3154" s="187"/>
    </row>
    <row r="3155" ht="12.75">
      <c r="A3155" s="187"/>
    </row>
    <row r="3156" ht="12.75">
      <c r="A3156" s="187"/>
    </row>
    <row r="3157" ht="12.75">
      <c r="A3157" s="187"/>
    </row>
    <row r="3158" ht="12.75">
      <c r="A3158" s="187"/>
    </row>
    <row r="3159" ht="12.75">
      <c r="A3159" s="187"/>
    </row>
    <row r="3160" ht="12.75">
      <c r="A3160" s="187"/>
    </row>
    <row r="3161" ht="12.75">
      <c r="A3161" s="187"/>
    </row>
    <row r="3162" ht="12.75">
      <c r="A3162" s="187"/>
    </row>
    <row r="3163" ht="12.75">
      <c r="A3163" s="187"/>
    </row>
    <row r="3164" ht="12.75">
      <c r="A3164" s="187"/>
    </row>
    <row r="3165" ht="12.75">
      <c r="A3165" s="187"/>
    </row>
    <row r="3166" ht="12.75">
      <c r="A3166" s="187"/>
    </row>
    <row r="3167" ht="12.75">
      <c r="A3167" s="187"/>
    </row>
    <row r="3168" ht="12.75">
      <c r="A3168" s="187"/>
    </row>
    <row r="3169" ht="12.75">
      <c r="A3169" s="187"/>
    </row>
    <row r="3170" ht="12.75">
      <c r="A3170" s="187"/>
    </row>
    <row r="3171" ht="12.75">
      <c r="A3171" s="187"/>
    </row>
    <row r="3172" ht="12.75">
      <c r="A3172" s="187"/>
    </row>
    <row r="3173" ht="12.75">
      <c r="A3173" s="187"/>
    </row>
    <row r="3174" ht="12.75">
      <c r="A3174" s="187"/>
    </row>
    <row r="3175" ht="12.75">
      <c r="A3175" s="187"/>
    </row>
    <row r="3176" ht="12.75">
      <c r="A3176" s="187"/>
    </row>
    <row r="3177" ht="12.75">
      <c r="A3177" s="187"/>
    </row>
    <row r="3178" ht="12.75">
      <c r="A3178" s="187"/>
    </row>
    <row r="3179" ht="12.75">
      <c r="A3179" s="187"/>
    </row>
    <row r="3180" ht="12.75">
      <c r="A3180" s="187"/>
    </row>
    <row r="3181" ht="12.75">
      <c r="A3181" s="187"/>
    </row>
    <row r="3182" ht="12.75">
      <c r="A3182" s="187"/>
    </row>
    <row r="3183" ht="12.75">
      <c r="A3183" s="187"/>
    </row>
    <row r="3184" ht="12.75">
      <c r="A3184" s="187"/>
    </row>
    <row r="3185" ht="12.75">
      <c r="A3185" s="187"/>
    </row>
    <row r="3186" ht="12.75">
      <c r="A3186" s="187"/>
    </row>
    <row r="3187" ht="12.75">
      <c r="A3187" s="187"/>
    </row>
    <row r="3188" ht="12.75">
      <c r="A3188" s="187"/>
    </row>
    <row r="3189" ht="12.75">
      <c r="A3189" s="187"/>
    </row>
    <row r="3190" ht="12.75">
      <c r="A3190" s="187"/>
    </row>
    <row r="3191" ht="12.75">
      <c r="A3191" s="187"/>
    </row>
    <row r="3192" ht="12.75">
      <c r="A3192" s="187"/>
    </row>
    <row r="3193" ht="12.75">
      <c r="A3193" s="187"/>
    </row>
    <row r="3194" ht="12.75">
      <c r="A3194" s="187"/>
    </row>
    <row r="3195" ht="12.75">
      <c r="A3195" s="187"/>
    </row>
    <row r="3196" ht="12.75">
      <c r="A3196" s="187"/>
    </row>
    <row r="3197" ht="12.75">
      <c r="A3197" s="187"/>
    </row>
    <row r="3198" ht="12.75">
      <c r="A3198" s="187"/>
    </row>
    <row r="3199" ht="12.75">
      <c r="A3199" s="187"/>
    </row>
    <row r="3200" ht="12.75">
      <c r="A3200" s="187"/>
    </row>
    <row r="3201" ht="12.75">
      <c r="A3201" s="187"/>
    </row>
    <row r="3202" ht="12.75">
      <c r="A3202" s="187"/>
    </row>
    <row r="3203" ht="12.75">
      <c r="A3203" s="187"/>
    </row>
    <row r="3204" ht="12.75">
      <c r="A3204" s="187"/>
    </row>
    <row r="3205" ht="12.75">
      <c r="A3205" s="187"/>
    </row>
    <row r="3206" ht="12.75">
      <c r="A3206" s="187"/>
    </row>
    <row r="3207" ht="12.75">
      <c r="A3207" s="187"/>
    </row>
    <row r="3208" ht="12.75">
      <c r="A3208" s="187"/>
    </row>
    <row r="3209" ht="12.75">
      <c r="A3209" s="187"/>
    </row>
    <row r="3210" ht="12.75">
      <c r="A3210" s="187"/>
    </row>
    <row r="3211" ht="12.75">
      <c r="A3211" s="187"/>
    </row>
    <row r="3212" ht="12.75">
      <c r="A3212" s="187"/>
    </row>
    <row r="3213" ht="12.75">
      <c r="A3213" s="187"/>
    </row>
    <row r="3214" ht="12.75">
      <c r="A3214" s="187"/>
    </row>
    <row r="3215" ht="12.75">
      <c r="A3215" s="187"/>
    </row>
    <row r="3216" ht="12.75">
      <c r="A3216" s="187"/>
    </row>
    <row r="3217" ht="12.75">
      <c r="A3217" s="187"/>
    </row>
    <row r="3218" ht="12.75">
      <c r="A3218" s="187"/>
    </row>
    <row r="3219" ht="12.75">
      <c r="A3219" s="187"/>
    </row>
    <row r="3220" ht="12.75">
      <c r="A3220" s="187"/>
    </row>
    <row r="3221" ht="12.75">
      <c r="A3221" s="187"/>
    </row>
    <row r="3222" ht="12.75">
      <c r="A3222" s="187"/>
    </row>
    <row r="3223" ht="12.75">
      <c r="A3223" s="187"/>
    </row>
    <row r="3224" ht="12.75">
      <c r="A3224" s="187"/>
    </row>
    <row r="3225" ht="12.75">
      <c r="A3225" s="187"/>
    </row>
    <row r="3226" ht="12.75">
      <c r="A3226" s="187"/>
    </row>
    <row r="3227" ht="12.75">
      <c r="A3227" s="187"/>
    </row>
    <row r="3228" ht="12.75">
      <c r="A3228" s="187"/>
    </row>
    <row r="3229" ht="12.75">
      <c r="A3229" s="187"/>
    </row>
    <row r="3230" ht="12.75">
      <c r="A3230" s="187"/>
    </row>
    <row r="3231" ht="12.75">
      <c r="A3231" s="187"/>
    </row>
    <row r="3232" ht="12.75">
      <c r="A3232" s="187"/>
    </row>
    <row r="3233" ht="12.75">
      <c r="A3233" s="187"/>
    </row>
    <row r="3234" ht="12.75">
      <c r="A3234" s="187"/>
    </row>
    <row r="3235" ht="12.75">
      <c r="A3235" s="187"/>
    </row>
    <row r="3236" ht="12.75">
      <c r="A3236" s="187"/>
    </row>
    <row r="3237" ht="12.75">
      <c r="A3237" s="187"/>
    </row>
    <row r="3238" ht="12.75">
      <c r="A3238" s="187"/>
    </row>
    <row r="3239" ht="12.75">
      <c r="A3239" s="187"/>
    </row>
    <row r="3240" ht="12.75">
      <c r="A3240" s="187"/>
    </row>
    <row r="3241" ht="12.75">
      <c r="A3241" s="187"/>
    </row>
    <row r="3242" ht="12.75">
      <c r="A3242" s="187"/>
    </row>
    <row r="3243" ht="12.75">
      <c r="A3243" s="187"/>
    </row>
    <row r="3244" ht="12.75">
      <c r="A3244" s="187"/>
    </row>
    <row r="3245" ht="12.75">
      <c r="A3245" s="187"/>
    </row>
    <row r="3246" ht="12.75">
      <c r="A3246" s="187"/>
    </row>
    <row r="3247" ht="12.75">
      <c r="A3247" s="187"/>
    </row>
    <row r="3248" ht="12.75">
      <c r="A3248" s="187"/>
    </row>
    <row r="3249" ht="12.75">
      <c r="A3249" s="187"/>
    </row>
    <row r="3250" ht="12.75">
      <c r="A3250" s="187"/>
    </row>
    <row r="3251" ht="12.75">
      <c r="A3251" s="187"/>
    </row>
    <row r="3252" ht="12.75">
      <c r="A3252" s="187"/>
    </row>
    <row r="3253" ht="12.75">
      <c r="A3253" s="187"/>
    </row>
    <row r="3254" ht="12.75">
      <c r="A3254" s="187"/>
    </row>
    <row r="3255" ht="12.75">
      <c r="A3255" s="187"/>
    </row>
    <row r="3256" ht="12.75">
      <c r="A3256" s="187"/>
    </row>
    <row r="3257" ht="12.75">
      <c r="A3257" s="187"/>
    </row>
    <row r="3258" ht="12.75">
      <c r="A3258" s="187"/>
    </row>
    <row r="3259" ht="12.75">
      <c r="A3259" s="187"/>
    </row>
    <row r="3260" ht="12.75">
      <c r="A3260" s="187"/>
    </row>
    <row r="3261" ht="12.75">
      <c r="A3261" s="187"/>
    </row>
    <row r="3262" ht="12.75">
      <c r="A3262" s="187"/>
    </row>
    <row r="3263" ht="12.75">
      <c r="A3263" s="187"/>
    </row>
    <row r="3264" ht="12.75">
      <c r="A3264" s="187"/>
    </row>
    <row r="3265" ht="12.75">
      <c r="A3265" s="187"/>
    </row>
    <row r="3266" ht="12.75">
      <c r="A3266" s="187"/>
    </row>
    <row r="3267" ht="12.75">
      <c r="A3267" s="187"/>
    </row>
    <row r="3268" ht="12.75">
      <c r="A3268" s="187"/>
    </row>
    <row r="3269" ht="12.75">
      <c r="A3269" s="187"/>
    </row>
    <row r="3270" ht="12.75">
      <c r="A3270" s="187"/>
    </row>
    <row r="3271" ht="12.75">
      <c r="A3271" s="187"/>
    </row>
    <row r="3272" ht="12.75">
      <c r="A3272" s="187"/>
    </row>
    <row r="3273" ht="12.75">
      <c r="A3273" s="187"/>
    </row>
    <row r="3274" ht="12.75">
      <c r="A3274" s="187"/>
    </row>
    <row r="3275" ht="12.75">
      <c r="A3275" s="187"/>
    </row>
    <row r="3276" ht="12.75">
      <c r="A3276" s="187"/>
    </row>
    <row r="3277" ht="12.75">
      <c r="A3277" s="187"/>
    </row>
    <row r="3278" ht="12.75">
      <c r="A3278" s="187"/>
    </row>
    <row r="3279" ht="12.75">
      <c r="A3279" s="187"/>
    </row>
    <row r="3280" ht="12.75">
      <c r="A3280" s="187"/>
    </row>
    <row r="3281" ht="12.75">
      <c r="A3281" s="187"/>
    </row>
    <row r="3282" ht="12.75">
      <c r="A3282" s="187"/>
    </row>
    <row r="3283" ht="12.75">
      <c r="A3283" s="187"/>
    </row>
    <row r="3284" ht="12.75">
      <c r="A3284" s="187"/>
    </row>
    <row r="3285" ht="12.75">
      <c r="A3285" s="187"/>
    </row>
    <row r="3286" ht="12.75">
      <c r="A3286" s="187"/>
    </row>
    <row r="3287" ht="12.75">
      <c r="A3287" s="187"/>
    </row>
    <row r="3288" ht="12.75">
      <c r="A3288" s="187"/>
    </row>
    <row r="3289" ht="12.75">
      <c r="A3289" s="187"/>
    </row>
    <row r="3290" ht="12.75">
      <c r="A3290" s="187"/>
    </row>
    <row r="3291" ht="12.75">
      <c r="A3291" s="187"/>
    </row>
    <row r="3292" ht="12.75">
      <c r="A3292" s="187"/>
    </row>
    <row r="3293" ht="12.75">
      <c r="A3293" s="187"/>
    </row>
    <row r="3294" ht="12.75">
      <c r="A3294" s="187"/>
    </row>
    <row r="3295" ht="12.75">
      <c r="A3295" s="187"/>
    </row>
    <row r="3296" ht="12.75">
      <c r="A3296" s="187"/>
    </row>
    <row r="3297" ht="12.75">
      <c r="A3297" s="187"/>
    </row>
    <row r="3298" ht="12.75">
      <c r="A3298" s="187"/>
    </row>
    <row r="3299" ht="12.75">
      <c r="A3299" s="187"/>
    </row>
    <row r="3300" ht="12.75">
      <c r="A3300" s="187"/>
    </row>
    <row r="3301" ht="12.75">
      <c r="A3301" s="187"/>
    </row>
    <row r="3302" ht="12.75">
      <c r="A3302" s="187"/>
    </row>
    <row r="3303" ht="12.75">
      <c r="A3303" s="187"/>
    </row>
    <row r="3304" ht="12.75">
      <c r="A3304" s="187"/>
    </row>
    <row r="3305" ht="12.75">
      <c r="A3305" s="187"/>
    </row>
    <row r="3306" ht="12.75">
      <c r="A3306" s="187"/>
    </row>
    <row r="3307" ht="12.75">
      <c r="A3307" s="187"/>
    </row>
    <row r="3308" ht="12.75">
      <c r="A3308" s="187"/>
    </row>
    <row r="3309" ht="12.75">
      <c r="A3309" s="187"/>
    </row>
    <row r="3310" ht="12.75">
      <c r="A3310" s="187"/>
    </row>
    <row r="3311" ht="12.75">
      <c r="A3311" s="187"/>
    </row>
    <row r="3312" ht="12.75">
      <c r="A3312" s="187"/>
    </row>
    <row r="3313" ht="12.75">
      <c r="A3313" s="187"/>
    </row>
    <row r="3314" ht="12.75">
      <c r="A3314" s="187"/>
    </row>
    <row r="3315" ht="12.75">
      <c r="A3315" s="187"/>
    </row>
    <row r="3316" ht="12.75">
      <c r="A3316" s="187"/>
    </row>
    <row r="3317" ht="12.75">
      <c r="A3317" s="187"/>
    </row>
    <row r="3318" ht="12.75">
      <c r="A3318" s="187"/>
    </row>
    <row r="3319" ht="12.75">
      <c r="A3319" s="187"/>
    </row>
    <row r="3320" ht="12.75">
      <c r="A3320" s="187"/>
    </row>
    <row r="3321" ht="12.75">
      <c r="A3321" s="187"/>
    </row>
    <row r="3322" ht="12.75">
      <c r="A3322" s="187"/>
    </row>
    <row r="3323" ht="12.75">
      <c r="A3323" s="187"/>
    </row>
    <row r="3324" ht="12.75">
      <c r="A3324" s="187"/>
    </row>
    <row r="3325" ht="12.75">
      <c r="A3325" s="187"/>
    </row>
    <row r="3326" ht="12.75">
      <c r="A3326" s="187"/>
    </row>
    <row r="3327" ht="12.75">
      <c r="A3327" s="187"/>
    </row>
    <row r="3328" ht="12.75">
      <c r="A3328" s="187"/>
    </row>
    <row r="3329" ht="12.75">
      <c r="A3329" s="187"/>
    </row>
    <row r="3330" ht="12.75">
      <c r="A3330" s="187"/>
    </row>
    <row r="3331" ht="12.75">
      <c r="A3331" s="187"/>
    </row>
    <row r="3332" ht="12.75">
      <c r="A3332" s="187"/>
    </row>
    <row r="3333" ht="12.75">
      <c r="A3333" s="187"/>
    </row>
    <row r="3334" ht="12.75">
      <c r="A3334" s="187"/>
    </row>
    <row r="3335" ht="12.75">
      <c r="A3335" s="187"/>
    </row>
    <row r="3336" ht="12.75">
      <c r="A3336" s="187"/>
    </row>
    <row r="3337" ht="12.75">
      <c r="A3337" s="187"/>
    </row>
    <row r="3338" ht="12.75">
      <c r="A3338" s="187"/>
    </row>
    <row r="3339" ht="12.75">
      <c r="A3339" s="187"/>
    </row>
    <row r="3340" ht="12.75">
      <c r="A3340" s="187"/>
    </row>
    <row r="3341" ht="12.75">
      <c r="A3341" s="187"/>
    </row>
    <row r="3342" ht="12.75">
      <c r="A3342" s="187"/>
    </row>
    <row r="3343" ht="12.75">
      <c r="A3343" s="187"/>
    </row>
    <row r="3344" ht="12.75">
      <c r="A3344" s="187"/>
    </row>
    <row r="3345" ht="12.75">
      <c r="A3345" s="187"/>
    </row>
    <row r="3346" ht="12.75">
      <c r="A3346" s="187"/>
    </row>
    <row r="3347" ht="12.75">
      <c r="A3347" s="187"/>
    </row>
    <row r="3348" ht="12.75">
      <c r="A3348" s="187"/>
    </row>
    <row r="3349" ht="12.75">
      <c r="A3349" s="187"/>
    </row>
    <row r="3350" ht="12.75">
      <c r="A3350" s="187"/>
    </row>
    <row r="3351" ht="12.75">
      <c r="A3351" s="187"/>
    </row>
    <row r="3352" ht="12.75">
      <c r="A3352" s="187"/>
    </row>
    <row r="3353" ht="12.75">
      <c r="A3353" s="187"/>
    </row>
    <row r="3354" ht="12.75">
      <c r="A3354" s="187"/>
    </row>
    <row r="3355" ht="12.75">
      <c r="A3355" s="187"/>
    </row>
    <row r="3356" ht="12.75">
      <c r="A3356" s="187"/>
    </row>
    <row r="3357" ht="12.75">
      <c r="A3357" s="187"/>
    </row>
    <row r="3358" ht="12.75">
      <c r="A3358" s="187"/>
    </row>
    <row r="3359" ht="12.75">
      <c r="A3359" s="187"/>
    </row>
    <row r="3360" ht="12.75">
      <c r="A3360" s="187"/>
    </row>
    <row r="3361" ht="12.75">
      <c r="A3361" s="187"/>
    </row>
    <row r="3362" ht="12.75">
      <c r="A3362" s="187"/>
    </row>
    <row r="3363" ht="12.75">
      <c r="A3363" s="187"/>
    </row>
    <row r="3364" ht="12.75">
      <c r="A3364" s="187"/>
    </row>
    <row r="3365" ht="12.75">
      <c r="A3365" s="187"/>
    </row>
    <row r="3366" ht="12.75">
      <c r="A3366" s="187"/>
    </row>
    <row r="3367" ht="12.75">
      <c r="A3367" s="187"/>
    </row>
    <row r="3368" ht="12.75">
      <c r="A3368" s="187"/>
    </row>
    <row r="3369" ht="12.75">
      <c r="A3369" s="187"/>
    </row>
    <row r="3370" ht="12.75">
      <c r="A3370" s="187"/>
    </row>
    <row r="3371" ht="12.75">
      <c r="A3371" s="187"/>
    </row>
    <row r="3372" ht="12.75">
      <c r="A3372" s="187"/>
    </row>
    <row r="3373" ht="12.75">
      <c r="A3373" s="187"/>
    </row>
    <row r="3374" ht="12.75">
      <c r="A3374" s="187"/>
    </row>
    <row r="3375" ht="12.75">
      <c r="A3375" s="187"/>
    </row>
    <row r="3376" ht="12.75">
      <c r="A3376" s="187"/>
    </row>
    <row r="3377" ht="12.75">
      <c r="A3377" s="187"/>
    </row>
    <row r="3378" ht="12.75">
      <c r="A3378" s="187"/>
    </row>
    <row r="3379" ht="12.75">
      <c r="A3379" s="187"/>
    </row>
    <row r="3380" ht="12.75">
      <c r="A3380" s="187"/>
    </row>
    <row r="3381" ht="12.75">
      <c r="A3381" s="187"/>
    </row>
    <row r="3382" ht="12.75">
      <c r="A3382" s="187"/>
    </row>
    <row r="3383" ht="12.75">
      <c r="A3383" s="187"/>
    </row>
    <row r="3384" ht="12.75">
      <c r="A3384" s="187"/>
    </row>
    <row r="3385" ht="12.75">
      <c r="A3385" s="187"/>
    </row>
    <row r="3386" ht="12.75">
      <c r="A3386" s="187"/>
    </row>
    <row r="3387" ht="12.75">
      <c r="A3387" s="187"/>
    </row>
    <row r="3388" ht="12.75">
      <c r="A3388" s="187"/>
    </row>
    <row r="3389" ht="12.75">
      <c r="A3389" s="187"/>
    </row>
    <row r="3390" ht="12.75">
      <c r="A3390" s="187"/>
    </row>
    <row r="3391" ht="12.75">
      <c r="A3391" s="187"/>
    </row>
    <row r="3392" ht="12.75">
      <c r="A3392" s="187"/>
    </row>
    <row r="3393" ht="12.75">
      <c r="A3393" s="187"/>
    </row>
    <row r="3394" ht="12.75">
      <c r="A3394" s="187"/>
    </row>
    <row r="3395" ht="12.75">
      <c r="A3395" s="187"/>
    </row>
    <row r="3396" ht="12.75">
      <c r="A3396" s="187"/>
    </row>
    <row r="3397" ht="12.75">
      <c r="A3397" s="187"/>
    </row>
    <row r="3398" ht="12.75">
      <c r="A3398" s="187"/>
    </row>
    <row r="3399" ht="12.75">
      <c r="A3399" s="187"/>
    </row>
    <row r="3400" ht="12.75">
      <c r="A3400" s="187"/>
    </row>
    <row r="3401" ht="12.75">
      <c r="A3401" s="187"/>
    </row>
    <row r="3402" ht="12.75">
      <c r="A3402" s="187"/>
    </row>
    <row r="3403" ht="12.75">
      <c r="A3403" s="187"/>
    </row>
    <row r="3404" ht="12.75">
      <c r="A3404" s="187"/>
    </row>
    <row r="3405" ht="12.75">
      <c r="A3405" s="187"/>
    </row>
    <row r="3406" ht="12.75">
      <c r="A3406" s="187"/>
    </row>
    <row r="3407" ht="12.75">
      <c r="A3407" s="187"/>
    </row>
    <row r="3408" ht="12.75">
      <c r="A3408" s="187"/>
    </row>
    <row r="3409" ht="12.75">
      <c r="A3409" s="187"/>
    </row>
    <row r="3410" ht="12.75">
      <c r="A3410" s="187"/>
    </row>
    <row r="3411" ht="12.75">
      <c r="A3411" s="187"/>
    </row>
    <row r="3412" ht="12.75">
      <c r="A3412" s="187"/>
    </row>
    <row r="3413" ht="12.75">
      <c r="A3413" s="187"/>
    </row>
    <row r="3414" ht="12.75">
      <c r="A3414" s="187"/>
    </row>
    <row r="3415" ht="12.75">
      <c r="A3415" s="187"/>
    </row>
    <row r="3416" ht="12.75">
      <c r="A3416" s="187"/>
    </row>
    <row r="3417" ht="12.75">
      <c r="A3417" s="187"/>
    </row>
    <row r="3418" ht="12.75">
      <c r="A3418" s="187"/>
    </row>
    <row r="3419" ht="12.75">
      <c r="A3419" s="187"/>
    </row>
    <row r="3420" ht="12.75">
      <c r="A3420" s="187"/>
    </row>
    <row r="3421" ht="12.75">
      <c r="A3421" s="187"/>
    </row>
    <row r="3422" ht="12.75">
      <c r="A3422" s="187"/>
    </row>
    <row r="3423" ht="12.75">
      <c r="A3423" s="187"/>
    </row>
    <row r="3424" ht="12.75">
      <c r="A3424" s="187"/>
    </row>
    <row r="3425" ht="12.75">
      <c r="A3425" s="187"/>
    </row>
    <row r="3426" ht="12.75">
      <c r="A3426" s="187"/>
    </row>
    <row r="3427" ht="12.75">
      <c r="A3427" s="187"/>
    </row>
    <row r="3428" ht="12.75">
      <c r="A3428" s="187"/>
    </row>
    <row r="3429" ht="12.75">
      <c r="A3429" s="187"/>
    </row>
    <row r="3430" ht="12.75">
      <c r="A3430" s="187"/>
    </row>
    <row r="3431" ht="12.75">
      <c r="A3431" s="187"/>
    </row>
    <row r="3432" ht="12.75">
      <c r="A3432" s="187"/>
    </row>
    <row r="3433" ht="12.75">
      <c r="A3433" s="187"/>
    </row>
    <row r="3434" ht="12.75">
      <c r="A3434" s="187"/>
    </row>
    <row r="3435" ht="12.75">
      <c r="A3435" s="187"/>
    </row>
    <row r="3436" ht="12.75">
      <c r="A3436" s="187"/>
    </row>
    <row r="3437" ht="12.75">
      <c r="A3437" s="187"/>
    </row>
    <row r="3438" ht="12.75">
      <c r="A3438" s="187"/>
    </row>
    <row r="3439" ht="12.75">
      <c r="A3439" s="187"/>
    </row>
    <row r="3440" ht="12.75">
      <c r="A3440" s="187"/>
    </row>
    <row r="3441" ht="12.75">
      <c r="A3441" s="187"/>
    </row>
    <row r="3442" ht="12.75">
      <c r="A3442" s="187"/>
    </row>
    <row r="3443" ht="12.75">
      <c r="A3443" s="187"/>
    </row>
    <row r="3444" ht="12.75">
      <c r="A3444" s="187"/>
    </row>
    <row r="3445" ht="12.75">
      <c r="A3445" s="187"/>
    </row>
    <row r="3446" ht="12.75">
      <c r="A3446" s="187"/>
    </row>
    <row r="3447" ht="12.75">
      <c r="A3447" s="187"/>
    </row>
    <row r="3448" ht="12.75">
      <c r="A3448" s="187"/>
    </row>
    <row r="3449" ht="12.75">
      <c r="A3449" s="187"/>
    </row>
    <row r="3450" ht="12.75">
      <c r="A3450" s="187"/>
    </row>
    <row r="3451" ht="12.75">
      <c r="A3451" s="187"/>
    </row>
    <row r="3452" ht="12.75">
      <c r="A3452" s="187"/>
    </row>
    <row r="3453" ht="12.75">
      <c r="A3453" s="187"/>
    </row>
    <row r="3454" ht="12.75">
      <c r="A3454" s="187"/>
    </row>
    <row r="3455" ht="12.75">
      <c r="A3455" s="187"/>
    </row>
    <row r="3456" ht="12.75">
      <c r="A3456" s="187"/>
    </row>
    <row r="3457" ht="12.75">
      <c r="A3457" s="187"/>
    </row>
    <row r="3458" ht="12.75">
      <c r="A3458" s="187"/>
    </row>
    <row r="3459" ht="12.75">
      <c r="A3459" s="187"/>
    </row>
    <row r="3460" ht="12.75">
      <c r="A3460" s="187"/>
    </row>
    <row r="3461" ht="12.75">
      <c r="A3461" s="187"/>
    </row>
    <row r="3462" ht="12.75">
      <c r="A3462" s="187"/>
    </row>
    <row r="3463" ht="12.75">
      <c r="A3463" s="187"/>
    </row>
    <row r="3464" ht="12.75">
      <c r="A3464" s="187"/>
    </row>
    <row r="3465" ht="12.75">
      <c r="A3465" s="187"/>
    </row>
    <row r="3466" ht="12.75">
      <c r="A3466" s="187"/>
    </row>
    <row r="3467" ht="12.75">
      <c r="A3467" s="187"/>
    </row>
    <row r="3468" ht="12.75">
      <c r="A3468" s="187"/>
    </row>
    <row r="3469" ht="12.75">
      <c r="A3469" s="187"/>
    </row>
    <row r="3470" ht="12.75">
      <c r="A3470" s="187"/>
    </row>
    <row r="3471" ht="12.75">
      <c r="A3471" s="187"/>
    </row>
    <row r="3472" ht="12.75">
      <c r="A3472" s="187"/>
    </row>
    <row r="3473" ht="12.75">
      <c r="A3473" s="187"/>
    </row>
    <row r="3474" ht="12.75">
      <c r="A3474" s="187"/>
    </row>
    <row r="3475" ht="12.75">
      <c r="A3475" s="187"/>
    </row>
    <row r="3476" ht="12.75">
      <c r="A3476" s="187"/>
    </row>
    <row r="3477" ht="12.75">
      <c r="A3477" s="187"/>
    </row>
    <row r="3478" ht="12.75">
      <c r="A3478" s="187"/>
    </row>
    <row r="3479" ht="12.75">
      <c r="A3479" s="187"/>
    </row>
    <row r="3480" ht="12.75">
      <c r="A3480" s="187"/>
    </row>
    <row r="3481" ht="12.75">
      <c r="A3481" s="187"/>
    </row>
    <row r="3482" ht="12.75">
      <c r="A3482" s="187"/>
    </row>
    <row r="3483" ht="12.75">
      <c r="A3483" s="187"/>
    </row>
    <row r="3484" ht="12.75">
      <c r="A3484" s="187"/>
    </row>
    <row r="3485" ht="12.75">
      <c r="A3485" s="187"/>
    </row>
    <row r="3486" ht="12.75">
      <c r="A3486" s="187"/>
    </row>
    <row r="3487" ht="12.75">
      <c r="A3487" s="187"/>
    </row>
    <row r="3488" ht="12.75">
      <c r="A3488" s="187"/>
    </row>
    <row r="3489" ht="12.75">
      <c r="A3489" s="187"/>
    </row>
    <row r="3490" ht="12.75">
      <c r="A3490" s="187"/>
    </row>
    <row r="3491" ht="12.75">
      <c r="A3491" s="187"/>
    </row>
    <row r="3492" ht="12.75">
      <c r="A3492" s="187"/>
    </row>
    <row r="3493" ht="12.75">
      <c r="A3493" s="187"/>
    </row>
    <row r="3494" ht="12.75">
      <c r="A3494" s="187"/>
    </row>
    <row r="3495" ht="12.75">
      <c r="A3495" s="187"/>
    </row>
    <row r="3496" ht="12.75">
      <c r="A3496" s="187"/>
    </row>
    <row r="3497" ht="12.75">
      <c r="A3497" s="187"/>
    </row>
    <row r="3498" ht="12.75">
      <c r="A3498" s="187"/>
    </row>
    <row r="3499" ht="12.75">
      <c r="A3499" s="187"/>
    </row>
    <row r="3500" ht="12.75">
      <c r="A3500" s="187"/>
    </row>
    <row r="3501" ht="12.75">
      <c r="A3501" s="187"/>
    </row>
    <row r="3502" ht="12.75">
      <c r="A3502" s="187"/>
    </row>
    <row r="3503" ht="12.75">
      <c r="A3503" s="187"/>
    </row>
    <row r="3504" ht="12.75">
      <c r="A3504" s="187"/>
    </row>
    <row r="3505" ht="12.75">
      <c r="A3505" s="187"/>
    </row>
    <row r="3506" ht="12.75">
      <c r="A3506" s="187"/>
    </row>
    <row r="3507" ht="12.75">
      <c r="A3507" s="187"/>
    </row>
    <row r="3508" ht="12.75">
      <c r="A3508" s="187"/>
    </row>
    <row r="3509" ht="12.75">
      <c r="A3509" s="187"/>
    </row>
    <row r="3510" ht="12.75">
      <c r="A3510" s="187"/>
    </row>
    <row r="3511" ht="12.75">
      <c r="A3511" s="187"/>
    </row>
    <row r="3512" ht="12.75">
      <c r="A3512" s="187"/>
    </row>
    <row r="3513" ht="12.75">
      <c r="A3513" s="187"/>
    </row>
    <row r="3514" ht="12.75">
      <c r="A3514" s="187"/>
    </row>
    <row r="3515" ht="12.75">
      <c r="A3515" s="187"/>
    </row>
    <row r="3516" ht="12.75">
      <c r="A3516" s="187"/>
    </row>
    <row r="3517" ht="12.75">
      <c r="A3517" s="187"/>
    </row>
    <row r="3518" ht="12.75">
      <c r="A3518" s="187"/>
    </row>
    <row r="3519" ht="12.75">
      <c r="A3519" s="187"/>
    </row>
    <row r="3520" ht="12.75">
      <c r="A3520" s="187"/>
    </row>
    <row r="3521" ht="12.75">
      <c r="A3521" s="187"/>
    </row>
    <row r="3522" ht="12.75">
      <c r="A3522" s="187"/>
    </row>
    <row r="3523" ht="12.75">
      <c r="A3523" s="187"/>
    </row>
    <row r="3524" ht="12.75">
      <c r="A3524" s="187"/>
    </row>
    <row r="3525" ht="12.75">
      <c r="A3525" s="187"/>
    </row>
    <row r="3526" ht="12.75">
      <c r="A3526" s="187"/>
    </row>
    <row r="3527" ht="12.75">
      <c r="A3527" s="187"/>
    </row>
    <row r="3528" ht="12.75">
      <c r="A3528" s="187"/>
    </row>
    <row r="3529" ht="12.75">
      <c r="A3529" s="187"/>
    </row>
    <row r="3530" ht="12.75">
      <c r="A3530" s="187"/>
    </row>
    <row r="3531" ht="12.75">
      <c r="A3531" s="187"/>
    </row>
    <row r="3532" ht="12.75">
      <c r="A3532" s="187"/>
    </row>
    <row r="3533" ht="12.75">
      <c r="A3533" s="187"/>
    </row>
    <row r="3534" ht="12.75">
      <c r="A3534" s="187"/>
    </row>
    <row r="3535" ht="12.75">
      <c r="A3535" s="187"/>
    </row>
    <row r="3536" ht="12.75">
      <c r="A3536" s="187"/>
    </row>
    <row r="3537" ht="12.75">
      <c r="A3537" s="187"/>
    </row>
    <row r="3538" ht="12.75">
      <c r="A3538" s="187"/>
    </row>
    <row r="3539" ht="12.75">
      <c r="A3539" s="187"/>
    </row>
    <row r="3540" ht="12.75">
      <c r="A3540" s="187"/>
    </row>
    <row r="3541" ht="12.75">
      <c r="A3541" s="187"/>
    </row>
    <row r="3542" ht="12.75">
      <c r="A3542" s="187"/>
    </row>
    <row r="3543" ht="12.75">
      <c r="A3543" s="187"/>
    </row>
    <row r="3544" ht="12.75">
      <c r="A3544" s="187"/>
    </row>
    <row r="3545" ht="12.75">
      <c r="A3545" s="187"/>
    </row>
    <row r="3546" ht="12.75">
      <c r="A3546" s="187"/>
    </row>
    <row r="3547" ht="12.75">
      <c r="A3547" s="187"/>
    </row>
    <row r="3548" ht="12.75">
      <c r="A3548" s="187"/>
    </row>
    <row r="3549" ht="12.75">
      <c r="A3549" s="187"/>
    </row>
    <row r="3550" ht="12.75">
      <c r="A3550" s="187"/>
    </row>
    <row r="3551" ht="12.75">
      <c r="A3551" s="187"/>
    </row>
    <row r="3552" ht="12.75">
      <c r="A3552" s="187"/>
    </row>
    <row r="3553" ht="12.75">
      <c r="A3553" s="187"/>
    </row>
    <row r="3554" ht="12.75">
      <c r="A3554" s="187"/>
    </row>
    <row r="3555" ht="12.75">
      <c r="A3555" s="187"/>
    </row>
    <row r="3556" ht="12.75">
      <c r="A3556" s="187"/>
    </row>
    <row r="3557" ht="12.75">
      <c r="A3557" s="187"/>
    </row>
    <row r="3558" ht="12.75">
      <c r="A3558" s="187"/>
    </row>
    <row r="3559" ht="12.75">
      <c r="A3559" s="187"/>
    </row>
    <row r="3560" ht="12.75">
      <c r="A3560" s="187"/>
    </row>
    <row r="3561" ht="12.75">
      <c r="A3561" s="187"/>
    </row>
    <row r="3562" ht="12.75">
      <c r="A3562" s="187"/>
    </row>
    <row r="3563" ht="12.75">
      <c r="A3563" s="187"/>
    </row>
    <row r="3564" ht="12.75">
      <c r="A3564" s="187"/>
    </row>
    <row r="3565" ht="12.75">
      <c r="A3565" s="187"/>
    </row>
    <row r="3566" ht="12.75">
      <c r="A3566" s="187"/>
    </row>
    <row r="3567" ht="12.75">
      <c r="A3567" s="187"/>
    </row>
    <row r="3568" ht="12.75">
      <c r="A3568" s="187"/>
    </row>
    <row r="3569" ht="12.75">
      <c r="A3569" s="187"/>
    </row>
    <row r="3570" ht="12.75">
      <c r="A3570" s="187"/>
    </row>
    <row r="3571" ht="12.75">
      <c r="A3571" s="187"/>
    </row>
    <row r="3572" ht="12.75">
      <c r="A3572" s="187"/>
    </row>
    <row r="3573" ht="12.75">
      <c r="A3573" s="187"/>
    </row>
    <row r="3574" ht="12.75">
      <c r="A3574" s="187"/>
    </row>
    <row r="3575" ht="12.75">
      <c r="A3575" s="187"/>
    </row>
    <row r="3576" ht="12.75">
      <c r="A3576" s="187"/>
    </row>
    <row r="3577" ht="12.75">
      <c r="A3577" s="187"/>
    </row>
    <row r="3578" ht="12.75">
      <c r="A3578" s="187"/>
    </row>
    <row r="3579" ht="12.75">
      <c r="A3579" s="187"/>
    </row>
    <row r="3580" ht="12.75">
      <c r="A3580" s="187"/>
    </row>
    <row r="3581" ht="12.75">
      <c r="A3581" s="187"/>
    </row>
    <row r="3582" ht="12.75">
      <c r="A3582" s="187"/>
    </row>
    <row r="3583" ht="12.75">
      <c r="A3583" s="187"/>
    </row>
    <row r="3584" ht="12.75">
      <c r="A3584" s="187"/>
    </row>
    <row r="3585" ht="12.75">
      <c r="A3585" s="187"/>
    </row>
    <row r="3586" ht="12.75">
      <c r="A3586" s="187"/>
    </row>
    <row r="3587" ht="12.75">
      <c r="A3587" s="187"/>
    </row>
    <row r="3588" ht="12.75">
      <c r="A3588" s="187"/>
    </row>
    <row r="3589" ht="12.75">
      <c r="A3589" s="187"/>
    </row>
    <row r="3590" ht="12.75">
      <c r="A3590" s="187"/>
    </row>
    <row r="3591" ht="12.75">
      <c r="A3591" s="187"/>
    </row>
    <row r="3592" ht="12.75">
      <c r="A3592" s="187"/>
    </row>
    <row r="3593" ht="12.75">
      <c r="A3593" s="187"/>
    </row>
    <row r="3594" ht="12.75">
      <c r="A3594" s="187"/>
    </row>
    <row r="3595" ht="12.75">
      <c r="A3595" s="187"/>
    </row>
    <row r="3596" ht="12.75">
      <c r="A3596" s="187"/>
    </row>
    <row r="3597" ht="12.75">
      <c r="A3597" s="187"/>
    </row>
    <row r="3598" ht="12.75">
      <c r="A3598" s="187"/>
    </row>
    <row r="3599" ht="12.75">
      <c r="A3599" s="187"/>
    </row>
    <row r="3600" ht="12.75">
      <c r="A3600" s="187"/>
    </row>
    <row r="3601" ht="12.75">
      <c r="A3601" s="187"/>
    </row>
    <row r="3602" ht="12.75">
      <c r="A3602" s="187"/>
    </row>
    <row r="3603" ht="12.75">
      <c r="A3603" s="187"/>
    </row>
    <row r="3604" ht="12.75">
      <c r="A3604" s="187"/>
    </row>
    <row r="3605" ht="12.75">
      <c r="A3605" s="187"/>
    </row>
    <row r="3606" ht="12.75">
      <c r="A3606" s="187"/>
    </row>
    <row r="3607" ht="12.75">
      <c r="A3607" s="187"/>
    </row>
    <row r="3608" ht="12.75">
      <c r="A3608" s="187"/>
    </row>
    <row r="3609" ht="12.75">
      <c r="A3609" s="187"/>
    </row>
    <row r="3610" ht="12.75">
      <c r="A3610" s="187"/>
    </row>
    <row r="3611" ht="12.75">
      <c r="A3611" s="187"/>
    </row>
    <row r="3612" ht="12.75">
      <c r="A3612" s="187"/>
    </row>
    <row r="3613" ht="12.75">
      <c r="A3613" s="187"/>
    </row>
    <row r="3614" ht="12.75">
      <c r="A3614" s="187"/>
    </row>
    <row r="3615" ht="12.75">
      <c r="A3615" s="187"/>
    </row>
    <row r="3616" ht="12.75">
      <c r="A3616" s="187"/>
    </row>
    <row r="3617" ht="12.75">
      <c r="A3617" s="187"/>
    </row>
    <row r="3618" ht="12.75">
      <c r="A3618" s="187"/>
    </row>
    <row r="3619" ht="12.75">
      <c r="A3619" s="187"/>
    </row>
    <row r="3620" ht="12.75">
      <c r="A3620" s="187"/>
    </row>
    <row r="3621" ht="12.75">
      <c r="A3621" s="187"/>
    </row>
    <row r="3622" ht="12.75">
      <c r="A3622" s="187"/>
    </row>
    <row r="3623" ht="12.75">
      <c r="A3623" s="187"/>
    </row>
    <row r="3624" ht="12.75">
      <c r="A3624" s="187"/>
    </row>
    <row r="3625" ht="12.75">
      <c r="A3625" s="187"/>
    </row>
    <row r="3626" ht="12.75">
      <c r="A3626" s="187"/>
    </row>
    <row r="3627" ht="12.75">
      <c r="A3627" s="187"/>
    </row>
    <row r="3628" ht="12.75">
      <c r="A3628" s="187"/>
    </row>
    <row r="3629" ht="12.75">
      <c r="A3629" s="187"/>
    </row>
    <row r="3630" ht="12.75">
      <c r="A3630" s="187"/>
    </row>
    <row r="3631" ht="12.75">
      <c r="A3631" s="187"/>
    </row>
    <row r="3632" ht="12.75">
      <c r="A3632" s="187"/>
    </row>
    <row r="3633" ht="12.75">
      <c r="A3633" s="187"/>
    </row>
    <row r="3634" ht="12.75">
      <c r="A3634" s="187"/>
    </row>
    <row r="3635" ht="12.75">
      <c r="A3635" s="187"/>
    </row>
    <row r="3636" ht="12.75">
      <c r="A3636" s="187"/>
    </row>
    <row r="3637" ht="12.75">
      <c r="A3637" s="187"/>
    </row>
    <row r="3638" ht="12.75">
      <c r="A3638" s="187"/>
    </row>
    <row r="3639" ht="12.75">
      <c r="A3639" s="187"/>
    </row>
    <row r="3640" ht="12.75">
      <c r="A3640" s="187"/>
    </row>
    <row r="3641" ht="12.75">
      <c r="A3641" s="187"/>
    </row>
    <row r="3642" ht="12.75">
      <c r="A3642" s="187"/>
    </row>
    <row r="3643" ht="12.75">
      <c r="A3643" s="187"/>
    </row>
    <row r="3644" ht="12.75">
      <c r="A3644" s="187"/>
    </row>
    <row r="3645" ht="12.75">
      <c r="A3645" s="187"/>
    </row>
    <row r="3646" ht="12.75">
      <c r="A3646" s="187"/>
    </row>
    <row r="3647" ht="12.75">
      <c r="A3647" s="187"/>
    </row>
    <row r="3648" ht="12.75">
      <c r="A3648" s="187"/>
    </row>
    <row r="3649" ht="12.75">
      <c r="A3649" s="187"/>
    </row>
    <row r="3650" ht="12.75">
      <c r="A3650" s="187"/>
    </row>
    <row r="3651" ht="12.75">
      <c r="A3651" s="187"/>
    </row>
    <row r="3652" ht="12.75">
      <c r="A3652" s="187"/>
    </row>
    <row r="3653" ht="12.75">
      <c r="A3653" s="187"/>
    </row>
    <row r="3654" ht="12.75">
      <c r="A3654" s="187"/>
    </row>
    <row r="3655" ht="12.75">
      <c r="A3655" s="187"/>
    </row>
    <row r="3656" ht="12.75">
      <c r="A3656" s="187"/>
    </row>
    <row r="3657" ht="12.75">
      <c r="A3657" s="187"/>
    </row>
    <row r="3658" ht="12.75">
      <c r="A3658" s="187"/>
    </row>
    <row r="3659" ht="12.75">
      <c r="A3659" s="187"/>
    </row>
    <row r="3660" ht="12.75">
      <c r="A3660" s="187"/>
    </row>
    <row r="3661" ht="12.75">
      <c r="A3661" s="187"/>
    </row>
    <row r="3662" ht="12.75">
      <c r="A3662" s="187"/>
    </row>
    <row r="3663" ht="12.75">
      <c r="A3663" s="187"/>
    </row>
    <row r="3664" ht="12.75">
      <c r="A3664" s="187"/>
    </row>
    <row r="3665" ht="12.75">
      <c r="A3665" s="187"/>
    </row>
    <row r="3666" ht="12.75">
      <c r="A3666" s="187"/>
    </row>
    <row r="3667" ht="12.75">
      <c r="A3667" s="187"/>
    </row>
    <row r="3668" ht="12.75">
      <c r="A3668" s="187"/>
    </row>
    <row r="3669" ht="12.75">
      <c r="A3669" s="187"/>
    </row>
    <row r="3670" ht="12.75">
      <c r="A3670" s="187"/>
    </row>
    <row r="3671" ht="12.75">
      <c r="A3671" s="187"/>
    </row>
    <row r="3672" ht="12.75">
      <c r="A3672" s="187"/>
    </row>
    <row r="3673" ht="12.75">
      <c r="A3673" s="187"/>
    </row>
    <row r="3674" ht="12.75">
      <c r="A3674" s="187"/>
    </row>
    <row r="3675" ht="12.75">
      <c r="A3675" s="187"/>
    </row>
    <row r="3676" ht="12.75">
      <c r="A3676" s="187"/>
    </row>
    <row r="3677" ht="12.75">
      <c r="A3677" s="187"/>
    </row>
    <row r="3678" ht="12.75">
      <c r="A3678" s="187"/>
    </row>
    <row r="3679" ht="12.75">
      <c r="A3679" s="187"/>
    </row>
    <row r="3680" ht="12.75">
      <c r="A3680" s="187"/>
    </row>
    <row r="3681" ht="12.75">
      <c r="A3681" s="187"/>
    </row>
    <row r="3682" ht="12.75">
      <c r="A3682" s="187"/>
    </row>
    <row r="3683" ht="12.75">
      <c r="A3683" s="187"/>
    </row>
    <row r="3684" ht="12.75">
      <c r="A3684" s="187"/>
    </row>
    <row r="3685" ht="12.75">
      <c r="A3685" s="187"/>
    </row>
    <row r="3686" ht="12.75">
      <c r="A3686" s="187"/>
    </row>
    <row r="3687" ht="12.75">
      <c r="A3687" s="187"/>
    </row>
    <row r="3688" ht="12.75">
      <c r="A3688" s="187"/>
    </row>
    <row r="3689" ht="12.75">
      <c r="A3689" s="187"/>
    </row>
    <row r="3690" ht="12.75">
      <c r="A3690" s="187"/>
    </row>
    <row r="3691" ht="12.75">
      <c r="A3691" s="187"/>
    </row>
    <row r="3692" ht="12.75">
      <c r="A3692" s="187"/>
    </row>
    <row r="3693" ht="12.75">
      <c r="A3693" s="187"/>
    </row>
    <row r="3694" ht="12.75">
      <c r="A3694" s="187"/>
    </row>
    <row r="3695" ht="12.75">
      <c r="A3695" s="187"/>
    </row>
    <row r="3696" ht="12.75">
      <c r="A3696" s="187"/>
    </row>
    <row r="3697" ht="12.75">
      <c r="A3697" s="187"/>
    </row>
    <row r="3698" ht="12.75">
      <c r="A3698" s="187"/>
    </row>
    <row r="3699" ht="12.75">
      <c r="A3699" s="187"/>
    </row>
    <row r="3700" ht="12.75">
      <c r="A3700" s="187"/>
    </row>
    <row r="3701" ht="12.75">
      <c r="A3701" s="187"/>
    </row>
    <row r="3702" ht="12.75">
      <c r="A3702" s="187"/>
    </row>
    <row r="3703" ht="12.75">
      <c r="A3703" s="187"/>
    </row>
    <row r="3704" ht="12.75">
      <c r="A3704" s="187"/>
    </row>
    <row r="3705" ht="12.75">
      <c r="A3705" s="187"/>
    </row>
    <row r="3706" ht="12.75">
      <c r="A3706" s="187"/>
    </row>
    <row r="3707" ht="12.75">
      <c r="A3707" s="187"/>
    </row>
    <row r="3708" ht="12.75">
      <c r="A3708" s="187"/>
    </row>
    <row r="3709" ht="12.75">
      <c r="A3709" s="187"/>
    </row>
    <row r="3710" ht="12.75">
      <c r="A3710" s="187"/>
    </row>
    <row r="3711" ht="12.75">
      <c r="A3711" s="187"/>
    </row>
    <row r="3712" ht="12.75">
      <c r="A3712" s="187"/>
    </row>
    <row r="3713" ht="12.75">
      <c r="A3713" s="187"/>
    </row>
    <row r="3714" ht="12.75">
      <c r="A3714" s="187"/>
    </row>
    <row r="3715" ht="12.75">
      <c r="A3715" s="187"/>
    </row>
    <row r="3716" ht="12.75">
      <c r="A3716" s="187"/>
    </row>
    <row r="3717" ht="12.75">
      <c r="A3717" s="187"/>
    </row>
    <row r="3718" ht="12.75">
      <c r="A3718" s="187"/>
    </row>
    <row r="3719" ht="12.75">
      <c r="A3719" s="187"/>
    </row>
    <row r="3720" ht="12.75">
      <c r="A3720" s="187"/>
    </row>
    <row r="3721" ht="12.75">
      <c r="A3721" s="187"/>
    </row>
    <row r="3722" ht="12.75">
      <c r="A3722" s="187"/>
    </row>
    <row r="3723" ht="12.75">
      <c r="A3723" s="187"/>
    </row>
    <row r="3724" ht="12.75">
      <c r="A3724" s="187"/>
    </row>
    <row r="3725" ht="12.75">
      <c r="A3725" s="187"/>
    </row>
    <row r="3726" ht="12.75">
      <c r="A3726" s="187"/>
    </row>
    <row r="3727" ht="12.75">
      <c r="A3727" s="187"/>
    </row>
    <row r="3728" ht="12.75">
      <c r="A3728" s="187"/>
    </row>
    <row r="3729" ht="12.75">
      <c r="A3729" s="187"/>
    </row>
    <row r="3730" ht="12.75">
      <c r="A3730" s="187"/>
    </row>
    <row r="3731" ht="12.75">
      <c r="A3731" s="187"/>
    </row>
    <row r="3732" ht="12.75">
      <c r="A3732" s="187"/>
    </row>
    <row r="3733" ht="12.75">
      <c r="A3733" s="187"/>
    </row>
    <row r="3734" ht="12.75">
      <c r="A3734" s="187"/>
    </row>
    <row r="3735" ht="12.75">
      <c r="A3735" s="187"/>
    </row>
    <row r="3736" ht="12.75">
      <c r="A3736" s="187"/>
    </row>
    <row r="3737" ht="12.75">
      <c r="A3737" s="187"/>
    </row>
    <row r="3738" ht="12.75">
      <c r="A3738" s="187"/>
    </row>
    <row r="3739" ht="12.75">
      <c r="A3739" s="187"/>
    </row>
    <row r="3740" ht="12.75">
      <c r="A3740" s="187"/>
    </row>
    <row r="3741" ht="12.75">
      <c r="A3741" s="187"/>
    </row>
    <row r="3742" ht="12.75">
      <c r="A3742" s="187"/>
    </row>
    <row r="3743" ht="12.75">
      <c r="A3743" s="187"/>
    </row>
    <row r="3744" ht="12.75">
      <c r="A3744" s="187"/>
    </row>
    <row r="3745" ht="12.75">
      <c r="A3745" s="187"/>
    </row>
    <row r="3746" ht="12.75">
      <c r="A3746" s="187"/>
    </row>
    <row r="3747" ht="12.75">
      <c r="A3747" s="187"/>
    </row>
    <row r="3748" ht="12.75">
      <c r="A3748" s="187"/>
    </row>
    <row r="3749" ht="12.75">
      <c r="A3749" s="187"/>
    </row>
    <row r="3750" ht="12.75">
      <c r="A3750" s="187"/>
    </row>
    <row r="3751" ht="12.75">
      <c r="A3751" s="187"/>
    </row>
    <row r="3752" ht="12.75">
      <c r="A3752" s="187"/>
    </row>
    <row r="3753" ht="12.75">
      <c r="A3753" s="187"/>
    </row>
    <row r="3754" ht="12.75">
      <c r="A3754" s="187"/>
    </row>
    <row r="3755" ht="12.75">
      <c r="A3755" s="187"/>
    </row>
    <row r="3756" ht="12.75">
      <c r="A3756" s="187"/>
    </row>
    <row r="3757" ht="12.75">
      <c r="A3757" s="187"/>
    </row>
    <row r="3758" ht="12.75">
      <c r="A3758" s="187"/>
    </row>
    <row r="3759" ht="12.75">
      <c r="A3759" s="187"/>
    </row>
    <row r="3760" ht="12.75">
      <c r="A3760" s="187"/>
    </row>
    <row r="3761" ht="12.75">
      <c r="A3761" s="187"/>
    </row>
    <row r="3762" ht="12.75">
      <c r="A3762" s="187"/>
    </row>
    <row r="3763" ht="12.75">
      <c r="A3763" s="187"/>
    </row>
    <row r="3764" ht="12.75">
      <c r="A3764" s="187"/>
    </row>
    <row r="3765" ht="12.75">
      <c r="A3765" s="187"/>
    </row>
    <row r="3766" ht="12.75">
      <c r="A3766" s="187"/>
    </row>
    <row r="3767" ht="12.75">
      <c r="A3767" s="187"/>
    </row>
    <row r="3768" ht="12.75">
      <c r="A3768" s="187"/>
    </row>
    <row r="3769" ht="12.75">
      <c r="A3769" s="187"/>
    </row>
    <row r="3770" ht="12.75">
      <c r="A3770" s="187"/>
    </row>
    <row r="3771" ht="12.75">
      <c r="A3771" s="187"/>
    </row>
    <row r="3772" ht="12.75">
      <c r="A3772" s="187"/>
    </row>
    <row r="3773" ht="12.75">
      <c r="A3773" s="187"/>
    </row>
    <row r="3774" ht="12.75">
      <c r="A3774" s="187"/>
    </row>
    <row r="3775" ht="12.75">
      <c r="A3775" s="187"/>
    </row>
    <row r="3776" ht="12.75">
      <c r="A3776" s="187"/>
    </row>
    <row r="3777" ht="12.75">
      <c r="A3777" s="187"/>
    </row>
    <row r="3778" ht="12.75">
      <c r="A3778" s="187"/>
    </row>
    <row r="3779" ht="12.75">
      <c r="A3779" s="187"/>
    </row>
    <row r="3780" ht="12.75">
      <c r="A3780" s="187"/>
    </row>
    <row r="3781" ht="12.75">
      <c r="A3781" s="187"/>
    </row>
    <row r="3782" ht="12.75">
      <c r="A3782" s="187"/>
    </row>
    <row r="3783" ht="12.75">
      <c r="A3783" s="187"/>
    </row>
    <row r="3784" ht="12.75">
      <c r="A3784" s="187"/>
    </row>
    <row r="3785" ht="12.75">
      <c r="A3785" s="187"/>
    </row>
    <row r="3786" ht="12.75">
      <c r="A3786" s="187"/>
    </row>
    <row r="3787" ht="12.75">
      <c r="A3787" s="187"/>
    </row>
    <row r="3788" ht="12.75">
      <c r="A3788" s="187"/>
    </row>
    <row r="3789" ht="12.75">
      <c r="A3789" s="187"/>
    </row>
    <row r="3790" ht="12.75">
      <c r="A3790" s="187"/>
    </row>
    <row r="3791" ht="12.75">
      <c r="A3791" s="187"/>
    </row>
    <row r="3792" ht="12.75">
      <c r="A3792" s="187"/>
    </row>
    <row r="3793" ht="12.75">
      <c r="A3793" s="187"/>
    </row>
    <row r="3794" ht="12.75">
      <c r="A3794" s="187"/>
    </row>
    <row r="3795" ht="12.75">
      <c r="A3795" s="187"/>
    </row>
    <row r="3796" ht="12.75">
      <c r="A3796" s="187"/>
    </row>
    <row r="3797" ht="12.75">
      <c r="A3797" s="187"/>
    </row>
    <row r="3798" ht="12.75">
      <c r="A3798" s="187"/>
    </row>
    <row r="3799" ht="12.75">
      <c r="A3799" s="187"/>
    </row>
    <row r="3800" ht="12.75">
      <c r="A3800" s="187"/>
    </row>
    <row r="3801" ht="12.75">
      <c r="A3801" s="187"/>
    </row>
    <row r="3802" ht="12.75">
      <c r="A3802" s="187"/>
    </row>
    <row r="3803" ht="12.75">
      <c r="A3803" s="187"/>
    </row>
    <row r="3804" ht="12.75">
      <c r="A3804" s="187"/>
    </row>
    <row r="3805" ht="12.75">
      <c r="A3805" s="187"/>
    </row>
    <row r="3806" ht="12.75">
      <c r="A3806" s="187"/>
    </row>
    <row r="3807" ht="12.75">
      <c r="A3807" s="187"/>
    </row>
    <row r="3808" ht="12.75">
      <c r="A3808" s="187"/>
    </row>
    <row r="3809" ht="12.75">
      <c r="A3809" s="187"/>
    </row>
    <row r="3810" ht="12.75">
      <c r="A3810" s="187"/>
    </row>
    <row r="3811" ht="12.75">
      <c r="A3811" s="187"/>
    </row>
    <row r="3812" ht="12.75">
      <c r="A3812" s="187"/>
    </row>
    <row r="3813" ht="12.75">
      <c r="A3813" s="187"/>
    </row>
    <row r="3814" ht="12.75">
      <c r="A3814" s="187"/>
    </row>
    <row r="3815" ht="12.75">
      <c r="A3815" s="187"/>
    </row>
    <row r="3816" ht="12.75">
      <c r="A3816" s="187"/>
    </row>
    <row r="3817" ht="12.75">
      <c r="A3817" s="187"/>
    </row>
    <row r="3818" ht="12.75">
      <c r="A3818" s="187"/>
    </row>
    <row r="3819" ht="12.75">
      <c r="A3819" s="187"/>
    </row>
    <row r="3820" ht="12.75">
      <c r="A3820" s="187"/>
    </row>
    <row r="3821" ht="12.75">
      <c r="A3821" s="187"/>
    </row>
    <row r="3822" ht="12.75">
      <c r="A3822" s="187"/>
    </row>
    <row r="3823" ht="12.75">
      <c r="A3823" s="187"/>
    </row>
    <row r="3824" ht="12.75">
      <c r="A3824" s="187"/>
    </row>
    <row r="3825" ht="12.75">
      <c r="A3825" s="187"/>
    </row>
    <row r="3826" ht="12.75">
      <c r="A3826" s="187"/>
    </row>
    <row r="3827" ht="12.75">
      <c r="A3827" s="187"/>
    </row>
    <row r="3828" ht="12.75">
      <c r="A3828" s="187"/>
    </row>
    <row r="3829" ht="12.75">
      <c r="A3829" s="187"/>
    </row>
    <row r="3830" ht="12.75">
      <c r="A3830" s="187"/>
    </row>
    <row r="3831" ht="12.75">
      <c r="A3831" s="187"/>
    </row>
    <row r="3832" ht="12.75">
      <c r="A3832" s="187"/>
    </row>
    <row r="3833" ht="12.75">
      <c r="A3833" s="187"/>
    </row>
    <row r="3834" ht="12.75">
      <c r="A3834" s="187"/>
    </row>
    <row r="3835" ht="12.75">
      <c r="A3835" s="187"/>
    </row>
    <row r="3836" ht="12.75">
      <c r="A3836" s="187"/>
    </row>
    <row r="3837" ht="12.75">
      <c r="A3837" s="187"/>
    </row>
    <row r="3838" ht="12.75">
      <c r="A3838" s="187"/>
    </row>
    <row r="3839" ht="12.75">
      <c r="A3839" s="187"/>
    </row>
    <row r="3840" ht="12.75">
      <c r="A3840" s="187"/>
    </row>
    <row r="3841" ht="12.75">
      <c r="A3841" s="187"/>
    </row>
    <row r="3842" ht="12.75">
      <c r="A3842" s="187"/>
    </row>
    <row r="3843" ht="12.75">
      <c r="A3843" s="187"/>
    </row>
    <row r="3844" ht="12.75">
      <c r="A3844" s="187"/>
    </row>
    <row r="3845" ht="12.75">
      <c r="A3845" s="187"/>
    </row>
    <row r="3846" ht="12.75">
      <c r="A3846" s="187"/>
    </row>
    <row r="3847" ht="12.75">
      <c r="A3847" s="187"/>
    </row>
    <row r="3848" ht="12.75">
      <c r="A3848" s="187"/>
    </row>
    <row r="3849" ht="12.75">
      <c r="A3849" s="187"/>
    </row>
    <row r="3850" ht="12.75">
      <c r="A3850" s="187"/>
    </row>
    <row r="3851" ht="12.75">
      <c r="A3851" s="187"/>
    </row>
    <row r="3852" ht="12.75">
      <c r="A3852" s="187"/>
    </row>
    <row r="3853" ht="12.75">
      <c r="A3853" s="187"/>
    </row>
    <row r="3854" ht="12.75">
      <c r="A3854" s="187"/>
    </row>
    <row r="3855" ht="12.75">
      <c r="A3855" s="187"/>
    </row>
    <row r="3856" ht="12.75">
      <c r="A3856" s="187"/>
    </row>
    <row r="3857" ht="12.75">
      <c r="A3857" s="187"/>
    </row>
    <row r="3858" ht="12.75">
      <c r="A3858" s="187"/>
    </row>
    <row r="3859" ht="12.75">
      <c r="A3859" s="187"/>
    </row>
    <row r="3860" ht="12.75">
      <c r="A3860" s="187"/>
    </row>
    <row r="3861" ht="12.75">
      <c r="A3861" s="187"/>
    </row>
    <row r="3862" ht="12.75">
      <c r="A3862" s="187"/>
    </row>
    <row r="3863" ht="12.75">
      <c r="A3863" s="187"/>
    </row>
    <row r="3864" ht="12.75">
      <c r="A3864" s="187"/>
    </row>
    <row r="3865" ht="12.75">
      <c r="A3865" s="187"/>
    </row>
    <row r="3866" ht="12.75">
      <c r="A3866" s="187"/>
    </row>
    <row r="3867" ht="12.75">
      <c r="A3867" s="187"/>
    </row>
    <row r="3868" ht="12.75">
      <c r="A3868" s="187"/>
    </row>
    <row r="3869" ht="12.75">
      <c r="A3869" s="187"/>
    </row>
    <row r="3870" ht="12.75">
      <c r="A3870" s="187"/>
    </row>
    <row r="3871" ht="12.75">
      <c r="A3871" s="187"/>
    </row>
    <row r="3872" ht="12.75">
      <c r="A3872" s="187"/>
    </row>
    <row r="3873" ht="12.75">
      <c r="A3873" s="187"/>
    </row>
    <row r="3874" ht="12.75">
      <c r="A3874" s="187"/>
    </row>
    <row r="3875" ht="12.75">
      <c r="A3875" s="187"/>
    </row>
    <row r="3876" ht="12.75">
      <c r="A3876" s="187"/>
    </row>
    <row r="3877" ht="12.75">
      <c r="A3877" s="187"/>
    </row>
    <row r="3878" ht="12.75">
      <c r="A3878" s="187"/>
    </row>
    <row r="3879" ht="12.75">
      <c r="A3879" s="187"/>
    </row>
    <row r="3880" ht="12.75">
      <c r="A3880" s="187"/>
    </row>
    <row r="3881" ht="12.75">
      <c r="A3881" s="187"/>
    </row>
    <row r="3882" ht="12.75">
      <c r="A3882" s="187"/>
    </row>
    <row r="3883" ht="12.75">
      <c r="A3883" s="187"/>
    </row>
    <row r="3884" ht="12.75">
      <c r="A3884" s="187"/>
    </row>
    <row r="3885" ht="12.75">
      <c r="A3885" s="187"/>
    </row>
    <row r="3886" ht="12.75">
      <c r="A3886" s="187"/>
    </row>
    <row r="3887" ht="12.75">
      <c r="A3887" s="187"/>
    </row>
    <row r="3888" ht="12.75">
      <c r="A3888" s="187"/>
    </row>
    <row r="3889" ht="12.75">
      <c r="A3889" s="187"/>
    </row>
    <row r="3890" ht="12.75">
      <c r="A3890" s="187"/>
    </row>
    <row r="3891" ht="12.75">
      <c r="A3891" s="187"/>
    </row>
    <row r="3892" ht="12.75">
      <c r="A3892" s="187"/>
    </row>
    <row r="3893" ht="12.75">
      <c r="A3893" s="187"/>
    </row>
    <row r="3894" ht="12.75">
      <c r="A3894" s="187"/>
    </row>
    <row r="3895" ht="12.75">
      <c r="A3895" s="187"/>
    </row>
    <row r="3896" ht="12.75">
      <c r="A3896" s="187"/>
    </row>
    <row r="3897" ht="12.75">
      <c r="A3897" s="187"/>
    </row>
    <row r="3898" ht="12.75">
      <c r="A3898" s="187"/>
    </row>
    <row r="3899" ht="12.75">
      <c r="A3899" s="187"/>
    </row>
    <row r="3900" ht="12.75">
      <c r="A3900" s="187"/>
    </row>
    <row r="3901" ht="12.75">
      <c r="A3901" s="187"/>
    </row>
    <row r="3902" ht="12.75">
      <c r="A3902" s="187"/>
    </row>
    <row r="3903" ht="12.75">
      <c r="A3903" s="187"/>
    </row>
    <row r="3904" ht="12.75">
      <c r="A3904" s="187"/>
    </row>
    <row r="3905" ht="12.75">
      <c r="A3905" s="187"/>
    </row>
    <row r="3906" ht="12.75">
      <c r="A3906" s="187"/>
    </row>
    <row r="3907" ht="12.75">
      <c r="A3907" s="187"/>
    </row>
    <row r="3908" ht="12.75">
      <c r="A3908" s="187"/>
    </row>
    <row r="3909" ht="12.75">
      <c r="A3909" s="187"/>
    </row>
    <row r="3910" ht="12.75">
      <c r="A3910" s="187"/>
    </row>
    <row r="3911" ht="12.75">
      <c r="A3911" s="187"/>
    </row>
    <row r="3912" ht="12.75">
      <c r="A3912" s="187"/>
    </row>
    <row r="3913" ht="12.75">
      <c r="A3913" s="187"/>
    </row>
    <row r="3914" ht="12.75">
      <c r="A3914" s="187"/>
    </row>
    <row r="3915" ht="12.75">
      <c r="A3915" s="187"/>
    </row>
    <row r="3916" ht="12.75">
      <c r="A3916" s="187"/>
    </row>
    <row r="3917" ht="12.75">
      <c r="A3917" s="187"/>
    </row>
    <row r="3918" ht="12.75">
      <c r="A3918" s="187"/>
    </row>
    <row r="3919" ht="12.75">
      <c r="A3919" s="187"/>
    </row>
    <row r="3920" ht="12.75">
      <c r="A3920" s="187"/>
    </row>
    <row r="3921" ht="12.75">
      <c r="A3921" s="187"/>
    </row>
    <row r="3922" ht="12.75">
      <c r="A3922" s="187"/>
    </row>
    <row r="3923" ht="12.75">
      <c r="A3923" s="187"/>
    </row>
    <row r="3924" ht="12.75">
      <c r="A3924" s="187"/>
    </row>
    <row r="3925" ht="12.75">
      <c r="A3925" s="187"/>
    </row>
    <row r="3926" ht="12.75">
      <c r="A3926" s="187"/>
    </row>
    <row r="3927" ht="12.75">
      <c r="A3927" s="187"/>
    </row>
    <row r="3928" ht="12.75">
      <c r="A3928" s="187"/>
    </row>
    <row r="3929" ht="12.75">
      <c r="A3929" s="187"/>
    </row>
    <row r="3930" ht="12.75">
      <c r="A3930" s="187"/>
    </row>
    <row r="3931" ht="12.75">
      <c r="A3931" s="187"/>
    </row>
    <row r="3932" ht="12.75">
      <c r="A3932" s="187"/>
    </row>
    <row r="3933" ht="12.75">
      <c r="A3933" s="187"/>
    </row>
    <row r="3934" ht="12.75">
      <c r="A3934" s="187"/>
    </row>
    <row r="3935" ht="12.75">
      <c r="A3935" s="187"/>
    </row>
    <row r="3936" ht="12.75">
      <c r="A3936" s="187"/>
    </row>
    <row r="3937" ht="12.75">
      <c r="A3937" s="187"/>
    </row>
    <row r="3938" ht="12.75">
      <c r="A3938" s="187"/>
    </row>
    <row r="3939" ht="12.75">
      <c r="A3939" s="187"/>
    </row>
    <row r="3940" ht="12.75">
      <c r="A3940" s="187"/>
    </row>
    <row r="3941" ht="12.75">
      <c r="A3941" s="187"/>
    </row>
    <row r="3942" ht="12.75">
      <c r="A3942" s="187"/>
    </row>
    <row r="3943" ht="12.75">
      <c r="A3943" s="187"/>
    </row>
    <row r="3944" ht="12.75">
      <c r="A3944" s="187"/>
    </row>
    <row r="3945" ht="12.75">
      <c r="A3945" s="187"/>
    </row>
    <row r="3946" ht="12.75">
      <c r="A3946" s="187"/>
    </row>
    <row r="3947" ht="12.75">
      <c r="A3947" s="187"/>
    </row>
    <row r="3948" ht="12.75">
      <c r="A3948" s="187"/>
    </row>
    <row r="3949" ht="12.75">
      <c r="A3949" s="187"/>
    </row>
    <row r="3950" ht="12.75">
      <c r="A3950" s="187"/>
    </row>
    <row r="3951" ht="12.75">
      <c r="A3951" s="187"/>
    </row>
    <row r="3952" ht="12.75">
      <c r="A3952" s="187"/>
    </row>
  </sheetData>
  <printOptions/>
  <pageMargins left="0.82" right="0.75" top="1" bottom="0.84" header="0.5" footer="0.38"/>
  <pageSetup fitToHeight="1" fitToWidth="1" horizontalDpi="600" verticalDpi="600" orientation="landscape" scale="79" r:id="rId1"/>
  <headerFooter alignWithMargins="0">
    <oddHeader>&amp;LPCA Collaborative</oddHeader>
    <oddFooter>&amp;L&amp;F &amp;C&amp;A&amp;RPage 1 of 1</oddFooter>
  </headerFooter>
</worksheet>
</file>

<file path=xl/worksheets/sheet7.xml><?xml version="1.0" encoding="utf-8"?>
<worksheet xmlns="http://schemas.openxmlformats.org/spreadsheetml/2006/main" xmlns:r="http://schemas.openxmlformats.org/officeDocument/2006/relationships">
  <dimension ref="A1:Q67"/>
  <sheetViews>
    <sheetView zoomScale="80" zoomScaleNormal="80" workbookViewId="0" topLeftCell="A1">
      <selection activeCell="D16" sqref="D16"/>
    </sheetView>
  </sheetViews>
  <sheetFormatPr defaultColWidth="9.140625" defaultRowHeight="12.75"/>
  <cols>
    <col min="2" max="2" width="10.00390625" style="0" customWidth="1"/>
    <col min="3" max="3" width="14.7109375" style="0" customWidth="1"/>
    <col min="4" max="4" width="11.7109375" style="0" bestFit="1" customWidth="1"/>
    <col min="5" max="5" width="10.7109375" style="0" bestFit="1" customWidth="1"/>
    <col min="6" max="6" width="10.140625" style="0" bestFit="1" customWidth="1"/>
    <col min="7" max="7" width="12.7109375" style="0" customWidth="1"/>
    <col min="8" max="8" width="10.57421875" style="0" customWidth="1"/>
    <col min="9" max="9" width="9.7109375" style="0" bestFit="1" customWidth="1"/>
    <col min="10" max="10" width="10.140625" style="0" bestFit="1" customWidth="1"/>
    <col min="11" max="13" width="13.140625" style="0" customWidth="1"/>
    <col min="14" max="14" width="11.57421875" style="0" customWidth="1"/>
    <col min="15" max="15" width="10.7109375" style="0" bestFit="1" customWidth="1"/>
  </cols>
  <sheetData>
    <row r="1" ht="18">
      <c r="B1" s="142" t="s">
        <v>311</v>
      </c>
    </row>
    <row r="2" ht="12.75">
      <c r="A2" s="6" t="s">
        <v>248</v>
      </c>
    </row>
    <row r="3" ht="12.75">
      <c r="A3" s="6">
        <f>ROW()</f>
        <v>3</v>
      </c>
    </row>
    <row r="4" ht="12.75">
      <c r="A4" s="6">
        <f>ROW()</f>
        <v>4</v>
      </c>
    </row>
    <row r="5" ht="12.75">
      <c r="A5" s="6">
        <f>ROW()</f>
        <v>5</v>
      </c>
    </row>
    <row r="6" ht="12.75">
      <c r="A6" s="6">
        <f>ROW()</f>
        <v>6</v>
      </c>
    </row>
    <row r="7" ht="12.75">
      <c r="A7" s="6">
        <f>ROW()</f>
        <v>7</v>
      </c>
    </row>
    <row r="8" ht="12.75">
      <c r="A8" s="6">
        <f>ROW()</f>
        <v>8</v>
      </c>
    </row>
    <row r="9" ht="12.75">
      <c r="A9" s="6">
        <f>ROW()</f>
        <v>9</v>
      </c>
    </row>
    <row r="10" spans="1:4" ht="15.75">
      <c r="A10" s="6">
        <f>ROW()</f>
        <v>10</v>
      </c>
      <c r="B10" s="198" t="s">
        <v>312</v>
      </c>
      <c r="D10" s="198" t="s">
        <v>313</v>
      </c>
    </row>
    <row r="11" spans="1:4" ht="15.75">
      <c r="A11" s="6">
        <f>ROW()</f>
        <v>11</v>
      </c>
      <c r="B11" s="198"/>
      <c r="D11" s="25" t="s">
        <v>314</v>
      </c>
    </row>
    <row r="12" spans="1:13" ht="15.75">
      <c r="A12" s="6">
        <f>ROW()</f>
        <v>12</v>
      </c>
      <c r="B12" s="198"/>
      <c r="C12" s="199" t="s">
        <v>315</v>
      </c>
      <c r="D12" s="200" t="s">
        <v>316</v>
      </c>
      <c r="E12" s="201" t="s">
        <v>317</v>
      </c>
      <c r="F12" s="200" t="s">
        <v>318</v>
      </c>
      <c r="G12" s="201" t="s">
        <v>319</v>
      </c>
      <c r="H12" s="200" t="s">
        <v>320</v>
      </c>
      <c r="I12" s="201" t="s">
        <v>321</v>
      </c>
      <c r="J12" s="200" t="s">
        <v>322</v>
      </c>
      <c r="K12" s="201" t="s">
        <v>323</v>
      </c>
      <c r="L12" s="200" t="s">
        <v>324</v>
      </c>
      <c r="M12" s="202" t="s">
        <v>325</v>
      </c>
    </row>
    <row r="13" spans="1:17" ht="72" customHeight="1">
      <c r="A13" s="6">
        <f>ROW()</f>
        <v>13</v>
      </c>
      <c r="C13" s="203" t="s">
        <v>299</v>
      </c>
      <c r="D13" s="204" t="s">
        <v>326</v>
      </c>
      <c r="E13" s="205" t="s">
        <v>327</v>
      </c>
      <c r="F13" s="206" t="s">
        <v>328</v>
      </c>
      <c r="G13" s="207" t="s">
        <v>329</v>
      </c>
      <c r="H13" s="205" t="s">
        <v>330</v>
      </c>
      <c r="I13" s="205" t="s">
        <v>331</v>
      </c>
      <c r="J13" s="206" t="s">
        <v>332</v>
      </c>
      <c r="K13" s="208" t="s">
        <v>333</v>
      </c>
      <c r="L13" s="208" t="s">
        <v>334</v>
      </c>
      <c r="M13" s="209" t="s">
        <v>335</v>
      </c>
      <c r="P13" s="210"/>
      <c r="Q13" s="211"/>
    </row>
    <row r="14" spans="1:13" ht="12.75">
      <c r="A14" s="6">
        <f>ROW()</f>
        <v>14</v>
      </c>
      <c r="C14" s="212" t="s">
        <v>336</v>
      </c>
      <c r="D14" s="212" t="s">
        <v>337</v>
      </c>
      <c r="E14" s="213"/>
      <c r="F14" s="214"/>
      <c r="G14" s="212" t="s">
        <v>338</v>
      </c>
      <c r="H14" s="213"/>
      <c r="I14" s="213"/>
      <c r="J14" s="214"/>
      <c r="K14" s="213"/>
      <c r="L14" s="213"/>
      <c r="M14" s="214"/>
    </row>
    <row r="15" spans="1:13" ht="12.75">
      <c r="A15" s="6">
        <f>ROW()</f>
        <v>15</v>
      </c>
      <c r="D15" s="215"/>
      <c r="E15" s="216"/>
      <c r="F15" s="217"/>
      <c r="G15" s="215"/>
      <c r="H15" s="216"/>
      <c r="I15" s="216"/>
      <c r="J15" s="217"/>
      <c r="K15" s="216"/>
      <c r="L15" s="216"/>
      <c r="M15" s="216"/>
    </row>
    <row r="16" spans="1:13" ht="21.75" customHeight="1">
      <c r="A16" s="6">
        <f>ROW()</f>
        <v>16</v>
      </c>
      <c r="B16" t="s">
        <v>339</v>
      </c>
      <c r="C16" s="218">
        <f>+'Exhibit B'!F33/1000000</f>
        <v>-5.825556602607012</v>
      </c>
      <c r="D16" s="219">
        <f>+'Exhibit B'!F43/1000000</f>
        <v>0</v>
      </c>
      <c r="E16" s="220">
        <f>99%*M16</f>
        <v>0</v>
      </c>
      <c r="F16" s="221">
        <f>+D16+E16</f>
        <v>0</v>
      </c>
      <c r="G16" s="219">
        <f>+'Exhibit B'!F41/1000000</f>
        <v>-5.825556602607012</v>
      </c>
      <c r="H16" s="222">
        <f>-M16</f>
        <v>0</v>
      </c>
      <c r="I16" s="220">
        <f>1%*M16</f>
        <v>0</v>
      </c>
      <c r="J16" s="221">
        <f>SUM(G16:I16)</f>
        <v>-5.825556602607012</v>
      </c>
      <c r="K16" s="220">
        <f>+G16</f>
        <v>-5.825556602607012</v>
      </c>
      <c r="L16" s="220">
        <f>IF(K16&gt;0,IF(K16&gt;40,K16-40,0),IF(K16&lt;-40,K16+40,0))</f>
        <v>0</v>
      </c>
      <c r="M16" s="220">
        <f>+L16</f>
        <v>0</v>
      </c>
    </row>
    <row r="17" spans="1:13" ht="21.75" customHeight="1">
      <c r="A17" s="6">
        <f>ROW()</f>
        <v>17</v>
      </c>
      <c r="B17" t="s">
        <v>340</v>
      </c>
      <c r="C17" s="223">
        <v>30</v>
      </c>
      <c r="D17" s="224">
        <v>5</v>
      </c>
      <c r="E17" s="220">
        <f>99%*M17</f>
        <v>0</v>
      </c>
      <c r="F17" s="221">
        <f>+F16+D17+E17</f>
        <v>5</v>
      </c>
      <c r="G17" s="224">
        <v>25</v>
      </c>
      <c r="H17" s="222">
        <f>-M17</f>
        <v>0</v>
      </c>
      <c r="I17" s="220">
        <f>1%*M17</f>
        <v>0</v>
      </c>
      <c r="J17" s="221">
        <f>+J16+SUM(G17:I17)</f>
        <v>19.174443397392988</v>
      </c>
      <c r="K17" s="220">
        <f>+K16+G17</f>
        <v>19.174443397392988</v>
      </c>
      <c r="L17" s="220">
        <f>IF(K17&gt;0,IF(K17&gt;40,K17-40,0),IF(K17&lt;-40,K17+40,0))</f>
        <v>0</v>
      </c>
      <c r="M17" s="220">
        <f>+L17-L16</f>
        <v>0</v>
      </c>
    </row>
    <row r="18" spans="1:13" ht="21.75" customHeight="1">
      <c r="A18" s="6">
        <f>ROW()</f>
        <v>18</v>
      </c>
      <c r="B18" t="s">
        <v>341</v>
      </c>
      <c r="C18" s="223">
        <v>30</v>
      </c>
      <c r="D18" s="224">
        <v>5</v>
      </c>
      <c r="E18" s="220">
        <f>99%*M18</f>
        <v>4.132698963419061</v>
      </c>
      <c r="F18" s="221">
        <f>+F17+D18+E18</f>
        <v>14.132698963419061</v>
      </c>
      <c r="G18" s="224">
        <v>25</v>
      </c>
      <c r="H18" s="222">
        <f>-M18</f>
        <v>-4.1744433973929915</v>
      </c>
      <c r="I18" s="220">
        <f>1%*M18</f>
        <v>0.04174443397392991</v>
      </c>
      <c r="J18" s="221">
        <f>+J17+SUM(G18:I18)</f>
        <v>40.041744433973925</v>
      </c>
      <c r="K18" s="220">
        <f>+K17+G18</f>
        <v>44.17444339739299</v>
      </c>
      <c r="L18" s="220">
        <f>IF(K18&gt;0,IF(K18&gt;40,K18-40,0),IF(K18&lt;-40,K18+40,0))</f>
        <v>4.1744433973929915</v>
      </c>
      <c r="M18" s="220">
        <f>+L18-L17</f>
        <v>4.1744433973929915</v>
      </c>
    </row>
    <row r="19" spans="1:13" ht="21.75" customHeight="1">
      <c r="A19" s="6">
        <f>ROW()</f>
        <v>19</v>
      </c>
      <c r="B19" t="s">
        <v>342</v>
      </c>
      <c r="C19" s="223">
        <v>30</v>
      </c>
      <c r="D19" s="224">
        <v>5</v>
      </c>
      <c r="E19" s="220">
        <f>99%*M19</f>
        <v>24.75</v>
      </c>
      <c r="F19" s="221">
        <f>+F18+D19+E19</f>
        <v>43.88269896341906</v>
      </c>
      <c r="G19" s="224">
        <v>25</v>
      </c>
      <c r="H19" s="222">
        <f>-M19</f>
        <v>-25</v>
      </c>
      <c r="I19" s="220">
        <f>1%*M19</f>
        <v>0.25</v>
      </c>
      <c r="J19" s="221">
        <f>+J18+SUM(G19:I19)</f>
        <v>40.291744433973925</v>
      </c>
      <c r="K19" s="220">
        <f>+K18+G19</f>
        <v>69.17444339739299</v>
      </c>
      <c r="L19" s="220">
        <f>IF(K19&gt;0,IF(K19&gt;40,K19-40,0),IF(K19&lt;-40,K19+40,0))</f>
        <v>29.17444339739299</v>
      </c>
      <c r="M19" s="220">
        <f>+L19-L18</f>
        <v>25</v>
      </c>
    </row>
    <row r="20" spans="1:13" ht="12.75">
      <c r="A20" s="6">
        <f>ROW()</f>
        <v>20</v>
      </c>
      <c r="C20" s="174"/>
      <c r="D20" s="225"/>
      <c r="E20" s="172"/>
      <c r="F20" s="226"/>
      <c r="G20" s="225"/>
      <c r="H20" s="172"/>
      <c r="I20" s="172"/>
      <c r="J20" s="226"/>
      <c r="K20" s="160"/>
      <c r="L20" s="160"/>
      <c r="M20" s="160"/>
    </row>
    <row r="21" spans="1:13" ht="12.75">
      <c r="A21" s="6">
        <f>ROW()</f>
        <v>21</v>
      </c>
      <c r="B21" t="s">
        <v>343</v>
      </c>
      <c r="C21" s="227">
        <f>+SUM(C16:C19)</f>
        <v>84.17444339739299</v>
      </c>
      <c r="D21" s="227" t="str">
        <f>IF(C21=F21+J21,"OK","Error")</f>
        <v>OK</v>
      </c>
      <c r="E21" s="227"/>
      <c r="F21" s="227">
        <f>+F19</f>
        <v>43.88269896341906</v>
      </c>
      <c r="G21" s="227"/>
      <c r="H21" s="227"/>
      <c r="I21" s="227"/>
      <c r="J21" s="227">
        <f>+J19</f>
        <v>40.291744433973925</v>
      </c>
      <c r="K21" s="174"/>
      <c r="L21" s="174"/>
      <c r="M21" s="174"/>
    </row>
    <row r="22" spans="1:13" ht="12.75">
      <c r="A22" s="6">
        <f>ROW()</f>
        <v>22</v>
      </c>
      <c r="C22" s="174"/>
      <c r="D22" s="174"/>
      <c r="E22" s="174"/>
      <c r="F22" s="174"/>
      <c r="G22" s="174"/>
      <c r="H22" s="174"/>
      <c r="I22" s="174"/>
      <c r="J22" s="174"/>
      <c r="K22" s="174"/>
      <c r="L22" s="174"/>
      <c r="M22" s="174"/>
    </row>
    <row r="23" spans="1:4" ht="15.75">
      <c r="A23" s="6">
        <f>ROW()</f>
        <v>23</v>
      </c>
      <c r="B23" s="198" t="s">
        <v>344</v>
      </c>
      <c r="D23" s="198" t="s">
        <v>345</v>
      </c>
    </row>
    <row r="24" spans="1:4" ht="15.75">
      <c r="A24" s="6">
        <f>ROW()</f>
        <v>24</v>
      </c>
      <c r="B24" s="198"/>
      <c r="D24" s="25" t="s">
        <v>314</v>
      </c>
    </row>
    <row r="25" spans="1:13" ht="15.75">
      <c r="A25" s="6">
        <f>ROW()</f>
        <v>25</v>
      </c>
      <c r="B25" s="198"/>
      <c r="C25" s="199" t="s">
        <v>315</v>
      </c>
      <c r="D25" s="200" t="s">
        <v>316</v>
      </c>
      <c r="E25" s="201" t="s">
        <v>317</v>
      </c>
      <c r="F25" s="200" t="s">
        <v>318</v>
      </c>
      <c r="G25" s="201" t="s">
        <v>319</v>
      </c>
      <c r="H25" s="200" t="s">
        <v>320</v>
      </c>
      <c r="I25" s="201" t="s">
        <v>321</v>
      </c>
      <c r="J25" s="200" t="s">
        <v>322</v>
      </c>
      <c r="K25" s="201" t="s">
        <v>323</v>
      </c>
      <c r="L25" s="200" t="s">
        <v>324</v>
      </c>
      <c r="M25" s="202" t="s">
        <v>325</v>
      </c>
    </row>
    <row r="26" spans="1:17" ht="72" customHeight="1">
      <c r="A26" s="6">
        <f>ROW()</f>
        <v>26</v>
      </c>
      <c r="C26" s="203" t="s">
        <v>299</v>
      </c>
      <c r="D26" s="204" t="s">
        <v>326</v>
      </c>
      <c r="E26" s="205" t="s">
        <v>327</v>
      </c>
      <c r="F26" s="206" t="s">
        <v>328</v>
      </c>
      <c r="G26" s="207" t="s">
        <v>329</v>
      </c>
      <c r="H26" s="205" t="s">
        <v>330</v>
      </c>
      <c r="I26" s="205" t="s">
        <v>331</v>
      </c>
      <c r="J26" s="206" t="s">
        <v>332</v>
      </c>
      <c r="K26" s="208" t="s">
        <v>333</v>
      </c>
      <c r="L26" s="208" t="s">
        <v>334</v>
      </c>
      <c r="M26" s="209" t="s">
        <v>335</v>
      </c>
      <c r="P26" s="210"/>
      <c r="Q26" s="211"/>
    </row>
    <row r="27" spans="1:13" ht="12.75">
      <c r="A27" s="6">
        <f>ROW()</f>
        <v>27</v>
      </c>
      <c r="C27" s="212" t="s">
        <v>336</v>
      </c>
      <c r="D27" s="212" t="s">
        <v>337</v>
      </c>
      <c r="E27" s="213"/>
      <c r="F27" s="214"/>
      <c r="G27" s="212" t="s">
        <v>338</v>
      </c>
      <c r="H27" s="213"/>
      <c r="I27" s="213"/>
      <c r="J27" s="214"/>
      <c r="K27" s="213"/>
      <c r="L27" s="213"/>
      <c r="M27" s="214"/>
    </row>
    <row r="28" spans="1:13" ht="12.75">
      <c r="A28" s="6">
        <f>ROW()</f>
        <v>28</v>
      </c>
      <c r="D28" s="215"/>
      <c r="E28" s="216"/>
      <c r="F28" s="217"/>
      <c r="G28" s="215"/>
      <c r="H28" s="216"/>
      <c r="I28" s="216"/>
      <c r="J28" s="217"/>
      <c r="K28" s="216"/>
      <c r="L28" s="216"/>
      <c r="M28" s="216"/>
    </row>
    <row r="29" spans="1:13" ht="21.75" customHeight="1">
      <c r="A29" s="6">
        <f>ROW()</f>
        <v>29</v>
      </c>
      <c r="B29" t="s">
        <v>339</v>
      </c>
      <c r="C29" s="228">
        <v>30</v>
      </c>
      <c r="D29" s="229">
        <v>5</v>
      </c>
      <c r="E29" s="230">
        <f>99%*M29</f>
        <v>0</v>
      </c>
      <c r="F29" s="231">
        <f>+D29+E29</f>
        <v>5</v>
      </c>
      <c r="G29" s="229">
        <v>25</v>
      </c>
      <c r="H29" s="232">
        <f>-M29</f>
        <v>0</v>
      </c>
      <c r="I29" s="230">
        <f>1%*M29</f>
        <v>0</v>
      </c>
      <c r="J29" s="231">
        <f>SUM(G29:I29)</f>
        <v>25</v>
      </c>
      <c r="K29" s="230">
        <f>+G29</f>
        <v>25</v>
      </c>
      <c r="L29" s="230">
        <f>IF(K29&gt;0,IF(K29&gt;40,K29-40,0),IF(K29&lt;-40,K29+40,0))</f>
        <v>0</v>
      </c>
      <c r="M29" s="230">
        <f>+L29</f>
        <v>0</v>
      </c>
    </row>
    <row r="30" spans="1:13" ht="21.75" customHeight="1">
      <c r="A30" s="6">
        <f>ROW()</f>
        <v>30</v>
      </c>
      <c r="B30" t="s">
        <v>340</v>
      </c>
      <c r="C30" s="228">
        <v>0</v>
      </c>
      <c r="D30" s="229">
        <v>0</v>
      </c>
      <c r="E30" s="230">
        <f>99%*M30</f>
        <v>0</v>
      </c>
      <c r="F30" s="231">
        <f>+F29+D30+E30</f>
        <v>5</v>
      </c>
      <c r="G30" s="229">
        <v>0</v>
      </c>
      <c r="H30" s="232">
        <f>-M30</f>
        <v>0</v>
      </c>
      <c r="I30" s="230">
        <f>1%*M30</f>
        <v>0</v>
      </c>
      <c r="J30" s="231">
        <f>+J29+SUM(G30:I30)</f>
        <v>25</v>
      </c>
      <c r="K30" s="230">
        <f>+K29+G30</f>
        <v>25</v>
      </c>
      <c r="L30" s="230">
        <f>IF(K30&gt;0,IF(K30&gt;40,K30-40,0),IF(K30&lt;-40,K30+40,0))</f>
        <v>0</v>
      </c>
      <c r="M30" s="230">
        <f>+L30-L29</f>
        <v>0</v>
      </c>
    </row>
    <row r="31" spans="1:13" ht="21.75" customHeight="1">
      <c r="A31" s="6">
        <f>ROW()</f>
        <v>31</v>
      </c>
      <c r="B31" t="s">
        <v>341</v>
      </c>
      <c r="C31" s="228">
        <v>-100</v>
      </c>
      <c r="D31" s="229">
        <v>-64</v>
      </c>
      <c r="E31" s="230">
        <f>99%*M31</f>
        <v>0</v>
      </c>
      <c r="F31" s="231">
        <f>+F30+D31+E31</f>
        <v>-59</v>
      </c>
      <c r="G31" s="229">
        <v>-36</v>
      </c>
      <c r="H31" s="232">
        <f>-M31</f>
        <v>0</v>
      </c>
      <c r="I31" s="230">
        <f>1%*M31</f>
        <v>0</v>
      </c>
      <c r="J31" s="231">
        <f>+J30+SUM(G31:I31)</f>
        <v>-11</v>
      </c>
      <c r="K31" s="230">
        <f>+K30+G31</f>
        <v>-11</v>
      </c>
      <c r="L31" s="230">
        <f>IF(K31&gt;0,IF(K31&gt;40,K31-40,0),IF(K31&lt;-40,K31+40,0))</f>
        <v>0</v>
      </c>
      <c r="M31" s="230">
        <f>+L31-L30</f>
        <v>0</v>
      </c>
    </row>
    <row r="32" spans="1:13" ht="21.75" customHeight="1">
      <c r="A32" s="6">
        <f>ROW()</f>
        <v>32</v>
      </c>
      <c r="B32" t="s">
        <v>342</v>
      </c>
      <c r="C32" s="228">
        <v>36</v>
      </c>
      <c r="D32" s="229">
        <v>8</v>
      </c>
      <c r="E32" s="230">
        <f>99%*M32</f>
        <v>0</v>
      </c>
      <c r="F32" s="231">
        <f>+F31+D32+E32</f>
        <v>-51</v>
      </c>
      <c r="G32" s="229">
        <v>28</v>
      </c>
      <c r="H32" s="232">
        <f>-M32</f>
        <v>0</v>
      </c>
      <c r="I32" s="230">
        <f>1%*M32</f>
        <v>0</v>
      </c>
      <c r="J32" s="231">
        <f>+J31+SUM(G32:I32)</f>
        <v>17</v>
      </c>
      <c r="K32" s="230">
        <f>+K31+G32</f>
        <v>17</v>
      </c>
      <c r="L32" s="230">
        <f>IF(K32&gt;0,IF(K32&gt;40,K32-40,0),IF(K32&lt;-40,K32+40,0))</f>
        <v>0</v>
      </c>
      <c r="M32" s="230">
        <f>+L32-L31</f>
        <v>0</v>
      </c>
    </row>
    <row r="33" spans="1:13" ht="12.75">
      <c r="A33" s="6">
        <f>ROW()</f>
        <v>33</v>
      </c>
      <c r="C33" s="174"/>
      <c r="D33" s="225"/>
      <c r="E33" s="172"/>
      <c r="F33" s="226"/>
      <c r="G33" s="225"/>
      <c r="H33" s="172"/>
      <c r="I33" s="172"/>
      <c r="J33" s="226"/>
      <c r="K33" s="160"/>
      <c r="L33" s="160"/>
      <c r="M33" s="160"/>
    </row>
    <row r="34" spans="1:13" ht="12.75">
      <c r="A34" s="6">
        <f>ROW()</f>
        <v>34</v>
      </c>
      <c r="B34" t="s">
        <v>343</v>
      </c>
      <c r="C34" s="227">
        <f>+SUM(C29:C32)</f>
        <v>-34</v>
      </c>
      <c r="D34" s="227" t="str">
        <f>IF(C34=F34+J34,"OK","Error")</f>
        <v>OK</v>
      </c>
      <c r="E34" s="227"/>
      <c r="F34" s="227">
        <f>+F32</f>
        <v>-51</v>
      </c>
      <c r="G34" s="227"/>
      <c r="H34" s="227"/>
      <c r="I34" s="227"/>
      <c r="J34" s="227">
        <f>+J32</f>
        <v>17</v>
      </c>
      <c r="K34" s="174"/>
      <c r="L34" s="174"/>
      <c r="M34" s="174"/>
    </row>
    <row r="35" spans="1:13" ht="12.75">
      <c r="A35" s="6">
        <f>ROW()</f>
        <v>35</v>
      </c>
      <c r="C35" s="174"/>
      <c r="D35" s="174"/>
      <c r="E35" s="174"/>
      <c r="F35" s="174"/>
      <c r="G35" s="174"/>
      <c r="H35" s="174"/>
      <c r="I35" s="174"/>
      <c r="J35" s="174"/>
      <c r="K35" s="174"/>
      <c r="L35" s="174"/>
      <c r="M35" s="174"/>
    </row>
    <row r="36" spans="1:4" ht="15.75">
      <c r="A36" s="6">
        <f>ROW()</f>
        <v>36</v>
      </c>
      <c r="B36" s="198" t="s">
        <v>346</v>
      </c>
      <c r="D36" s="198" t="s">
        <v>347</v>
      </c>
    </row>
    <row r="37" spans="1:4" ht="15.75">
      <c r="A37" s="6">
        <f>ROW()</f>
        <v>37</v>
      </c>
      <c r="B37" s="198"/>
      <c r="D37" s="25" t="s">
        <v>314</v>
      </c>
    </row>
    <row r="38" spans="1:13" ht="15.75">
      <c r="A38" s="6">
        <f>ROW()</f>
        <v>38</v>
      </c>
      <c r="B38" s="198"/>
      <c r="C38" s="199" t="s">
        <v>315</v>
      </c>
      <c r="D38" s="200" t="s">
        <v>316</v>
      </c>
      <c r="E38" s="201" t="s">
        <v>317</v>
      </c>
      <c r="F38" s="200" t="s">
        <v>318</v>
      </c>
      <c r="G38" s="201" t="s">
        <v>319</v>
      </c>
      <c r="H38" s="200" t="s">
        <v>320</v>
      </c>
      <c r="I38" s="201" t="s">
        <v>321</v>
      </c>
      <c r="J38" s="200" t="s">
        <v>322</v>
      </c>
      <c r="K38" s="201" t="s">
        <v>323</v>
      </c>
      <c r="L38" s="200" t="s">
        <v>324</v>
      </c>
      <c r="M38" s="202" t="s">
        <v>325</v>
      </c>
    </row>
    <row r="39" spans="1:17" ht="72" customHeight="1">
      <c r="A39" s="6">
        <f>ROW()</f>
        <v>39</v>
      </c>
      <c r="C39" s="203" t="s">
        <v>299</v>
      </c>
      <c r="D39" s="204" t="s">
        <v>326</v>
      </c>
      <c r="E39" s="205" t="s">
        <v>327</v>
      </c>
      <c r="F39" s="206" t="s">
        <v>328</v>
      </c>
      <c r="G39" s="207" t="s">
        <v>329</v>
      </c>
      <c r="H39" s="205" t="s">
        <v>330</v>
      </c>
      <c r="I39" s="205" t="s">
        <v>331</v>
      </c>
      <c r="J39" s="206" t="s">
        <v>332</v>
      </c>
      <c r="K39" s="208" t="s">
        <v>333</v>
      </c>
      <c r="L39" s="208" t="s">
        <v>334</v>
      </c>
      <c r="M39" s="209" t="s">
        <v>335</v>
      </c>
      <c r="P39" s="210"/>
      <c r="Q39" s="211"/>
    </row>
    <row r="40" spans="1:13" ht="12.75">
      <c r="A40" s="6">
        <f>ROW()</f>
        <v>40</v>
      </c>
      <c r="C40" s="212" t="s">
        <v>336</v>
      </c>
      <c r="D40" s="212" t="s">
        <v>337</v>
      </c>
      <c r="E40" s="213"/>
      <c r="F40" s="214"/>
      <c r="G40" s="212" t="s">
        <v>338</v>
      </c>
      <c r="H40" s="213"/>
      <c r="I40" s="213"/>
      <c r="J40" s="214"/>
      <c r="K40" s="213"/>
      <c r="L40" s="213"/>
      <c r="M40" s="214"/>
    </row>
    <row r="41" spans="1:13" ht="12.75">
      <c r="A41" s="6">
        <f>ROW()</f>
        <v>41</v>
      </c>
      <c r="D41" s="215"/>
      <c r="E41" s="216"/>
      <c r="F41" s="217"/>
      <c r="G41" s="215"/>
      <c r="H41" s="216"/>
      <c r="I41" s="216"/>
      <c r="J41" s="217"/>
      <c r="K41" s="216"/>
      <c r="L41" s="216"/>
      <c r="M41" s="216"/>
    </row>
    <row r="42" spans="1:13" ht="21.75" customHeight="1">
      <c r="A42" s="6">
        <f>ROW()</f>
        <v>42</v>
      </c>
      <c r="B42" t="s">
        <v>339</v>
      </c>
      <c r="C42" s="228">
        <v>30</v>
      </c>
      <c r="D42" s="229">
        <v>5</v>
      </c>
      <c r="E42" s="230">
        <f>99%*M42</f>
        <v>0</v>
      </c>
      <c r="F42" s="231">
        <f>+D42+E42</f>
        <v>5</v>
      </c>
      <c r="G42" s="229">
        <v>25</v>
      </c>
      <c r="H42" s="232">
        <f>-M42</f>
        <v>0</v>
      </c>
      <c r="I42" s="230">
        <f>1%*M42</f>
        <v>0</v>
      </c>
      <c r="J42" s="231">
        <f>SUM(G42:I42)</f>
        <v>25</v>
      </c>
      <c r="K42" s="230">
        <f>+G42</f>
        <v>25</v>
      </c>
      <c r="L42" s="230">
        <f>IF(K42&gt;0,IF(K42&gt;40,K42-40,0),IF(K42&lt;-40,K42+40,0))</f>
        <v>0</v>
      </c>
      <c r="M42" s="230">
        <f>+L42</f>
        <v>0</v>
      </c>
    </row>
    <row r="43" spans="1:13" ht="21.75" customHeight="1">
      <c r="A43" s="6">
        <f>ROW()</f>
        <v>43</v>
      </c>
      <c r="B43" t="s">
        <v>340</v>
      </c>
      <c r="C43" s="228">
        <v>100</v>
      </c>
      <c r="D43" s="229">
        <v>64</v>
      </c>
      <c r="E43" s="230">
        <f>99%*M43</f>
        <v>20.79</v>
      </c>
      <c r="F43" s="231">
        <f>+F42+D43+E43</f>
        <v>89.78999999999999</v>
      </c>
      <c r="G43" s="229">
        <v>36</v>
      </c>
      <c r="H43" s="232">
        <f>-M43</f>
        <v>-21</v>
      </c>
      <c r="I43" s="230">
        <f>1%*M43</f>
        <v>0.21</v>
      </c>
      <c r="J43" s="231">
        <f>+J42+SUM(G43:I43)</f>
        <v>40.21</v>
      </c>
      <c r="K43" s="230">
        <f>+K42+G43</f>
        <v>61</v>
      </c>
      <c r="L43" s="230">
        <f>IF(K43&gt;0,IF(K43&gt;40,K43-40,0),IF(K43&lt;-40,K43+40,0))</f>
        <v>21</v>
      </c>
      <c r="M43" s="230">
        <f>+L43-L42</f>
        <v>21</v>
      </c>
    </row>
    <row r="44" spans="1:13" ht="21.75" customHeight="1">
      <c r="A44" s="6">
        <f>ROW()</f>
        <v>44</v>
      </c>
      <c r="B44" t="s">
        <v>341</v>
      </c>
      <c r="C44" s="228">
        <v>36</v>
      </c>
      <c r="D44" s="229">
        <v>8</v>
      </c>
      <c r="E44" s="230">
        <f>99%*M44</f>
        <v>27.72</v>
      </c>
      <c r="F44" s="231">
        <f>+F43+D44+E44</f>
        <v>125.50999999999999</v>
      </c>
      <c r="G44" s="229">
        <v>28</v>
      </c>
      <c r="H44" s="232">
        <f>-M44</f>
        <v>-28</v>
      </c>
      <c r="I44" s="230">
        <f>1%*M44</f>
        <v>0.28</v>
      </c>
      <c r="J44" s="231">
        <f>+J43+SUM(G44:I44)</f>
        <v>40.49</v>
      </c>
      <c r="K44" s="230">
        <f>+K43+G44</f>
        <v>89</v>
      </c>
      <c r="L44" s="230">
        <f>IF(K44&gt;0,IF(K44&gt;40,K44-40,0),IF(K44&lt;-40,K44+40,0))</f>
        <v>49</v>
      </c>
      <c r="M44" s="230">
        <f>+L44-L43</f>
        <v>28</v>
      </c>
    </row>
    <row r="45" spans="1:13" ht="21.75" customHeight="1">
      <c r="A45" s="6">
        <f>ROW()</f>
        <v>45</v>
      </c>
      <c r="B45" t="s">
        <v>342</v>
      </c>
      <c r="C45" s="228">
        <v>-100</v>
      </c>
      <c r="D45" s="229">
        <v>-64</v>
      </c>
      <c r="E45" s="230">
        <f>99%*M45</f>
        <v>-35.64</v>
      </c>
      <c r="F45" s="231">
        <f>+F44+D45+E45</f>
        <v>25.86999999999999</v>
      </c>
      <c r="G45" s="229">
        <v>-36</v>
      </c>
      <c r="H45" s="232">
        <f>-M45</f>
        <v>36</v>
      </c>
      <c r="I45" s="230">
        <f>1%*M45</f>
        <v>-0.36</v>
      </c>
      <c r="J45" s="231">
        <f>+J44+SUM(G45:I45)</f>
        <v>40.13</v>
      </c>
      <c r="K45" s="230">
        <f>+K44+G45</f>
        <v>53</v>
      </c>
      <c r="L45" s="230">
        <f>IF(K45&gt;0,IF(K45&gt;40,K45-40,0),IF(K45&lt;-40,K45+40,0))</f>
        <v>13</v>
      </c>
      <c r="M45" s="230">
        <f>+L45-L44</f>
        <v>-36</v>
      </c>
    </row>
    <row r="46" spans="1:13" ht="12.75">
      <c r="A46" s="6">
        <f>ROW()</f>
        <v>46</v>
      </c>
      <c r="C46" s="174"/>
      <c r="D46" s="225"/>
      <c r="E46" s="172"/>
      <c r="F46" s="226"/>
      <c r="G46" s="225"/>
      <c r="H46" s="172"/>
      <c r="I46" s="172"/>
      <c r="J46" s="226"/>
      <c r="K46" s="160"/>
      <c r="L46" s="160"/>
      <c r="M46" s="160"/>
    </row>
    <row r="47" spans="1:13" ht="12.75">
      <c r="A47" s="6">
        <f>ROW()</f>
        <v>47</v>
      </c>
      <c r="B47" t="s">
        <v>343</v>
      </c>
      <c r="C47" s="227">
        <f>+SUM(C42:C45)</f>
        <v>66</v>
      </c>
      <c r="D47" s="227" t="str">
        <f>IF(C47=F47+J47,"OK","Error")</f>
        <v>OK</v>
      </c>
      <c r="E47" s="227"/>
      <c r="F47" s="227">
        <f>+F45</f>
        <v>25.86999999999999</v>
      </c>
      <c r="G47" s="227"/>
      <c r="H47" s="227"/>
      <c r="I47" s="227"/>
      <c r="J47" s="227">
        <f>+J45</f>
        <v>40.13</v>
      </c>
      <c r="K47" s="174"/>
      <c r="L47" s="174"/>
      <c r="M47" s="174"/>
    </row>
    <row r="48" spans="1:13" ht="12.75">
      <c r="A48" s="6">
        <f>ROW()</f>
        <v>48</v>
      </c>
      <c r="C48" s="174"/>
      <c r="D48" s="174"/>
      <c r="E48" s="174"/>
      <c r="F48" s="174"/>
      <c r="G48" s="174"/>
      <c r="H48" s="174"/>
      <c r="I48" s="174"/>
      <c r="J48" s="174"/>
      <c r="K48" s="174"/>
      <c r="L48" s="174"/>
      <c r="M48" s="174"/>
    </row>
    <row r="49" spans="1:4" ht="15.75">
      <c r="A49" s="6">
        <f>ROW()</f>
        <v>49</v>
      </c>
      <c r="B49" s="198" t="s">
        <v>348</v>
      </c>
      <c r="D49" s="198" t="s">
        <v>349</v>
      </c>
    </row>
    <row r="50" spans="1:4" ht="15.75">
      <c r="A50" s="6">
        <f>ROW()</f>
        <v>50</v>
      </c>
      <c r="B50" s="198"/>
      <c r="D50" s="25" t="s">
        <v>314</v>
      </c>
    </row>
    <row r="51" spans="1:13" ht="15.75">
      <c r="A51" s="6">
        <f>ROW()</f>
        <v>51</v>
      </c>
      <c r="B51" s="198"/>
      <c r="C51" s="199" t="s">
        <v>315</v>
      </c>
      <c r="D51" s="200" t="s">
        <v>316</v>
      </c>
      <c r="E51" s="201" t="s">
        <v>317</v>
      </c>
      <c r="F51" s="200" t="s">
        <v>318</v>
      </c>
      <c r="G51" s="201" t="s">
        <v>319</v>
      </c>
      <c r="H51" s="200" t="s">
        <v>320</v>
      </c>
      <c r="I51" s="201" t="s">
        <v>321</v>
      </c>
      <c r="J51" s="200" t="s">
        <v>322</v>
      </c>
      <c r="K51" s="201" t="s">
        <v>323</v>
      </c>
      <c r="L51" s="200" t="s">
        <v>324</v>
      </c>
      <c r="M51" s="202" t="s">
        <v>325</v>
      </c>
    </row>
    <row r="52" spans="1:17" ht="72" customHeight="1">
      <c r="A52" s="6">
        <f>ROW()</f>
        <v>52</v>
      </c>
      <c r="C52" s="203" t="s">
        <v>299</v>
      </c>
      <c r="D52" s="204" t="s">
        <v>326</v>
      </c>
      <c r="E52" s="205" t="s">
        <v>327</v>
      </c>
      <c r="F52" s="206" t="s">
        <v>328</v>
      </c>
      <c r="G52" s="207" t="s">
        <v>329</v>
      </c>
      <c r="H52" s="205" t="s">
        <v>330</v>
      </c>
      <c r="I52" s="205" t="s">
        <v>331</v>
      </c>
      <c r="J52" s="206" t="s">
        <v>332</v>
      </c>
      <c r="K52" s="208" t="s">
        <v>333</v>
      </c>
      <c r="L52" s="208" t="s">
        <v>334</v>
      </c>
      <c r="M52" s="209" t="s">
        <v>335</v>
      </c>
      <c r="P52" s="210"/>
      <c r="Q52" s="211"/>
    </row>
    <row r="53" spans="1:13" ht="12.75">
      <c r="A53" s="6">
        <f>ROW()</f>
        <v>53</v>
      </c>
      <c r="C53" s="212" t="s">
        <v>336</v>
      </c>
      <c r="D53" s="212" t="s">
        <v>337</v>
      </c>
      <c r="E53" s="213"/>
      <c r="F53" s="214"/>
      <c r="G53" s="212" t="s">
        <v>338</v>
      </c>
      <c r="H53" s="213"/>
      <c r="I53" s="213"/>
      <c r="J53" s="214"/>
      <c r="K53" s="213"/>
      <c r="L53" s="213"/>
      <c r="M53" s="214"/>
    </row>
    <row r="54" spans="1:13" ht="12.75">
      <c r="A54" s="6">
        <f>ROW()</f>
        <v>54</v>
      </c>
      <c r="D54" s="215"/>
      <c r="E54" s="216"/>
      <c r="F54" s="217"/>
      <c r="G54" s="215"/>
      <c r="H54" s="216"/>
      <c r="I54" s="216"/>
      <c r="J54" s="217"/>
      <c r="K54" s="216"/>
      <c r="L54" s="216"/>
      <c r="M54" s="216"/>
    </row>
    <row r="55" spans="1:13" ht="21.75" customHeight="1">
      <c r="A55" s="6">
        <f>ROW()</f>
        <v>55</v>
      </c>
      <c r="B55" t="s">
        <v>339</v>
      </c>
      <c r="C55" s="228">
        <v>-30</v>
      </c>
      <c r="D55" s="229">
        <v>-5</v>
      </c>
      <c r="E55" s="230">
        <f>99%*M55</f>
        <v>0</v>
      </c>
      <c r="F55" s="231">
        <f>+D55+E55</f>
        <v>-5</v>
      </c>
      <c r="G55" s="229">
        <v>-25</v>
      </c>
      <c r="H55" s="232">
        <f>-M55</f>
        <v>0</v>
      </c>
      <c r="I55" s="230">
        <f>1%*M55</f>
        <v>0</v>
      </c>
      <c r="J55" s="231">
        <f>SUM(G55:I55)</f>
        <v>-25</v>
      </c>
      <c r="K55" s="230">
        <f>+G55</f>
        <v>-25</v>
      </c>
      <c r="L55" s="230">
        <f>IF(K55&gt;0,IF(K55&gt;40,K55-40,0),IF(K55&lt;-40,K55+40,0))</f>
        <v>0</v>
      </c>
      <c r="M55" s="230">
        <f>+L55</f>
        <v>0</v>
      </c>
    </row>
    <row r="56" spans="1:13" ht="21.75" customHeight="1">
      <c r="A56" s="6">
        <f>ROW()</f>
        <v>56</v>
      </c>
      <c r="B56" t="s">
        <v>340</v>
      </c>
      <c r="C56" s="228">
        <v>-100</v>
      </c>
      <c r="D56" s="229">
        <v>-64</v>
      </c>
      <c r="E56" s="230">
        <f>99%*M56</f>
        <v>-20.79</v>
      </c>
      <c r="F56" s="231">
        <f>+F55+D56+E56</f>
        <v>-89.78999999999999</v>
      </c>
      <c r="G56" s="229">
        <v>-36</v>
      </c>
      <c r="H56" s="232">
        <f>-M56</f>
        <v>21</v>
      </c>
      <c r="I56" s="230">
        <f>1%*M56</f>
        <v>-0.21</v>
      </c>
      <c r="J56" s="231">
        <f>+J55+SUM(G56:I56)</f>
        <v>-40.21</v>
      </c>
      <c r="K56" s="230">
        <f>+K55+G56</f>
        <v>-61</v>
      </c>
      <c r="L56" s="230">
        <f>IF(K56&gt;0,IF(K56&gt;40,K56-40,0),IF(K56&lt;-40,K56+40,0))</f>
        <v>-21</v>
      </c>
      <c r="M56" s="230">
        <f>+L56-L55</f>
        <v>-21</v>
      </c>
    </row>
    <row r="57" spans="1:13" ht="21.75" customHeight="1">
      <c r="A57" s="6">
        <f>ROW()</f>
        <v>57</v>
      </c>
      <c r="B57" t="s">
        <v>341</v>
      </c>
      <c r="C57" s="228">
        <v>-36</v>
      </c>
      <c r="D57" s="229">
        <v>-8</v>
      </c>
      <c r="E57" s="230">
        <f>99%*M57</f>
        <v>-27.72</v>
      </c>
      <c r="F57" s="231">
        <f>+F56+D57+E57</f>
        <v>-125.50999999999999</v>
      </c>
      <c r="G57" s="229">
        <v>-28</v>
      </c>
      <c r="H57" s="232">
        <f>-M57</f>
        <v>28</v>
      </c>
      <c r="I57" s="230">
        <f>1%*M57</f>
        <v>-0.28</v>
      </c>
      <c r="J57" s="231">
        <f>+J56+SUM(G57:I57)</f>
        <v>-40.49</v>
      </c>
      <c r="K57" s="230">
        <f>+K56+G57</f>
        <v>-89</v>
      </c>
      <c r="L57" s="230">
        <f>IF(K57&gt;0,IF(K57&gt;40,K57-40,0),IF(K57&lt;-40,K57+40,0))</f>
        <v>-49</v>
      </c>
      <c r="M57" s="230">
        <f>+L57-L56</f>
        <v>-28</v>
      </c>
    </row>
    <row r="58" spans="1:13" ht="21.75" customHeight="1">
      <c r="A58" s="6">
        <f>ROW()</f>
        <v>58</v>
      </c>
      <c r="B58" t="s">
        <v>342</v>
      </c>
      <c r="C58" s="228">
        <v>100</v>
      </c>
      <c r="D58" s="229">
        <v>64</v>
      </c>
      <c r="E58" s="230">
        <f>99%*M58</f>
        <v>35.64</v>
      </c>
      <c r="F58" s="231">
        <f>+F57+D58+E58</f>
        <v>-25.86999999999999</v>
      </c>
      <c r="G58" s="229">
        <v>36</v>
      </c>
      <c r="H58" s="232">
        <f>-M58</f>
        <v>-36</v>
      </c>
      <c r="I58" s="230">
        <f>1%*M58</f>
        <v>0.36</v>
      </c>
      <c r="J58" s="231">
        <f>+J57+SUM(G58:I58)</f>
        <v>-40.13</v>
      </c>
      <c r="K58" s="230">
        <f>+K57+G58</f>
        <v>-53</v>
      </c>
      <c r="L58" s="230">
        <f>IF(K58&gt;0,IF(K58&gt;40,K58-40,0),IF(K58&lt;-40,K58+40,0))</f>
        <v>-13</v>
      </c>
      <c r="M58" s="230">
        <f>+L58-L57</f>
        <v>36</v>
      </c>
    </row>
    <row r="59" spans="1:13" ht="12.75">
      <c r="A59" s="6">
        <f>ROW()</f>
        <v>59</v>
      </c>
      <c r="C59" s="174"/>
      <c r="D59" s="225"/>
      <c r="E59" s="172"/>
      <c r="F59" s="226"/>
      <c r="G59" s="225"/>
      <c r="H59" s="172"/>
      <c r="I59" s="172"/>
      <c r="J59" s="226"/>
      <c r="K59" s="160"/>
      <c r="L59" s="160"/>
      <c r="M59" s="160"/>
    </row>
    <row r="60" spans="1:13" ht="12.75">
      <c r="A60" s="6">
        <f>ROW()</f>
        <v>60</v>
      </c>
      <c r="B60" t="s">
        <v>343</v>
      </c>
      <c r="C60" s="227">
        <f>+SUM(C55:C58)</f>
        <v>-66</v>
      </c>
      <c r="D60" s="227" t="str">
        <f>IF(C60=F60+J60,"OK","Error")</f>
        <v>OK</v>
      </c>
      <c r="E60" s="227"/>
      <c r="F60" s="227">
        <f>+F58</f>
        <v>-25.86999999999999</v>
      </c>
      <c r="G60" s="227"/>
      <c r="H60" s="227"/>
      <c r="I60" s="227"/>
      <c r="J60" s="227">
        <f>+J58</f>
        <v>-40.13</v>
      </c>
      <c r="K60" s="174"/>
      <c r="L60" s="174"/>
      <c r="M60" s="174"/>
    </row>
    <row r="61" spans="1:13" ht="12.75">
      <c r="A61" s="6">
        <f>ROW()</f>
        <v>61</v>
      </c>
      <c r="C61" s="174"/>
      <c r="D61" s="174"/>
      <c r="E61" s="174"/>
      <c r="F61" s="174"/>
      <c r="G61" s="174"/>
      <c r="H61" s="174"/>
      <c r="I61" s="174"/>
      <c r="J61" s="174"/>
      <c r="K61" s="174"/>
      <c r="L61" s="174"/>
      <c r="M61" s="174"/>
    </row>
    <row r="65" ht="12.75">
      <c r="C65" s="233"/>
    </row>
    <row r="66" ht="12.75">
      <c r="C66" s="165"/>
    </row>
    <row r="67" ht="12.75">
      <c r="C67" s="234"/>
    </row>
  </sheetData>
  <conditionalFormatting sqref="D21 D34 D47 D60">
    <cfRule type="cellIs" priority="1" dxfId="0" operator="equal" stopIfTrue="1">
      <formula>"error"</formula>
    </cfRule>
  </conditionalFormatting>
  <printOptions/>
  <pageMargins left="0.4" right="0.75" top="1" bottom="1" header="0.5" footer="0.5"/>
  <pageSetup horizontalDpi="600" verticalDpi="600" orientation="landscape" scale="85" r:id="rId2"/>
  <headerFooter alignWithMargins="0">
    <oddHeader>&amp;LPCA Collaborative</oddHeader>
    <oddFooter>&amp;L&amp;F&amp;R&amp;A Examples over 4 pages</oddFooter>
  </headerFooter>
  <rowBreaks count="3" manualBreakCount="3">
    <brk id="22" max="12" man="1"/>
    <brk id="35" max="255" man="1"/>
    <brk id="48" max="12"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K39"/>
  <sheetViews>
    <sheetView workbookViewId="0" topLeftCell="A1">
      <selection activeCell="J30" sqref="J30"/>
    </sheetView>
  </sheetViews>
  <sheetFormatPr defaultColWidth="9.140625" defaultRowHeight="12.75"/>
  <cols>
    <col min="1" max="1" width="6.28125" style="6" customWidth="1"/>
    <col min="2" max="2" width="12.28125" style="0" bestFit="1" customWidth="1"/>
    <col min="3" max="3" width="2.00390625" style="0" bestFit="1" customWidth="1"/>
    <col min="4" max="4" width="12.28125" style="0" bestFit="1" customWidth="1"/>
    <col min="5" max="5" width="10.28125" style="0" bestFit="1" customWidth="1"/>
    <col min="6" max="6" width="11.8515625" style="0" bestFit="1" customWidth="1"/>
    <col min="7" max="7" width="12.28125" style="0" customWidth="1"/>
    <col min="8" max="8" width="12.57421875" style="159" bestFit="1" customWidth="1"/>
    <col min="9" max="9" width="15.8515625" style="159" bestFit="1" customWidth="1"/>
    <col min="10" max="10" width="12.28125" style="0" bestFit="1" customWidth="1"/>
    <col min="11" max="11" width="15.28125" style="0" customWidth="1"/>
  </cols>
  <sheetData>
    <row r="1" ht="18">
      <c r="B1" s="142" t="s">
        <v>350</v>
      </c>
    </row>
    <row r="3" ht="12.75">
      <c r="A3" s="6" t="s">
        <v>248</v>
      </c>
    </row>
    <row r="4" spans="1:9" ht="12.75">
      <c r="A4" s="6">
        <f>ROW()</f>
        <v>4</v>
      </c>
      <c r="B4" s="25" t="s">
        <v>351</v>
      </c>
      <c r="H4" s="341" t="s">
        <v>352</v>
      </c>
      <c r="I4" s="341"/>
    </row>
    <row r="5" spans="1:11" s="6" customFormat="1" ht="12.75">
      <c r="A5" s="6">
        <f>ROW()</f>
        <v>5</v>
      </c>
      <c r="E5" s="235" t="s">
        <v>353</v>
      </c>
      <c r="F5" s="235" t="s">
        <v>354</v>
      </c>
      <c r="G5" s="235" t="s">
        <v>26</v>
      </c>
      <c r="H5" s="236" t="s">
        <v>355</v>
      </c>
      <c r="I5" s="236" t="s">
        <v>356</v>
      </c>
      <c r="J5" s="237">
        <v>0.073</v>
      </c>
      <c r="K5" s="235" t="s">
        <v>357</v>
      </c>
    </row>
    <row r="6" spans="1:7" ht="12.75">
      <c r="A6" s="6">
        <f>ROW()</f>
        <v>6</v>
      </c>
      <c r="B6">
        <v>2000</v>
      </c>
      <c r="C6" t="s">
        <v>358</v>
      </c>
      <c r="D6" s="159">
        <v>12588000</v>
      </c>
      <c r="E6" s="159">
        <v>709000</v>
      </c>
      <c r="F6" s="159">
        <v>-312000</v>
      </c>
      <c r="G6" s="159">
        <v>12985000</v>
      </c>
    </row>
    <row r="7" spans="1:7" ht="12.75">
      <c r="A7" s="6">
        <f>ROW()</f>
        <v>7</v>
      </c>
      <c r="B7">
        <v>2001</v>
      </c>
      <c r="C7" t="s">
        <v>358</v>
      </c>
      <c r="D7" s="159" t="s">
        <v>359</v>
      </c>
      <c r="E7" s="159">
        <v>720000</v>
      </c>
      <c r="F7" s="159">
        <v>-741000</v>
      </c>
      <c r="G7" s="159">
        <v>12964000</v>
      </c>
    </row>
    <row r="8" spans="1:11" ht="12.75">
      <c r="A8" s="6">
        <f>ROW()</f>
        <v>8</v>
      </c>
      <c r="B8">
        <v>2002</v>
      </c>
      <c r="C8" t="s">
        <v>358</v>
      </c>
      <c r="D8" s="159" t="s">
        <v>359</v>
      </c>
      <c r="E8" s="159">
        <v>731000</v>
      </c>
      <c r="F8" s="159">
        <v>-1070000</v>
      </c>
      <c r="G8" s="159">
        <v>12625000</v>
      </c>
      <c r="H8" s="159">
        <f>0.5*F8+0.5*F9</f>
        <v>-1239500</v>
      </c>
      <c r="I8" s="159">
        <v>12491033</v>
      </c>
      <c r="J8" s="174">
        <f>+I8*$J$5</f>
        <v>911845.409</v>
      </c>
      <c r="K8" s="174">
        <f>+J8-H8</f>
        <v>2151345.409</v>
      </c>
    </row>
    <row r="9" spans="1:11" ht="12.75">
      <c r="A9" s="6">
        <f>ROW()</f>
        <v>9</v>
      </c>
      <c r="B9">
        <v>2003</v>
      </c>
      <c r="C9" t="s">
        <v>358</v>
      </c>
      <c r="D9" s="159" t="s">
        <v>359</v>
      </c>
      <c r="E9" s="159" t="s">
        <v>359</v>
      </c>
      <c r="F9" s="159">
        <v>-1409000</v>
      </c>
      <c r="G9" s="159">
        <v>11216000</v>
      </c>
      <c r="H9" s="159">
        <f>0.5*F9+0.5*F10</f>
        <v>-1588500</v>
      </c>
      <c r="I9" s="159">
        <v>11170908</v>
      </c>
      <c r="J9" s="174">
        <f>+I9*$J$5</f>
        <v>815476.284</v>
      </c>
      <c r="K9" s="174">
        <f>+J9-H9</f>
        <v>2403976.284</v>
      </c>
    </row>
    <row r="10" spans="1:11" ht="12.75">
      <c r="A10" s="6">
        <f>ROW()</f>
        <v>10</v>
      </c>
      <c r="B10">
        <v>2004</v>
      </c>
      <c r="C10" t="s">
        <v>358</v>
      </c>
      <c r="D10" s="159" t="s">
        <v>359</v>
      </c>
      <c r="E10" s="159" t="s">
        <v>359</v>
      </c>
      <c r="F10" s="159">
        <v>-1768000</v>
      </c>
      <c r="G10" s="159">
        <v>9448000</v>
      </c>
      <c r="H10" s="159">
        <f>0.5*F10+0.5*F11</f>
        <v>-1965500</v>
      </c>
      <c r="I10" s="159">
        <v>9398408</v>
      </c>
      <c r="J10" s="174">
        <f>+I10*$J$5</f>
        <v>686083.784</v>
      </c>
      <c r="K10" s="174">
        <f>+J10-H10</f>
        <v>2651583.784</v>
      </c>
    </row>
    <row r="11" spans="1:11" ht="12.75" customHeight="1">
      <c r="A11" s="6">
        <f>ROW()</f>
        <v>11</v>
      </c>
      <c r="B11">
        <v>2005</v>
      </c>
      <c r="C11" t="s">
        <v>358</v>
      </c>
      <c r="D11" s="159" t="s">
        <v>359</v>
      </c>
      <c r="E11" s="159">
        <v>0</v>
      </c>
      <c r="F11" s="159">
        <v>-2163000</v>
      </c>
      <c r="G11" s="159">
        <v>7285000</v>
      </c>
      <c r="H11" s="159">
        <f>0.5*F11+0.5*F12</f>
        <v>-2388500</v>
      </c>
      <c r="I11" s="159">
        <v>7228408</v>
      </c>
      <c r="J11" s="174">
        <f>+I11*$J$5</f>
        <v>527673.784</v>
      </c>
      <c r="K11" s="174">
        <f>+J11-H11</f>
        <v>2916173.784</v>
      </c>
    </row>
    <row r="12" spans="1:7" ht="12.75">
      <c r="A12" s="6">
        <f>ROW()</f>
        <v>12</v>
      </c>
      <c r="B12">
        <v>2006</v>
      </c>
      <c r="C12" t="s">
        <v>358</v>
      </c>
      <c r="D12" s="159" t="s">
        <v>359</v>
      </c>
      <c r="E12" s="159">
        <v>0</v>
      </c>
      <c r="F12" s="159">
        <v>-2614000</v>
      </c>
      <c r="G12" s="159">
        <v>4671000</v>
      </c>
    </row>
    <row r="13" spans="1:7" ht="12.75">
      <c r="A13" s="6">
        <f>ROW()</f>
        <v>13</v>
      </c>
      <c r="D13" s="159" t="s">
        <v>29</v>
      </c>
      <c r="E13" s="159"/>
      <c r="F13" s="159"/>
      <c r="G13" s="159"/>
    </row>
    <row r="14" spans="1:7" ht="12.75">
      <c r="A14" s="6">
        <f>ROW()</f>
        <v>14</v>
      </c>
      <c r="B14" s="25" t="s">
        <v>360</v>
      </c>
      <c r="D14" s="159">
        <v>0</v>
      </c>
      <c r="E14" s="159"/>
      <c r="F14" s="159"/>
      <c r="G14" s="159"/>
    </row>
    <row r="15" spans="1:7" ht="12.75">
      <c r="A15" s="6">
        <f>ROW()</f>
        <v>15</v>
      </c>
      <c r="B15">
        <v>1998</v>
      </c>
      <c r="C15" t="s">
        <v>358</v>
      </c>
      <c r="D15" s="159">
        <v>215000000</v>
      </c>
      <c r="E15" s="159">
        <v>8754000</v>
      </c>
      <c r="F15" s="159">
        <v>-1952000</v>
      </c>
      <c r="G15" s="159">
        <v>221802000</v>
      </c>
    </row>
    <row r="16" spans="1:7" ht="12.75">
      <c r="A16" s="6">
        <f>ROW()</f>
        <v>16</v>
      </c>
      <c r="B16">
        <v>1999</v>
      </c>
      <c r="C16" t="s">
        <v>358</v>
      </c>
      <c r="D16" s="159" t="s">
        <v>359</v>
      </c>
      <c r="E16" s="159">
        <v>8795000</v>
      </c>
      <c r="F16" s="159">
        <v>-3863000</v>
      </c>
      <c r="G16" s="159">
        <v>226734000</v>
      </c>
    </row>
    <row r="17" spans="1:7" ht="12.75">
      <c r="A17" s="6">
        <f>ROW()</f>
        <v>17</v>
      </c>
      <c r="B17">
        <v>2000</v>
      </c>
      <c r="C17" t="s">
        <v>358</v>
      </c>
      <c r="D17" s="159" t="s">
        <v>359</v>
      </c>
      <c r="E17" s="159">
        <v>8849000</v>
      </c>
      <c r="F17" s="159">
        <v>-5463000</v>
      </c>
      <c r="G17" s="159">
        <v>230120000</v>
      </c>
    </row>
    <row r="18" spans="1:7" ht="12.75">
      <c r="A18" s="6">
        <f>ROW()</f>
        <v>18</v>
      </c>
      <c r="B18">
        <v>2001</v>
      </c>
      <c r="C18" t="s">
        <v>358</v>
      </c>
      <c r="D18" s="159" t="s">
        <v>359</v>
      </c>
      <c r="E18" s="159">
        <v>8838000</v>
      </c>
      <c r="F18" s="159">
        <v>-7382000</v>
      </c>
      <c r="G18" s="159">
        <v>231576000</v>
      </c>
    </row>
    <row r="19" spans="1:11" ht="12.75">
      <c r="A19" s="6">
        <f>ROW()</f>
        <v>19</v>
      </c>
      <c r="B19">
        <v>2002</v>
      </c>
      <c r="C19" t="s">
        <v>358</v>
      </c>
      <c r="D19" s="159" t="s">
        <v>359</v>
      </c>
      <c r="E19" s="159">
        <v>8749000</v>
      </c>
      <c r="F19" s="159">
        <v>-9494000</v>
      </c>
      <c r="G19" s="159">
        <v>230831000</v>
      </c>
      <c r="H19" s="159">
        <f>0.5*F19+0.5*F20</f>
        <v>-10709000</v>
      </c>
      <c r="I19" s="159">
        <v>229424000</v>
      </c>
      <c r="J19" s="174">
        <f>+I19*$J$5</f>
        <v>16747951.999999998</v>
      </c>
      <c r="K19" s="174">
        <f>+J19-H19</f>
        <v>27456952</v>
      </c>
    </row>
    <row r="20" spans="1:11" ht="12.75">
      <c r="A20" s="6">
        <f>ROW()</f>
        <v>20</v>
      </c>
      <c r="B20">
        <v>2003</v>
      </c>
      <c r="C20" t="s">
        <v>358</v>
      </c>
      <c r="D20" s="159" t="s">
        <v>359</v>
      </c>
      <c r="E20" s="159">
        <v>0</v>
      </c>
      <c r="F20" s="159">
        <v>-11924000</v>
      </c>
      <c r="G20" s="159">
        <v>218907000</v>
      </c>
      <c r="H20" s="159">
        <f>0.5*F20+0.5*F21</f>
        <v>-13334000</v>
      </c>
      <c r="I20" s="159">
        <v>218552512</v>
      </c>
      <c r="J20" s="174">
        <f>+I20*$J$5</f>
        <v>15954333.375999998</v>
      </c>
      <c r="K20" s="174">
        <f>+J20-H20</f>
        <v>29288333.376</v>
      </c>
    </row>
    <row r="21" spans="1:11" ht="12.75">
      <c r="A21" s="6">
        <f>ROW()</f>
        <v>21</v>
      </c>
      <c r="B21">
        <v>2004</v>
      </c>
      <c r="C21" t="s">
        <v>358</v>
      </c>
      <c r="D21" s="159" t="s">
        <v>359</v>
      </c>
      <c r="E21" s="159">
        <v>0</v>
      </c>
      <c r="F21" s="159">
        <v>-14744000</v>
      </c>
      <c r="G21" s="159">
        <v>204163000</v>
      </c>
      <c r="H21" s="159">
        <f>0.5*F21+0.5*F22</f>
        <v>-16326000</v>
      </c>
      <c r="I21" s="159">
        <v>203765512</v>
      </c>
      <c r="J21" s="174">
        <f>+I21*$J$5</f>
        <v>14874882.375999998</v>
      </c>
      <c r="K21" s="174">
        <f>+J21-H21</f>
        <v>31200882.376</v>
      </c>
    </row>
    <row r="22" spans="1:11" ht="12.75">
      <c r="A22" s="6">
        <f>ROW()</f>
        <v>22</v>
      </c>
      <c r="B22">
        <v>2005</v>
      </c>
      <c r="C22" t="s">
        <v>358</v>
      </c>
      <c r="D22" s="159" t="s">
        <v>359</v>
      </c>
      <c r="E22" s="159">
        <v>0</v>
      </c>
      <c r="F22" s="159">
        <v>-17908000</v>
      </c>
      <c r="G22" s="159">
        <v>186255000</v>
      </c>
      <c r="H22" s="159">
        <f>0.5*F22+0.5*F23</f>
        <v>-19261500</v>
      </c>
      <c r="I22" s="159">
        <v>185914637</v>
      </c>
      <c r="J22" s="174">
        <f>+I22*$J$5</f>
        <v>13571768.500999998</v>
      </c>
      <c r="K22" s="174">
        <f>+J22-H22</f>
        <v>32833268.501</v>
      </c>
    </row>
    <row r="23" spans="1:7" ht="12.75">
      <c r="A23" s="6">
        <f>ROW()</f>
        <v>23</v>
      </c>
      <c r="B23">
        <v>2006</v>
      </c>
      <c r="C23" t="s">
        <v>358</v>
      </c>
      <c r="D23" s="159" t="s">
        <v>359</v>
      </c>
      <c r="E23" s="159">
        <v>0</v>
      </c>
      <c r="F23" s="159">
        <v>-20615000</v>
      </c>
      <c r="G23" s="159">
        <v>165640000</v>
      </c>
    </row>
    <row r="24" ht="12.75">
      <c r="A24" s="6">
        <f>ROW()</f>
        <v>24</v>
      </c>
    </row>
    <row r="25" spans="1:2" ht="12.75">
      <c r="A25" s="6">
        <f>ROW()</f>
        <v>25</v>
      </c>
      <c r="B25" s="25" t="s">
        <v>361</v>
      </c>
    </row>
    <row r="26" spans="1:7" ht="12.75">
      <c r="A26" s="6">
        <f>ROW()</f>
        <v>26</v>
      </c>
      <c r="B26">
        <v>2001</v>
      </c>
      <c r="F26" s="238" t="s">
        <v>29</v>
      </c>
      <c r="G26" s="159">
        <v>54662518</v>
      </c>
    </row>
    <row r="27" spans="1:11" ht="12.75">
      <c r="A27" s="6">
        <f>ROW()</f>
        <v>27</v>
      </c>
      <c r="B27">
        <v>2002</v>
      </c>
      <c r="F27" s="159">
        <v>-3526620</v>
      </c>
      <c r="G27" s="159">
        <f>G26+F27</f>
        <v>51135898</v>
      </c>
      <c r="H27" s="159">
        <f>0.5*F27+0.5*F28</f>
        <v>-3526620</v>
      </c>
      <c r="I27" s="159">
        <v>51135941</v>
      </c>
      <c r="J27" s="174">
        <f>+I27*$J$5</f>
        <v>3732923.693</v>
      </c>
      <c r="K27" s="174">
        <f>+J27-H27</f>
        <v>7259543.693</v>
      </c>
    </row>
    <row r="28" spans="1:11" ht="12.75">
      <c r="A28" s="6">
        <f>ROW()</f>
        <v>28</v>
      </c>
      <c r="B28">
        <v>2003</v>
      </c>
      <c r="F28" s="159">
        <v>-3526620</v>
      </c>
      <c r="G28" s="159">
        <f>G27+F28</f>
        <v>47609278</v>
      </c>
      <c r="H28" s="159">
        <f>0.5*F28+0.5*F29</f>
        <v>-3526620</v>
      </c>
      <c r="I28" s="159">
        <v>47609278</v>
      </c>
      <c r="J28" s="174">
        <f>+I28*$J$5</f>
        <v>3475477.2939999998</v>
      </c>
      <c r="K28" s="174">
        <f>+J28-H28</f>
        <v>7002097.294</v>
      </c>
    </row>
    <row r="29" spans="1:11" ht="12.75">
      <c r="A29" s="6">
        <f>ROW()</f>
        <v>29</v>
      </c>
      <c r="B29">
        <v>2004</v>
      </c>
      <c r="F29" s="159">
        <v>-3526620</v>
      </c>
      <c r="G29" s="159">
        <f>G28+F29</f>
        <v>44082658</v>
      </c>
      <c r="H29" s="159">
        <f>0.5*F29+0.5*F30</f>
        <v>-3526620</v>
      </c>
      <c r="I29" s="159">
        <v>44082658</v>
      </c>
      <c r="J29" s="174">
        <f>+I29*$J$5</f>
        <v>3218034.034</v>
      </c>
      <c r="K29" s="174">
        <f>+J29-H29</f>
        <v>6744654.034</v>
      </c>
    </row>
    <row r="30" spans="1:11" ht="12.75">
      <c r="A30" s="6">
        <f>ROW()</f>
        <v>30</v>
      </c>
      <c r="B30">
        <v>2005</v>
      </c>
      <c r="F30" s="159">
        <v>-3526620</v>
      </c>
      <c r="G30" s="159">
        <f>G29+F30</f>
        <v>40556038</v>
      </c>
      <c r="H30" s="159">
        <f>0.5*F30+0.5*F31</f>
        <v>-3526620</v>
      </c>
      <c r="I30" s="159">
        <v>40556038</v>
      </c>
      <c r="J30" s="174">
        <f>+I30*$J$5</f>
        <v>2960590.7739999997</v>
      </c>
      <c r="K30" s="174">
        <f>+J30-H30</f>
        <v>6487210.774</v>
      </c>
    </row>
    <row r="31" spans="1:7" ht="12.75">
      <c r="A31" s="6">
        <f>ROW()</f>
        <v>31</v>
      </c>
      <c r="B31">
        <v>2006</v>
      </c>
      <c r="F31" s="159">
        <v>-3526620</v>
      </c>
      <c r="G31" s="159">
        <f>G30+F31</f>
        <v>37029418</v>
      </c>
    </row>
    <row r="32" spans="1:7" ht="13.5" thickBot="1">
      <c r="A32" s="6">
        <f>ROW()</f>
        <v>32</v>
      </c>
      <c r="F32" s="159"/>
      <c r="G32" s="159"/>
    </row>
    <row r="33" spans="1:11" ht="12.75">
      <c r="A33" s="6">
        <f>ROW()</f>
        <v>33</v>
      </c>
      <c r="F33" s="159"/>
      <c r="G33" s="159"/>
      <c r="H33" s="239"/>
      <c r="I33" s="240"/>
      <c r="J33" s="241"/>
      <c r="K33" s="242"/>
    </row>
    <row r="34" spans="1:11" ht="12.75">
      <c r="A34" s="6">
        <f>ROW()</f>
        <v>34</v>
      </c>
      <c r="H34" s="243" t="s">
        <v>362</v>
      </c>
      <c r="I34" s="244" t="s">
        <v>363</v>
      </c>
      <c r="J34" s="216"/>
      <c r="K34" s="245" t="s">
        <v>357</v>
      </c>
    </row>
    <row r="35" spans="1:11" ht="12.75">
      <c r="A35" s="6">
        <f>ROW()</f>
        <v>35</v>
      </c>
      <c r="H35" s="246">
        <v>37438</v>
      </c>
      <c r="I35" s="247">
        <v>37773</v>
      </c>
      <c r="J35" s="248" t="s">
        <v>364</v>
      </c>
      <c r="K35" s="249">
        <f>+K8+K19+K27</f>
        <v>36867841.102</v>
      </c>
    </row>
    <row r="36" spans="1:11" ht="12.75">
      <c r="A36" s="6">
        <f>ROW()</f>
        <v>36</v>
      </c>
      <c r="H36" s="246">
        <v>37803</v>
      </c>
      <c r="I36" s="247">
        <v>38139</v>
      </c>
      <c r="J36" s="248" t="s">
        <v>365</v>
      </c>
      <c r="K36" s="249">
        <f>+K9+K20+K28</f>
        <v>38694406.953999996</v>
      </c>
    </row>
    <row r="37" spans="1:11" ht="12.75">
      <c r="A37" s="6">
        <f>ROW()</f>
        <v>37</v>
      </c>
      <c r="H37" s="246">
        <v>38169</v>
      </c>
      <c r="I37" s="247">
        <v>38504</v>
      </c>
      <c r="J37" s="248" t="s">
        <v>366</v>
      </c>
      <c r="K37" s="249">
        <f>+K10+K21+K29</f>
        <v>40597120.194</v>
      </c>
    </row>
    <row r="38" spans="1:11" ht="12.75">
      <c r="A38" s="6">
        <f>ROW()</f>
        <v>38</v>
      </c>
      <c r="H38" s="246">
        <v>38534</v>
      </c>
      <c r="I38" s="247">
        <v>38869</v>
      </c>
      <c r="J38" s="248" t="s">
        <v>367</v>
      </c>
      <c r="K38" s="249">
        <f>+K11+K22+K30</f>
        <v>42236653.059</v>
      </c>
    </row>
    <row r="39" spans="1:11" ht="13.5" thickBot="1">
      <c r="A39" s="6">
        <f>ROW()</f>
        <v>39</v>
      </c>
      <c r="H39" s="250"/>
      <c r="I39" s="251"/>
      <c r="J39" s="252"/>
      <c r="K39" s="253"/>
    </row>
  </sheetData>
  <mergeCells count="1">
    <mergeCell ref="H4:I4"/>
  </mergeCells>
  <printOptions/>
  <pageMargins left="0.75" right="0.75" top="1" bottom="1" header="0.5" footer="0.5"/>
  <pageSetup fitToHeight="1" fitToWidth="1" horizontalDpi="600" verticalDpi="600" orientation="landscape" scale="94" r:id="rId1"/>
  <headerFooter alignWithMargins="0">
    <oddHeader>&amp;LPCA Collaborative</oddHeader>
    <oddFooter>&amp;L&amp;F&amp;CExhibit D&amp;RPage 1 of 1</oddFooter>
  </headerFooter>
</worksheet>
</file>

<file path=xl/worksheets/sheet9.xml><?xml version="1.0" encoding="utf-8"?>
<worksheet xmlns="http://schemas.openxmlformats.org/spreadsheetml/2006/main" xmlns:r="http://schemas.openxmlformats.org/officeDocument/2006/relationships">
  <dimension ref="A1:CJ49"/>
  <sheetViews>
    <sheetView zoomScale="85" zoomScaleNormal="85" workbookViewId="0" topLeftCell="A1">
      <pane xSplit="2" ySplit="5" topLeftCell="C34" activePane="bottomRight" state="frozen"/>
      <selection pane="topLeft" activeCell="A1" sqref="A1"/>
      <selection pane="topRight" activeCell="C1" sqref="C1"/>
      <selection pane="bottomLeft" activeCell="A6" sqref="A6"/>
      <selection pane="bottomRight" activeCell="B7" sqref="B7"/>
    </sheetView>
  </sheetViews>
  <sheetFormatPr defaultColWidth="9.140625" defaultRowHeight="12.75"/>
  <cols>
    <col min="1" max="1" width="5.28125" style="256" customWidth="1"/>
    <col min="2" max="2" width="31.8515625" style="256" customWidth="1"/>
    <col min="3" max="3" width="1.28515625" style="256" customWidth="1"/>
    <col min="4" max="4" width="17.7109375" style="256" customWidth="1"/>
    <col min="5" max="5" width="15.7109375" style="256" bestFit="1" customWidth="1"/>
    <col min="6" max="6" width="1.421875" style="256" customWidth="1"/>
    <col min="7" max="10" width="14.140625" style="256" customWidth="1"/>
    <col min="11" max="11" width="10.421875" style="256" customWidth="1"/>
    <col min="12" max="12" width="1.1484375" style="256" customWidth="1"/>
    <col min="13" max="13" width="9.7109375" style="256" customWidth="1"/>
    <col min="14" max="14" width="16.8515625" style="256" customWidth="1"/>
    <col min="15" max="16384" width="9.140625" style="256" customWidth="1"/>
  </cols>
  <sheetData>
    <row r="1" ht="18">
      <c r="B1" s="257" t="s">
        <v>370</v>
      </c>
    </row>
    <row r="2" spans="2:7" ht="15">
      <c r="B2" s="258"/>
      <c r="G2" s="259" t="s">
        <v>475</v>
      </c>
    </row>
    <row r="3" spans="2:9" ht="9" customHeight="1">
      <c r="B3" s="258"/>
      <c r="G3" s="260"/>
      <c r="H3" s="260"/>
      <c r="I3" s="260"/>
    </row>
    <row r="4" spans="2:14" ht="15.75" thickBot="1">
      <c r="B4" s="258"/>
      <c r="G4" s="261" t="s">
        <v>371</v>
      </c>
      <c r="H4" s="262"/>
      <c r="I4" s="262"/>
      <c r="J4" s="262"/>
      <c r="K4" s="263"/>
      <c r="L4" s="260"/>
      <c r="M4" s="260"/>
      <c r="N4" s="260"/>
    </row>
    <row r="5" spans="1:88" s="260" customFormat="1" ht="44.25" customHeight="1">
      <c r="A5" s="260" t="s">
        <v>248</v>
      </c>
      <c r="B5" s="264"/>
      <c r="C5" s="256"/>
      <c r="D5" s="260" t="s">
        <v>372</v>
      </c>
      <c r="E5" s="265" t="s">
        <v>373</v>
      </c>
      <c r="F5" s="256"/>
      <c r="G5" s="266" t="s">
        <v>374</v>
      </c>
      <c r="H5" s="267" t="s">
        <v>375</v>
      </c>
      <c r="I5" s="267" t="s">
        <v>376</v>
      </c>
      <c r="J5" s="267" t="s">
        <v>377</v>
      </c>
      <c r="K5" s="268" t="s">
        <v>378</v>
      </c>
      <c r="M5" s="265" t="s">
        <v>379</v>
      </c>
      <c r="N5" s="265" t="s">
        <v>380</v>
      </c>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row>
    <row r="6" ht="6" customHeight="1"/>
    <row r="7" spans="1:88" s="271" customFormat="1" ht="15">
      <c r="A7" s="269">
        <v>7</v>
      </c>
      <c r="B7" s="270" t="s">
        <v>381</v>
      </c>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6"/>
      <c r="CD7" s="256"/>
      <c r="CE7" s="256"/>
      <c r="CF7" s="256"/>
      <c r="CG7" s="256"/>
      <c r="CH7" s="256"/>
      <c r="CI7" s="256"/>
      <c r="CJ7" s="256"/>
    </row>
    <row r="8" spans="1:88" s="277" customFormat="1" ht="14.25">
      <c r="A8" s="269">
        <v>8</v>
      </c>
      <c r="B8" s="272" t="s">
        <v>382</v>
      </c>
      <c r="C8" s="256"/>
      <c r="D8" s="273" t="s">
        <v>383</v>
      </c>
      <c r="E8" s="274"/>
      <c r="F8" s="256"/>
      <c r="G8" s="274"/>
      <c r="H8" s="275"/>
      <c r="I8" s="275"/>
      <c r="J8" s="274"/>
      <c r="K8" s="274"/>
      <c r="L8" s="256"/>
      <c r="M8" s="276"/>
      <c r="N8" s="27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256"/>
      <c r="CA8" s="256"/>
      <c r="CB8" s="256"/>
      <c r="CC8" s="256"/>
      <c r="CD8" s="256"/>
      <c r="CE8" s="256"/>
      <c r="CF8" s="256"/>
      <c r="CG8" s="256"/>
      <c r="CH8" s="256"/>
      <c r="CI8" s="256"/>
      <c r="CJ8" s="256"/>
    </row>
    <row r="9" spans="1:88" s="277" customFormat="1" ht="14.25">
      <c r="A9" s="269">
        <v>9</v>
      </c>
      <c r="B9" s="272" t="s">
        <v>384</v>
      </c>
      <c r="C9" s="256"/>
      <c r="D9" s="273" t="s">
        <v>385</v>
      </c>
      <c r="E9" s="278">
        <v>67.00065549208728</v>
      </c>
      <c r="F9" s="256"/>
      <c r="G9" s="279">
        <v>21432</v>
      </c>
      <c r="H9" s="275"/>
      <c r="I9" s="275"/>
      <c r="J9" s="280">
        <v>1436000</v>
      </c>
      <c r="K9" s="281">
        <f>IF(G9=0,0,J9/G9)</f>
        <v>67.0026129152669</v>
      </c>
      <c r="L9" s="256"/>
      <c r="M9" s="278">
        <f>+K9-E9</f>
        <v>0.001957423179618445</v>
      </c>
      <c r="N9" s="282">
        <f>IF(M9&gt;0,M9*G9,0)</f>
        <v>41.95149358558251</v>
      </c>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c r="CC9" s="256"/>
      <c r="CD9" s="256"/>
      <c r="CE9" s="256"/>
      <c r="CF9" s="256"/>
      <c r="CG9" s="256"/>
      <c r="CH9" s="256"/>
      <c r="CI9" s="256"/>
      <c r="CJ9" s="256"/>
    </row>
    <row r="10" spans="1:88" s="277" customFormat="1" ht="14.25">
      <c r="A10" s="269">
        <v>10</v>
      </c>
      <c r="B10" s="272" t="s">
        <v>386</v>
      </c>
      <c r="C10" s="256"/>
      <c r="D10" s="273" t="s">
        <v>385</v>
      </c>
      <c r="E10" s="278">
        <v>28.174656857133936</v>
      </c>
      <c r="F10" s="256"/>
      <c r="G10" s="279">
        <v>384834</v>
      </c>
      <c r="H10" s="275"/>
      <c r="I10" s="275"/>
      <c r="J10" s="280">
        <v>10892000</v>
      </c>
      <c r="K10" s="281">
        <f>IF(G10=0,0,J10/G10)</f>
        <v>28.303112510848834</v>
      </c>
      <c r="L10" s="256"/>
      <c r="M10" s="278">
        <f>+K10-E10</f>
        <v>0.12845565371489798</v>
      </c>
      <c r="N10" s="282">
        <f>IF(M10&gt;0,M10*G10,0)</f>
        <v>49434.10304171905</v>
      </c>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c r="CC10" s="256"/>
      <c r="CD10" s="256"/>
      <c r="CE10" s="256"/>
      <c r="CF10" s="256"/>
      <c r="CG10" s="256"/>
      <c r="CH10" s="256"/>
      <c r="CI10" s="256"/>
      <c r="CJ10" s="256"/>
    </row>
    <row r="11" spans="1:88" s="277" customFormat="1" ht="14.25">
      <c r="A11" s="269">
        <v>11</v>
      </c>
      <c r="B11" s="272" t="s">
        <v>388</v>
      </c>
      <c r="C11" s="256"/>
      <c r="D11" s="273" t="s">
        <v>387</v>
      </c>
      <c r="E11" s="274"/>
      <c r="F11" s="256"/>
      <c r="G11" s="274"/>
      <c r="H11" s="275"/>
      <c r="I11" s="275"/>
      <c r="J11" s="274"/>
      <c r="K11" s="274"/>
      <c r="L11" s="256"/>
      <c r="M11" s="276"/>
      <c r="N11" s="27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c r="CC11" s="256"/>
      <c r="CD11" s="256"/>
      <c r="CE11" s="256"/>
      <c r="CF11" s="256"/>
      <c r="CG11" s="256"/>
      <c r="CH11" s="256"/>
      <c r="CI11" s="256"/>
      <c r="CJ11" s="256"/>
    </row>
    <row r="12" spans="1:88" s="277" customFormat="1" ht="14.25">
      <c r="A12" s="269">
        <v>12</v>
      </c>
      <c r="B12" s="272" t="s">
        <v>389</v>
      </c>
      <c r="C12" s="256"/>
      <c r="D12" s="273" t="s">
        <v>385</v>
      </c>
      <c r="E12" s="278">
        <v>51.351322028013755</v>
      </c>
      <c r="F12" s="256"/>
      <c r="G12" s="279">
        <v>92170</v>
      </c>
      <c r="H12" s="275"/>
      <c r="I12" s="275"/>
      <c r="J12" s="280">
        <v>4733000</v>
      </c>
      <c r="K12" s="281">
        <f aca="true" t="shared" si="0" ref="K12:K37">IF(G12=0,0,J12/G12)</f>
        <v>51.35076489096235</v>
      </c>
      <c r="L12" s="256"/>
      <c r="M12" s="278">
        <f aca="true" t="shared" si="1" ref="M12:M37">+K12-E12</f>
        <v>-0.0005571370514019236</v>
      </c>
      <c r="N12" s="282">
        <f aca="true" t="shared" si="2" ref="N12:N37">IF(M12&gt;0,M12*G12,0)</f>
        <v>0</v>
      </c>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c r="CC12" s="256"/>
      <c r="CD12" s="256"/>
      <c r="CE12" s="256"/>
      <c r="CF12" s="256"/>
      <c r="CG12" s="256"/>
      <c r="CH12" s="256"/>
      <c r="CI12" s="256"/>
      <c r="CJ12" s="256"/>
    </row>
    <row r="13" spans="1:88" s="277" customFormat="1" ht="14.25">
      <c r="A13" s="269">
        <v>13</v>
      </c>
      <c r="B13" s="272" t="s">
        <v>390</v>
      </c>
      <c r="C13" s="256"/>
      <c r="D13" s="273" t="s">
        <v>391</v>
      </c>
      <c r="E13" s="274"/>
      <c r="F13" s="256"/>
      <c r="G13" s="274"/>
      <c r="H13" s="275"/>
      <c r="I13" s="275"/>
      <c r="J13" s="274"/>
      <c r="K13" s="274"/>
      <c r="L13" s="256"/>
      <c r="M13" s="276"/>
      <c r="N13" s="27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c r="CA13" s="256"/>
      <c r="CB13" s="256"/>
      <c r="CC13" s="256"/>
      <c r="CD13" s="256"/>
      <c r="CE13" s="256"/>
      <c r="CF13" s="256"/>
      <c r="CG13" s="256"/>
      <c r="CH13" s="256"/>
      <c r="CI13" s="256"/>
      <c r="CJ13" s="256"/>
    </row>
    <row r="14" spans="1:88" s="277" customFormat="1" ht="14.25">
      <c r="A14" s="269">
        <v>14</v>
      </c>
      <c r="B14" s="272" t="s">
        <v>392</v>
      </c>
      <c r="C14" s="256"/>
      <c r="D14" s="273" t="s">
        <v>387</v>
      </c>
      <c r="E14" s="274"/>
      <c r="F14" s="256"/>
      <c r="G14" s="274"/>
      <c r="H14" s="275"/>
      <c r="I14" s="275"/>
      <c r="J14" s="274"/>
      <c r="K14" s="274"/>
      <c r="L14" s="256"/>
      <c r="M14" s="276"/>
      <c r="N14" s="27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row>
    <row r="15" spans="1:88" s="277" customFormat="1" ht="14.25">
      <c r="A15" s="269">
        <v>15</v>
      </c>
      <c r="B15" s="272" t="s">
        <v>393</v>
      </c>
      <c r="C15" s="256"/>
      <c r="D15" s="273" t="s">
        <v>391</v>
      </c>
      <c r="E15" s="274"/>
      <c r="F15" s="256"/>
      <c r="G15" s="274"/>
      <c r="H15" s="275"/>
      <c r="I15" s="275"/>
      <c r="J15" s="274"/>
      <c r="K15" s="274"/>
      <c r="L15" s="256"/>
      <c r="M15" s="276"/>
      <c r="N15" s="27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c r="CC15" s="256"/>
      <c r="CD15" s="256"/>
      <c r="CE15" s="256"/>
      <c r="CF15" s="256"/>
      <c r="CG15" s="256"/>
      <c r="CH15" s="256"/>
      <c r="CI15" s="256"/>
      <c r="CJ15" s="256"/>
    </row>
    <row r="16" spans="1:88" s="271" customFormat="1" ht="14.25">
      <c r="A16" s="269">
        <v>16</v>
      </c>
      <c r="B16" s="272" t="s">
        <v>465</v>
      </c>
      <c r="C16" s="256"/>
      <c r="D16" s="273" t="s">
        <v>394</v>
      </c>
      <c r="E16" s="283">
        <v>29382000</v>
      </c>
      <c r="F16" s="256"/>
      <c r="G16" s="274"/>
      <c r="H16" s="275"/>
      <c r="I16" s="275"/>
      <c r="J16" s="280">
        <v>29732000</v>
      </c>
      <c r="K16" s="284"/>
      <c r="L16" s="256"/>
      <c r="M16" s="276"/>
      <c r="N16" s="285">
        <f>+IF(J16-E16&gt;0,J16-E16,0)</f>
        <v>350000</v>
      </c>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c r="CC16" s="256"/>
      <c r="CD16" s="256"/>
      <c r="CE16" s="256"/>
      <c r="CF16" s="256"/>
      <c r="CG16" s="256"/>
      <c r="CH16" s="256"/>
      <c r="CI16" s="256"/>
      <c r="CJ16" s="256"/>
    </row>
    <row r="17" spans="1:88" s="271" customFormat="1" ht="14.25">
      <c r="A17" s="269">
        <v>17</v>
      </c>
      <c r="B17" s="272" t="s">
        <v>466</v>
      </c>
      <c r="C17" s="256"/>
      <c r="D17" s="273" t="s">
        <v>387</v>
      </c>
      <c r="E17" s="274"/>
      <c r="F17" s="256"/>
      <c r="G17" s="274"/>
      <c r="H17" s="275"/>
      <c r="I17" s="275"/>
      <c r="J17" s="274"/>
      <c r="K17" s="274"/>
      <c r="L17" s="256"/>
      <c r="M17" s="276"/>
      <c r="N17" s="27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c r="CC17" s="256"/>
      <c r="CD17" s="256"/>
      <c r="CE17" s="256"/>
      <c r="CF17" s="256"/>
      <c r="CG17" s="256"/>
      <c r="CH17" s="256"/>
      <c r="CI17" s="256"/>
      <c r="CJ17" s="256"/>
    </row>
    <row r="18" spans="1:88" s="277" customFormat="1" ht="14.25">
      <c r="A18" s="269">
        <v>18</v>
      </c>
      <c r="B18" s="272" t="s">
        <v>395</v>
      </c>
      <c r="C18" s="256"/>
      <c r="D18" s="273" t="s">
        <v>387</v>
      </c>
      <c r="E18" s="274"/>
      <c r="F18" s="256"/>
      <c r="G18" s="274"/>
      <c r="H18" s="275"/>
      <c r="I18" s="275"/>
      <c r="J18" s="274"/>
      <c r="K18" s="274"/>
      <c r="L18" s="256"/>
      <c r="M18" s="276"/>
      <c r="N18" s="27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row>
    <row r="19" spans="1:88" s="277" customFormat="1" ht="14.25">
      <c r="A19" s="269">
        <v>19</v>
      </c>
      <c r="B19" s="272" t="s">
        <v>396</v>
      </c>
      <c r="C19" s="256"/>
      <c r="D19" s="273" t="s">
        <v>387</v>
      </c>
      <c r="E19" s="274"/>
      <c r="F19" s="256"/>
      <c r="G19" s="274"/>
      <c r="H19" s="275"/>
      <c r="I19" s="275"/>
      <c r="J19" s="274"/>
      <c r="K19" s="274"/>
      <c r="L19" s="256"/>
      <c r="M19" s="276"/>
      <c r="N19" s="27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c r="CC19" s="256"/>
      <c r="CD19" s="256"/>
      <c r="CE19" s="256"/>
      <c r="CF19" s="256"/>
      <c r="CG19" s="256"/>
      <c r="CH19" s="256"/>
      <c r="CI19" s="256"/>
      <c r="CJ19" s="256"/>
    </row>
    <row r="20" spans="1:88" s="277" customFormat="1" ht="14.25">
      <c r="A20" s="269">
        <v>20</v>
      </c>
      <c r="B20" s="272" t="s">
        <v>397</v>
      </c>
      <c r="C20" s="256"/>
      <c r="D20" s="273" t="s">
        <v>385</v>
      </c>
      <c r="E20" s="278">
        <v>62.84748020803976</v>
      </c>
      <c r="F20" s="256"/>
      <c r="G20" s="279">
        <v>39031</v>
      </c>
      <c r="H20" s="275"/>
      <c r="I20" s="275"/>
      <c r="J20" s="280">
        <v>2500000</v>
      </c>
      <c r="K20" s="281">
        <f t="shared" si="0"/>
        <v>64.05165125156927</v>
      </c>
      <c r="L20" s="256"/>
      <c r="M20" s="278">
        <f t="shared" si="1"/>
        <v>1.2041710435295059</v>
      </c>
      <c r="N20" s="282">
        <f t="shared" si="2"/>
        <v>47000.000000000146</v>
      </c>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row>
    <row r="21" spans="1:88" s="277" customFormat="1" ht="28.5">
      <c r="A21" s="269">
        <v>21</v>
      </c>
      <c r="B21" s="272" t="s">
        <v>398</v>
      </c>
      <c r="C21" s="256"/>
      <c r="D21" s="328" t="s">
        <v>467</v>
      </c>
      <c r="E21" s="274"/>
      <c r="F21" s="256"/>
      <c r="G21" s="274"/>
      <c r="H21" s="275"/>
      <c r="I21" s="275"/>
      <c r="J21" s="274"/>
      <c r="K21" s="274"/>
      <c r="L21" s="256"/>
      <c r="M21" s="276"/>
      <c r="N21" s="27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c r="CJ21" s="256"/>
    </row>
    <row r="22" spans="1:88" s="277" customFormat="1" ht="14.25">
      <c r="A22" s="269">
        <v>22</v>
      </c>
      <c r="B22" s="272" t="s">
        <v>399</v>
      </c>
      <c r="C22" s="256"/>
      <c r="D22" s="273" t="s">
        <v>383</v>
      </c>
      <c r="E22" s="274"/>
      <c r="F22" s="256"/>
      <c r="G22" s="274"/>
      <c r="H22" s="275"/>
      <c r="I22" s="275"/>
      <c r="J22" s="274"/>
      <c r="K22" s="274"/>
      <c r="L22" s="256"/>
      <c r="M22" s="276"/>
      <c r="N22" s="27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6"/>
      <c r="CH22" s="256"/>
      <c r="CI22" s="256"/>
      <c r="CJ22" s="256"/>
    </row>
    <row r="23" spans="1:88" s="277" customFormat="1" ht="14.25">
      <c r="A23" s="269">
        <v>23</v>
      </c>
      <c r="B23" s="272" t="s">
        <v>400</v>
      </c>
      <c r="C23" s="256"/>
      <c r="D23" s="273" t="s">
        <v>385</v>
      </c>
      <c r="E23" s="278">
        <v>30.04043905257077</v>
      </c>
      <c r="F23" s="256"/>
      <c r="G23" s="279">
        <v>1731</v>
      </c>
      <c r="H23" s="275"/>
      <c r="I23" s="275"/>
      <c r="J23" s="280">
        <v>52000</v>
      </c>
      <c r="K23" s="281">
        <f t="shared" si="0"/>
        <v>30.04043905257077</v>
      </c>
      <c r="L23" s="256"/>
      <c r="M23" s="278">
        <f t="shared" si="1"/>
        <v>0</v>
      </c>
      <c r="N23" s="282">
        <f t="shared" si="2"/>
        <v>0</v>
      </c>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c r="CC23" s="256"/>
      <c r="CD23" s="256"/>
      <c r="CE23" s="256"/>
      <c r="CF23" s="256"/>
      <c r="CG23" s="256"/>
      <c r="CH23" s="256"/>
      <c r="CI23" s="256"/>
      <c r="CJ23" s="256"/>
    </row>
    <row r="24" spans="1:88" s="277" customFormat="1" ht="14.25">
      <c r="A24" s="269">
        <v>24</v>
      </c>
      <c r="B24" s="272" t="s">
        <v>401</v>
      </c>
      <c r="C24" s="256"/>
      <c r="D24" s="273" t="s">
        <v>385</v>
      </c>
      <c r="E24" s="278">
        <v>74.86600846262341</v>
      </c>
      <c r="F24" s="256"/>
      <c r="G24" s="279">
        <v>32692</v>
      </c>
      <c r="H24" s="275"/>
      <c r="I24" s="275"/>
      <c r="J24" s="280">
        <v>2448000</v>
      </c>
      <c r="K24" s="281">
        <f t="shared" si="0"/>
        <v>74.88070475957421</v>
      </c>
      <c r="L24" s="256"/>
      <c r="M24" s="278">
        <f t="shared" si="1"/>
        <v>0.014696296950802434</v>
      </c>
      <c r="N24" s="282">
        <f t="shared" si="2"/>
        <v>480.4513399156332</v>
      </c>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row>
    <row r="25" spans="1:88" s="277" customFormat="1" ht="14.25">
      <c r="A25" s="269">
        <v>25</v>
      </c>
      <c r="B25" s="272" t="s">
        <v>468</v>
      </c>
      <c r="C25" s="256"/>
      <c r="D25" s="273" t="s">
        <v>402</v>
      </c>
      <c r="E25" s="278">
        <v>61.01297957984698</v>
      </c>
      <c r="F25" s="256"/>
      <c r="G25" s="286">
        <f>+H25+I25</f>
        <v>436000</v>
      </c>
      <c r="H25" s="279">
        <v>436000</v>
      </c>
      <c r="I25" s="279">
        <v>0</v>
      </c>
      <c r="J25" s="280">
        <f>436000*61.1</f>
        <v>26639600</v>
      </c>
      <c r="K25" s="281">
        <f t="shared" si="0"/>
        <v>61.1</v>
      </c>
      <c r="L25" s="256"/>
      <c r="M25" s="278">
        <f t="shared" si="1"/>
        <v>0.08702042015302425</v>
      </c>
      <c r="N25" s="282">
        <f t="shared" si="2"/>
        <v>37940.90318671857</v>
      </c>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c r="CC25" s="256"/>
      <c r="CD25" s="256"/>
      <c r="CE25" s="256"/>
      <c r="CF25" s="256"/>
      <c r="CG25" s="256"/>
      <c r="CH25" s="256"/>
      <c r="CI25" s="256"/>
      <c r="CJ25" s="256"/>
    </row>
    <row r="26" spans="1:88" s="271" customFormat="1" ht="14.25">
      <c r="A26" s="269">
        <v>26</v>
      </c>
      <c r="B26" s="272" t="s">
        <v>469</v>
      </c>
      <c r="C26" s="256"/>
      <c r="D26" s="273" t="s">
        <v>402</v>
      </c>
      <c r="E26" s="278">
        <v>43.7</v>
      </c>
      <c r="F26" s="256"/>
      <c r="G26" s="286">
        <f>+H26+I26</f>
        <v>281000</v>
      </c>
      <c r="H26" s="279">
        <v>181000</v>
      </c>
      <c r="I26" s="279">
        <v>100000</v>
      </c>
      <c r="J26" s="280">
        <f>281000*43.7</f>
        <v>12279700</v>
      </c>
      <c r="K26" s="281">
        <f t="shared" si="0"/>
        <v>43.7</v>
      </c>
      <c r="L26" s="256"/>
      <c r="M26" s="278">
        <f t="shared" si="1"/>
        <v>0</v>
      </c>
      <c r="N26" s="282">
        <f t="shared" si="2"/>
        <v>0</v>
      </c>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c r="CC26" s="256"/>
      <c r="CD26" s="256"/>
      <c r="CE26" s="256"/>
      <c r="CF26" s="256"/>
      <c r="CG26" s="256"/>
      <c r="CH26" s="256"/>
      <c r="CI26" s="256"/>
      <c r="CJ26" s="256"/>
    </row>
    <row r="27" spans="1:88" s="277" customFormat="1" ht="14.25">
      <c r="A27" s="269">
        <v>27</v>
      </c>
      <c r="B27" s="272" t="s">
        <v>470</v>
      </c>
      <c r="C27" s="256"/>
      <c r="D27" s="273" t="s">
        <v>402</v>
      </c>
      <c r="E27" s="278">
        <v>66.00438771609396</v>
      </c>
      <c r="F27" s="256"/>
      <c r="G27" s="286">
        <f>+H27+I27</f>
        <v>330000</v>
      </c>
      <c r="H27" s="279">
        <v>330000</v>
      </c>
      <c r="I27" s="279">
        <v>0</v>
      </c>
      <c r="J27" s="280">
        <f>330000*66.7</f>
        <v>22011000</v>
      </c>
      <c r="K27" s="281">
        <f t="shared" si="0"/>
        <v>66.7</v>
      </c>
      <c r="L27" s="256"/>
      <c r="M27" s="278">
        <f t="shared" si="1"/>
        <v>0.6956122839060441</v>
      </c>
      <c r="N27" s="282">
        <f t="shared" si="2"/>
        <v>229552.05368899455</v>
      </c>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6"/>
      <c r="BR27" s="256"/>
      <c r="BS27" s="256"/>
      <c r="BT27" s="256"/>
      <c r="BU27" s="256"/>
      <c r="BV27" s="256"/>
      <c r="BW27" s="256"/>
      <c r="BX27" s="256"/>
      <c r="BY27" s="256"/>
      <c r="BZ27" s="256"/>
      <c r="CA27" s="256"/>
      <c r="CB27" s="256"/>
      <c r="CC27" s="256"/>
      <c r="CD27" s="256"/>
      <c r="CE27" s="256"/>
      <c r="CF27" s="256"/>
      <c r="CG27" s="256"/>
      <c r="CH27" s="256"/>
      <c r="CI27" s="256"/>
      <c r="CJ27" s="256"/>
    </row>
    <row r="28" spans="1:88" s="277" customFormat="1" ht="14.25">
      <c r="A28" s="269">
        <v>28</v>
      </c>
      <c r="B28" s="272" t="s">
        <v>471</v>
      </c>
      <c r="C28" s="256"/>
      <c r="D28" s="273" t="s">
        <v>402</v>
      </c>
      <c r="E28" s="278">
        <v>55.3</v>
      </c>
      <c r="F28" s="256"/>
      <c r="G28" s="286">
        <f>+H28+I28</f>
        <v>232000</v>
      </c>
      <c r="H28" s="279">
        <v>132000</v>
      </c>
      <c r="I28" s="279">
        <v>100000</v>
      </c>
      <c r="J28" s="280">
        <f>232000*55.3</f>
        <v>12829600</v>
      </c>
      <c r="K28" s="281">
        <f t="shared" si="0"/>
        <v>55.3</v>
      </c>
      <c r="L28" s="256"/>
      <c r="M28" s="278">
        <f t="shared" si="1"/>
        <v>0</v>
      </c>
      <c r="N28" s="282">
        <f t="shared" si="2"/>
        <v>0</v>
      </c>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256"/>
      <c r="BL28" s="256"/>
      <c r="BM28" s="256"/>
      <c r="BN28" s="256"/>
      <c r="BO28" s="256"/>
      <c r="BP28" s="256"/>
      <c r="BQ28" s="256"/>
      <c r="BR28" s="256"/>
      <c r="BS28" s="256"/>
      <c r="BT28" s="256"/>
      <c r="BU28" s="256"/>
      <c r="BV28" s="256"/>
      <c r="BW28" s="256"/>
      <c r="BX28" s="256"/>
      <c r="BY28" s="256"/>
      <c r="BZ28" s="256"/>
      <c r="CA28" s="256"/>
      <c r="CB28" s="256"/>
      <c r="CC28" s="256"/>
      <c r="CD28" s="256"/>
      <c r="CE28" s="256"/>
      <c r="CF28" s="256"/>
      <c r="CG28" s="256"/>
      <c r="CH28" s="256"/>
      <c r="CI28" s="256"/>
      <c r="CJ28" s="256"/>
    </row>
    <row r="29" spans="1:88" s="277" customFormat="1" ht="14.25">
      <c r="A29" s="269">
        <v>29</v>
      </c>
      <c r="B29" s="272" t="s">
        <v>403</v>
      </c>
      <c r="C29" s="256"/>
      <c r="D29" s="273" t="s">
        <v>385</v>
      </c>
      <c r="E29" s="278">
        <v>28.210838901262065</v>
      </c>
      <c r="F29" s="256"/>
      <c r="G29" s="279">
        <v>2694</v>
      </c>
      <c r="H29" s="275"/>
      <c r="I29" s="275"/>
      <c r="J29" s="280">
        <v>76000</v>
      </c>
      <c r="K29" s="281">
        <f t="shared" si="0"/>
        <v>28.210838901262065</v>
      </c>
      <c r="L29" s="256"/>
      <c r="M29" s="278">
        <f t="shared" si="1"/>
        <v>0</v>
      </c>
      <c r="N29" s="282">
        <f t="shared" si="2"/>
        <v>0</v>
      </c>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256"/>
      <c r="BJ29" s="256"/>
      <c r="BK29" s="256"/>
      <c r="BL29" s="256"/>
      <c r="BM29" s="256"/>
      <c r="BN29" s="256"/>
      <c r="BO29" s="256"/>
      <c r="BP29" s="256"/>
      <c r="BQ29" s="256"/>
      <c r="BR29" s="256"/>
      <c r="BS29" s="256"/>
      <c r="BT29" s="256"/>
      <c r="BU29" s="256"/>
      <c r="BV29" s="256"/>
      <c r="BW29" s="256"/>
      <c r="BX29" s="256"/>
      <c r="BY29" s="256"/>
      <c r="BZ29" s="256"/>
      <c r="CA29" s="256"/>
      <c r="CB29" s="256"/>
      <c r="CC29" s="256"/>
      <c r="CD29" s="256"/>
      <c r="CE29" s="256"/>
      <c r="CF29" s="256"/>
      <c r="CG29" s="256"/>
      <c r="CH29" s="256"/>
      <c r="CI29" s="256"/>
      <c r="CJ29" s="256"/>
    </row>
    <row r="30" spans="1:88" s="271" customFormat="1" ht="14.25">
      <c r="A30" s="269">
        <v>30</v>
      </c>
      <c r="B30" s="272" t="s">
        <v>404</v>
      </c>
      <c r="C30" s="256"/>
      <c r="D30" s="273" t="s">
        <v>387</v>
      </c>
      <c r="E30" s="274"/>
      <c r="F30" s="256"/>
      <c r="G30" s="274"/>
      <c r="H30" s="275"/>
      <c r="I30" s="275"/>
      <c r="J30" s="274"/>
      <c r="K30" s="274"/>
      <c r="L30" s="256"/>
      <c r="M30" s="276"/>
      <c r="N30" s="27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256"/>
      <c r="BJ30" s="256"/>
      <c r="BK30" s="256"/>
      <c r="BL30" s="256"/>
      <c r="BM30" s="256"/>
      <c r="BN30" s="256"/>
      <c r="BO30" s="256"/>
      <c r="BP30" s="256"/>
      <c r="BQ30" s="256"/>
      <c r="BR30" s="256"/>
      <c r="BS30" s="256"/>
      <c r="BT30" s="256"/>
      <c r="BU30" s="256"/>
      <c r="BV30" s="256"/>
      <c r="BW30" s="256"/>
      <c r="BX30" s="256"/>
      <c r="BY30" s="256"/>
      <c r="BZ30" s="256"/>
      <c r="CA30" s="256"/>
      <c r="CB30" s="256"/>
      <c r="CC30" s="256"/>
      <c r="CD30" s="256"/>
      <c r="CE30" s="256"/>
      <c r="CF30" s="256"/>
      <c r="CG30" s="256"/>
      <c r="CH30" s="256"/>
      <c r="CI30" s="256"/>
      <c r="CJ30" s="256"/>
    </row>
    <row r="31" spans="1:88" s="277" customFormat="1" ht="14.25">
      <c r="A31" s="269">
        <v>31</v>
      </c>
      <c r="B31" s="272" t="s">
        <v>405</v>
      </c>
      <c r="C31" s="256"/>
      <c r="D31" s="273" t="s">
        <v>385</v>
      </c>
      <c r="E31" s="278">
        <v>87.53673561659319</v>
      </c>
      <c r="F31" s="256"/>
      <c r="G31" s="279">
        <v>141552</v>
      </c>
      <c r="H31" s="275"/>
      <c r="I31" s="275"/>
      <c r="J31" s="280">
        <v>12397000</v>
      </c>
      <c r="K31" s="281">
        <f t="shared" si="0"/>
        <v>87.57912286650843</v>
      </c>
      <c r="L31" s="256"/>
      <c r="M31" s="278">
        <f t="shared" si="1"/>
        <v>0.04238724991523668</v>
      </c>
      <c r="N31" s="282">
        <f t="shared" si="2"/>
        <v>6000.0000000015825</v>
      </c>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S31" s="256"/>
      <c r="BT31" s="256"/>
      <c r="BU31" s="256"/>
      <c r="BV31" s="256"/>
      <c r="BW31" s="256"/>
      <c r="BX31" s="256"/>
      <c r="BY31" s="256"/>
      <c r="BZ31" s="256"/>
      <c r="CA31" s="256"/>
      <c r="CB31" s="256"/>
      <c r="CC31" s="256"/>
      <c r="CD31" s="256"/>
      <c r="CE31" s="256"/>
      <c r="CF31" s="256"/>
      <c r="CG31" s="256"/>
      <c r="CH31" s="256"/>
      <c r="CI31" s="256"/>
      <c r="CJ31" s="256"/>
    </row>
    <row r="32" spans="1:88" s="277" customFormat="1" ht="14.25">
      <c r="A32" s="269">
        <v>32</v>
      </c>
      <c r="B32" s="272" t="s">
        <v>472</v>
      </c>
      <c r="C32" s="256"/>
      <c r="D32" s="273" t="s">
        <v>402</v>
      </c>
      <c r="E32" s="278">
        <v>81.83592834785232</v>
      </c>
      <c r="F32" s="256"/>
      <c r="G32" s="286">
        <f>+H32+I32</f>
        <v>663000</v>
      </c>
      <c r="H32" s="279">
        <v>663000</v>
      </c>
      <c r="I32" s="279">
        <v>0</v>
      </c>
      <c r="J32" s="280">
        <f>663000*82.4</f>
        <v>54631200.00000001</v>
      </c>
      <c r="K32" s="281">
        <f t="shared" si="0"/>
        <v>82.4</v>
      </c>
      <c r="L32" s="256"/>
      <c r="M32" s="278">
        <f t="shared" si="1"/>
        <v>0.564071652147689</v>
      </c>
      <c r="N32" s="282">
        <f t="shared" si="2"/>
        <v>373979.50537391775</v>
      </c>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S32" s="256"/>
      <c r="BT32" s="256"/>
      <c r="BU32" s="256"/>
      <c r="BV32" s="256"/>
      <c r="BW32" s="256"/>
      <c r="BX32" s="256"/>
      <c r="BY32" s="256"/>
      <c r="BZ32" s="256"/>
      <c r="CA32" s="256"/>
      <c r="CB32" s="256"/>
      <c r="CC32" s="256"/>
      <c r="CD32" s="256"/>
      <c r="CE32" s="256"/>
      <c r="CF32" s="256"/>
      <c r="CG32" s="256"/>
      <c r="CH32" s="256"/>
      <c r="CI32" s="256"/>
      <c r="CJ32" s="256"/>
    </row>
    <row r="33" spans="1:88" s="271" customFormat="1" ht="14.25">
      <c r="A33" s="269">
        <v>33</v>
      </c>
      <c r="B33" s="272" t="s">
        <v>473</v>
      </c>
      <c r="C33" s="256"/>
      <c r="D33" s="273" t="s">
        <v>402</v>
      </c>
      <c r="E33" s="278">
        <v>59.2</v>
      </c>
      <c r="F33" s="256"/>
      <c r="G33" s="286">
        <f>+H33+I33</f>
        <v>461000</v>
      </c>
      <c r="H33" s="279">
        <v>361000</v>
      </c>
      <c r="I33" s="279">
        <v>100000</v>
      </c>
      <c r="J33" s="280">
        <f>461000*59.2</f>
        <v>27291200</v>
      </c>
      <c r="K33" s="281">
        <f t="shared" si="0"/>
        <v>59.2</v>
      </c>
      <c r="L33" s="256"/>
      <c r="M33" s="278">
        <f t="shared" si="1"/>
        <v>0</v>
      </c>
      <c r="N33" s="282">
        <f t="shared" si="2"/>
        <v>0</v>
      </c>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6"/>
      <c r="BQ33" s="256"/>
      <c r="BR33" s="256"/>
      <c r="BS33" s="256"/>
      <c r="BT33" s="256"/>
      <c r="BU33" s="256"/>
      <c r="BV33" s="256"/>
      <c r="BW33" s="256"/>
      <c r="BX33" s="256"/>
      <c r="BY33" s="256"/>
      <c r="BZ33" s="256"/>
      <c r="CA33" s="256"/>
      <c r="CB33" s="256"/>
      <c r="CC33" s="256"/>
      <c r="CD33" s="256"/>
      <c r="CE33" s="256"/>
      <c r="CF33" s="256"/>
      <c r="CG33" s="256"/>
      <c r="CH33" s="256"/>
      <c r="CI33" s="256"/>
      <c r="CJ33" s="256"/>
    </row>
    <row r="34" spans="1:88" s="277" customFormat="1" ht="14.25">
      <c r="A34" s="269">
        <v>34</v>
      </c>
      <c r="B34" s="272" t="s">
        <v>406</v>
      </c>
      <c r="C34" s="256"/>
      <c r="D34" s="273" t="s">
        <v>385</v>
      </c>
      <c r="E34" s="278">
        <v>51.372273047149896</v>
      </c>
      <c r="F34" s="256"/>
      <c r="G34" s="279">
        <v>1421</v>
      </c>
      <c r="H34" s="275"/>
      <c r="I34" s="275"/>
      <c r="J34" s="280">
        <v>73000</v>
      </c>
      <c r="K34" s="281">
        <f t="shared" si="0"/>
        <v>51.372273047149896</v>
      </c>
      <c r="L34" s="256"/>
      <c r="M34" s="278">
        <f t="shared" si="1"/>
        <v>0</v>
      </c>
      <c r="N34" s="282">
        <f t="shared" si="2"/>
        <v>0</v>
      </c>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6"/>
      <c r="BQ34" s="256"/>
      <c r="BR34" s="256"/>
      <c r="BS34" s="256"/>
      <c r="BT34" s="256"/>
      <c r="BU34" s="256"/>
      <c r="BV34" s="256"/>
      <c r="BW34" s="256"/>
      <c r="BX34" s="256"/>
      <c r="BY34" s="256"/>
      <c r="BZ34" s="256"/>
      <c r="CA34" s="256"/>
      <c r="CB34" s="256"/>
      <c r="CC34" s="256"/>
      <c r="CD34" s="256"/>
      <c r="CE34" s="256"/>
      <c r="CF34" s="256"/>
      <c r="CG34" s="256"/>
      <c r="CH34" s="256"/>
      <c r="CI34" s="256"/>
      <c r="CJ34" s="256"/>
    </row>
    <row r="35" spans="1:14" ht="14.25">
      <c r="A35" s="269">
        <v>35</v>
      </c>
      <c r="B35" s="272" t="s">
        <v>407</v>
      </c>
      <c r="D35" s="273" t="s">
        <v>402</v>
      </c>
      <c r="E35" s="278">
        <v>31.837786844723368</v>
      </c>
      <c r="G35" s="286">
        <f>+H35+I35</f>
        <v>1958028</v>
      </c>
      <c r="H35" s="279">
        <v>1858028</v>
      </c>
      <c r="I35" s="279">
        <v>100000</v>
      </c>
      <c r="J35" s="280">
        <v>62069487.60000001</v>
      </c>
      <c r="K35" s="281">
        <f t="shared" si="0"/>
        <v>31.700000000000003</v>
      </c>
      <c r="M35" s="278">
        <f t="shared" si="1"/>
        <v>-0.13778684472336522</v>
      </c>
      <c r="N35" s="282">
        <f t="shared" si="2"/>
        <v>0</v>
      </c>
    </row>
    <row r="36" spans="1:14" s="288" customFormat="1" ht="15">
      <c r="A36" s="269">
        <v>36</v>
      </c>
      <c r="B36" s="272" t="s">
        <v>408</v>
      </c>
      <c r="C36" s="256"/>
      <c r="D36" s="273" t="s">
        <v>385</v>
      </c>
      <c r="E36" s="278">
        <v>75.00107211779</v>
      </c>
      <c r="F36" s="256"/>
      <c r="G36" s="279">
        <v>69955</v>
      </c>
      <c r="H36" s="275"/>
      <c r="I36" s="275"/>
      <c r="J36" s="280">
        <v>5246625</v>
      </c>
      <c r="K36" s="281">
        <f t="shared" si="0"/>
        <v>75</v>
      </c>
      <c r="L36" s="256"/>
      <c r="M36" s="278">
        <f t="shared" si="1"/>
        <v>-0.0010721177900023804</v>
      </c>
      <c r="N36" s="282">
        <f t="shared" si="2"/>
        <v>0</v>
      </c>
    </row>
    <row r="37" spans="1:14" ht="14.25">
      <c r="A37" s="269">
        <v>37</v>
      </c>
      <c r="B37" s="272" t="s">
        <v>409</v>
      </c>
      <c r="D37" s="273" t="s">
        <v>385</v>
      </c>
      <c r="E37" s="278">
        <v>75.00398660500717</v>
      </c>
      <c r="G37" s="279">
        <v>12542</v>
      </c>
      <c r="H37" s="275"/>
      <c r="I37" s="275"/>
      <c r="J37" s="280">
        <v>940650</v>
      </c>
      <c r="K37" s="281">
        <f t="shared" si="0"/>
        <v>75</v>
      </c>
      <c r="M37" s="278">
        <f t="shared" si="1"/>
        <v>-0.003986605007170851</v>
      </c>
      <c r="N37" s="282">
        <f t="shared" si="2"/>
        <v>0</v>
      </c>
    </row>
    <row r="38" spans="1:14" ht="19.5" customHeight="1">
      <c r="A38" s="269">
        <v>38</v>
      </c>
      <c r="B38" s="272" t="s">
        <v>410</v>
      </c>
      <c r="D38" s="273" t="s">
        <v>387</v>
      </c>
      <c r="E38" s="274"/>
      <c r="G38" s="274"/>
      <c r="H38" s="275"/>
      <c r="I38" s="275"/>
      <c r="J38" s="274"/>
      <c r="K38" s="274"/>
      <c r="M38" s="276"/>
      <c r="N38" s="276"/>
    </row>
    <row r="39" spans="1:2" ht="14.25">
      <c r="A39" s="269">
        <v>39</v>
      </c>
      <c r="B39" s="277"/>
    </row>
    <row r="40" spans="1:14" s="288" customFormat="1" ht="15">
      <c r="A40" s="287">
        <f>ROW()</f>
        <v>40</v>
      </c>
      <c r="B40" s="288" t="s">
        <v>192</v>
      </c>
      <c r="N40" s="289">
        <f>SUM(N8:N38)</f>
        <v>1094428.968124853</v>
      </c>
    </row>
    <row r="41" ht="14.25">
      <c r="A41" s="269">
        <f>ROW()</f>
        <v>41</v>
      </c>
    </row>
    <row r="42" spans="1:14" ht="19.5" customHeight="1">
      <c r="A42" s="269">
        <f>ROW()</f>
        <v>42</v>
      </c>
      <c r="B42" s="288" t="s">
        <v>411</v>
      </c>
      <c r="M42" s="290" t="s">
        <v>412</v>
      </c>
      <c r="N42" s="291">
        <f>-N40</f>
        <v>-1094428.968124853</v>
      </c>
    </row>
    <row r="43" spans="1:2" ht="15">
      <c r="A43" s="269">
        <v>43</v>
      </c>
      <c r="B43" s="288" t="s">
        <v>476</v>
      </c>
    </row>
    <row r="44" spans="1:14" ht="15">
      <c r="A44" s="269">
        <v>44</v>
      </c>
      <c r="B44" s="288" t="s">
        <v>477</v>
      </c>
      <c r="F44" s="327"/>
      <c r="G44" s="327"/>
      <c r="H44" s="327"/>
      <c r="I44" s="327"/>
      <c r="J44" s="327"/>
      <c r="K44" s="327"/>
      <c r="L44" s="327"/>
      <c r="M44" s="327"/>
      <c r="N44" s="327"/>
    </row>
    <row r="45" spans="1:14" ht="15.75" customHeight="1">
      <c r="A45" s="269">
        <v>45</v>
      </c>
      <c r="B45" s="288" t="s">
        <v>478</v>
      </c>
      <c r="F45" s="327"/>
      <c r="G45" s="327"/>
      <c r="H45" s="327"/>
      <c r="I45" s="327"/>
      <c r="J45" s="327"/>
      <c r="K45" s="327"/>
      <c r="L45" s="327"/>
      <c r="M45" s="327"/>
      <c r="N45" s="327"/>
    </row>
    <row r="46" spans="1:2" ht="15">
      <c r="A46" s="269">
        <v>46</v>
      </c>
      <c r="B46" s="288" t="s">
        <v>479</v>
      </c>
    </row>
    <row r="47" spans="1:2" ht="15">
      <c r="A47" s="269">
        <v>47</v>
      </c>
      <c r="B47" s="288" t="s">
        <v>480</v>
      </c>
    </row>
    <row r="48" spans="1:14" ht="15.75" customHeight="1">
      <c r="A48" s="269">
        <f>ROW()</f>
        <v>48</v>
      </c>
      <c r="B48" s="342" t="s">
        <v>474</v>
      </c>
      <c r="C48" s="343"/>
      <c r="D48" s="343"/>
      <c r="E48" s="343"/>
      <c r="F48" s="343"/>
      <c r="G48" s="343"/>
      <c r="H48" s="343"/>
      <c r="I48" s="343"/>
      <c r="J48" s="343"/>
      <c r="K48" s="343"/>
      <c r="L48" s="343"/>
      <c r="M48" s="343"/>
      <c r="N48" s="343"/>
    </row>
    <row r="49" spans="1:14" ht="15.75" customHeight="1">
      <c r="A49" s="269">
        <f>ROW()</f>
        <v>49</v>
      </c>
      <c r="B49" s="343"/>
      <c r="C49" s="343"/>
      <c r="D49" s="343"/>
      <c r="E49" s="343"/>
      <c r="F49" s="343"/>
      <c r="G49" s="343"/>
      <c r="H49" s="343"/>
      <c r="I49" s="343"/>
      <c r="J49" s="343"/>
      <c r="K49" s="343"/>
      <c r="L49" s="343"/>
      <c r="M49" s="343"/>
      <c r="N49" s="343"/>
    </row>
  </sheetData>
  <mergeCells count="1">
    <mergeCell ref="B48:N49"/>
  </mergeCells>
  <printOptions/>
  <pageMargins left="0.54" right="0" top="0.7" bottom="0.47" header="0.54" footer="0.19"/>
  <pageSetup horizontalDpi="600" verticalDpi="600" orientation="landscape" scale="65" r:id="rId1"/>
  <headerFooter alignWithMargins="0">
    <oddHeader>&amp;LPCA Collaborative</oddHeader>
    <oddFooter>&amp;L&amp;12&amp;F &amp;C&amp;A&amp;R&amp;12Page 1 of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Puget Sound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pse</dc:creator>
  <cp:keywords/>
  <dc:description/>
  <cp:lastModifiedBy>No Name</cp:lastModifiedBy>
  <cp:lastPrinted>2002-06-03T19:58:22Z</cp:lastPrinted>
  <dcterms:created xsi:type="dcterms:W3CDTF">2002-04-03T17:02:28Z</dcterms:created>
  <dcterms:modified xsi:type="dcterms:W3CDTF">2002-04-25T00:18:03Z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Document</vt:lpwstr>
  </property>
  <property fmtid="{D5CDD505-2E9C-101B-9397-08002B2CF9AE}" pid="4" name="IsHighlyConfidenti">
    <vt:lpwstr>0</vt:lpwstr>
  </property>
  <property fmtid="{D5CDD505-2E9C-101B-9397-08002B2CF9AE}" pid="5" name="DocketNumb">
    <vt:lpwstr>011570</vt:lpwstr>
  </property>
  <property fmtid="{D5CDD505-2E9C-101B-9397-08002B2CF9AE}" pid="6" name="IsConfidenti">
    <vt:lpwstr>0</vt:lpwstr>
  </property>
  <property fmtid="{D5CDD505-2E9C-101B-9397-08002B2CF9AE}" pid="7" name="Dat">
    <vt:lpwstr>2002-06-06T00:00:00Z</vt:lpwstr>
  </property>
  <property fmtid="{D5CDD505-2E9C-101B-9397-08002B2CF9AE}" pid="8" name="CaseTy">
    <vt:lpwstr>Tariff Revision</vt:lpwstr>
  </property>
  <property fmtid="{D5CDD505-2E9C-101B-9397-08002B2CF9AE}" pid="9" name="OpenedDa">
    <vt:lpwstr>2001-11-26T00:00:00Z</vt:lpwstr>
  </property>
  <property fmtid="{D5CDD505-2E9C-101B-9397-08002B2CF9AE}" pid="10" name="Pref">
    <vt:lpwstr>UE</vt:lpwstr>
  </property>
  <property fmtid="{D5CDD505-2E9C-101B-9397-08002B2CF9AE}" pid="11" name="CaseCompanyNam">
    <vt:lpwstr>Puget Sound Energy</vt:lpwstr>
  </property>
  <property fmtid="{D5CDD505-2E9C-101B-9397-08002B2CF9AE}" pid="12" name="IndustryCo">
    <vt:lpwstr>140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