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/colors4.xml" ContentType="application/vnd.ms-office.chartcolorstyle+xml"/>
  <Override PartName="/xl/charts/style4.xml" ContentType="application/vnd.ms-office.chartstyle+xml"/>
  <Override PartName="/xl/worksheets/sheet1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worksheets/sheet2.xml" ContentType="application/vnd.openxmlformats-officedocument.spreadsheetml.worksheet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style2.xml" ContentType="application/vnd.ms-office.chartstyle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01 Drafts\Aaron Tam\Exhibits\"/>
    </mc:Choice>
  </mc:AlternateContent>
  <bookViews>
    <workbookView xWindow="0" yWindow="0" windowWidth="28800" windowHeight="13050" activeTab="2"/>
  </bookViews>
  <sheets>
    <sheet name="Summary" sheetId="3" r:id="rId1"/>
    <sheet name="Miles vs Tree Work" sheetId="2" r:id="rId2"/>
    <sheet name="Miles Planned and Completed" sheetId="1" r:id="rId3"/>
  </sheets>
  <definedNames>
    <definedName name="ExternalData_1" localSheetId="0" hidden="1">Summary!$B$6:$F$41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L17" i="1" l="1"/>
  <c r="L16" i="1"/>
  <c r="L18" i="1" s="1"/>
  <c r="D15" i="1" l="1"/>
  <c r="D10" i="1" l="1"/>
  <c r="D14" i="1"/>
  <c r="D25" i="1"/>
  <c r="D22" i="1"/>
  <c r="D9" i="1"/>
  <c r="C22" i="1" l="1"/>
  <c r="C25" i="1"/>
  <c r="G16" i="1"/>
  <c r="D17" i="1"/>
  <c r="E17" i="1"/>
  <c r="G17" i="1"/>
  <c r="D11" i="1" l="1"/>
  <c r="D16" i="1" s="1"/>
  <c r="C14" i="1" l="1"/>
  <c r="C17" i="1" s="1"/>
  <c r="G25" i="1" l="1"/>
  <c r="G28" i="1" s="1"/>
  <c r="M22" i="1"/>
  <c r="L25" i="1"/>
  <c r="L26" i="1"/>
  <c r="L28" i="1" s="1"/>
  <c r="L34" i="1" s="1"/>
  <c r="L23" i="1"/>
  <c r="L22" i="1"/>
  <c r="L27" i="1" s="1"/>
  <c r="M12" i="1" l="1"/>
  <c r="M17" i="1" s="1"/>
  <c r="M8" i="1"/>
  <c r="M16" i="1" s="1"/>
  <c r="M25" i="1"/>
  <c r="N22" i="1"/>
  <c r="O13" i="1"/>
  <c r="O22" i="1"/>
  <c r="O24" i="1"/>
  <c r="O26" i="1"/>
  <c r="N11" i="1"/>
  <c r="N13" i="1"/>
  <c r="N25" i="1"/>
  <c r="N24" i="1"/>
  <c r="N26" i="1"/>
  <c r="N23" i="1"/>
  <c r="K12" i="1" l="1"/>
  <c r="K17" i="1" s="1"/>
  <c r="K8" i="1"/>
  <c r="K16" i="1" s="1"/>
  <c r="J28" i="1" l="1"/>
  <c r="J12" i="1"/>
  <c r="J17" i="1" s="1"/>
  <c r="J8" i="1"/>
  <c r="J16" i="1" s="1"/>
  <c r="H8" i="1"/>
  <c r="H16" i="1" s="1"/>
  <c r="I12" i="1" l="1"/>
  <c r="I17" i="1" s="1"/>
  <c r="I8" i="1"/>
  <c r="N8" i="1" l="1"/>
  <c r="N16" i="1" s="1"/>
  <c r="I16" i="1"/>
  <c r="M27" i="1"/>
  <c r="M33" i="1" s="1"/>
  <c r="H27" i="1"/>
  <c r="I27" i="1"/>
  <c r="J27" i="1"/>
  <c r="J30" i="1" s="1"/>
  <c r="K27" i="1"/>
  <c r="D23" i="1"/>
  <c r="D27" i="1" s="1"/>
  <c r="E23" i="1"/>
  <c r="E27" i="1" s="1"/>
  <c r="F23" i="1"/>
  <c r="F27" i="1" s="1"/>
  <c r="G23" i="1"/>
  <c r="G27" i="1" s="1"/>
  <c r="G30" i="1" s="1"/>
  <c r="C23" i="1"/>
  <c r="H12" i="1"/>
  <c r="N12" i="1" l="1"/>
  <c r="N17" i="1" s="1"/>
  <c r="H17" i="1"/>
  <c r="C27" i="1"/>
  <c r="O27" i="1" s="1"/>
  <c r="O23" i="1"/>
  <c r="G29" i="1"/>
  <c r="N27" i="1"/>
  <c r="H28" i="1"/>
  <c r="H30" i="1" s="1"/>
  <c r="I28" i="1"/>
  <c r="J29" i="1"/>
  <c r="K28" i="1"/>
  <c r="M28" i="1"/>
  <c r="C28" i="1"/>
  <c r="E28" i="1"/>
  <c r="F25" i="1"/>
  <c r="F28" i="1" s="1"/>
  <c r="M29" i="1" l="1"/>
  <c r="M34" i="1"/>
  <c r="C30" i="1"/>
  <c r="E29" i="1"/>
  <c r="E30" i="1"/>
  <c r="K29" i="1"/>
  <c r="K30" i="1"/>
  <c r="I29" i="1"/>
  <c r="I30" i="1"/>
  <c r="F29" i="1"/>
  <c r="F30" i="1"/>
  <c r="L29" i="1"/>
  <c r="L30" i="1"/>
  <c r="M30" i="1"/>
  <c r="C29" i="1"/>
  <c r="H29" i="1"/>
  <c r="N28" i="1"/>
  <c r="N30" i="1" s="1"/>
  <c r="F12" i="1"/>
  <c r="F8" i="1"/>
  <c r="F16" i="1" s="1"/>
  <c r="K33" i="1"/>
  <c r="E11" i="1"/>
  <c r="E16" i="1" s="1"/>
  <c r="C11" i="1"/>
  <c r="C16" i="1" s="1"/>
  <c r="C18" i="1" s="1"/>
  <c r="O12" i="1" l="1"/>
  <c r="O17" i="1" s="1"/>
  <c r="F17" i="1"/>
  <c r="N29" i="1"/>
  <c r="O8" i="1"/>
  <c r="O11" i="1"/>
  <c r="C34" i="1"/>
  <c r="L33" i="1"/>
  <c r="H33" i="1"/>
  <c r="G33" i="1"/>
  <c r="J33" i="1"/>
  <c r="I33" i="1"/>
  <c r="E33" i="1"/>
  <c r="D33" i="1"/>
  <c r="H19" i="1"/>
  <c r="D19" i="1"/>
  <c r="O16" i="1" l="1"/>
  <c r="F33" i="1"/>
  <c r="C33" i="1"/>
  <c r="C35" i="1" s="1"/>
  <c r="C19" i="1"/>
  <c r="J34" i="1"/>
  <c r="J36" i="1" s="1"/>
  <c r="J19" i="1"/>
  <c r="I34" i="1"/>
  <c r="I36" i="1" s="1"/>
  <c r="I19" i="1"/>
  <c r="G34" i="1"/>
  <c r="G36" i="1" s="1"/>
  <c r="G19" i="1"/>
  <c r="F34" i="1"/>
  <c r="F19" i="1"/>
  <c r="H18" i="1"/>
  <c r="K34" i="1"/>
  <c r="K36" i="1" s="1"/>
  <c r="K19" i="1"/>
  <c r="E34" i="1"/>
  <c r="E36" i="1" s="1"/>
  <c r="E19" i="1"/>
  <c r="L19" i="1"/>
  <c r="L36" i="1"/>
  <c r="M19" i="1"/>
  <c r="O19" i="1"/>
  <c r="M36" i="1"/>
  <c r="D28" i="1"/>
  <c r="D30" i="1" s="1"/>
  <c r="O25" i="1"/>
  <c r="G18" i="1"/>
  <c r="N33" i="1"/>
  <c r="H34" i="1"/>
  <c r="H35" i="1" s="1"/>
  <c r="N19" i="1"/>
  <c r="F18" i="1"/>
  <c r="E18" i="1"/>
  <c r="M35" i="1"/>
  <c r="M18" i="1"/>
  <c r="J18" i="1"/>
  <c r="D18" i="1"/>
  <c r="L35" i="1"/>
  <c r="K18" i="1"/>
  <c r="I18" i="1"/>
  <c r="F35" i="1" l="1"/>
  <c r="F36" i="1"/>
  <c r="O33" i="1"/>
  <c r="I35" i="1"/>
  <c r="J35" i="1"/>
  <c r="K35" i="1"/>
  <c r="N35" i="1" s="1"/>
  <c r="G35" i="1"/>
  <c r="C36" i="1"/>
  <c r="N34" i="1"/>
  <c r="N36" i="1" s="1"/>
  <c r="H36" i="1"/>
  <c r="D34" i="1"/>
  <c r="D35" i="1" s="1"/>
  <c r="E35" i="1"/>
  <c r="N18" i="1"/>
  <c r="O18" i="1"/>
  <c r="D29" i="1"/>
  <c r="O29" i="1" s="1"/>
  <c r="O28" i="1"/>
  <c r="O30" i="1" s="1"/>
  <c r="O35" i="1" l="1"/>
  <c r="O34" i="1"/>
  <c r="O36" i="1" s="1"/>
  <c r="D36" i="1"/>
</calcChain>
</file>

<file path=xl/comments1.xml><?xml version="1.0" encoding="utf-8"?>
<comments xmlns="http://schemas.openxmlformats.org/spreadsheetml/2006/main">
  <authors>
    <author>Tam, Aaron (ATG)</author>
  </authors>
  <commentList>
    <comment ref="H6" authorId="0" shapeId="0">
      <text>
        <r>
          <rPr>
            <b/>
            <sz val="9"/>
            <color indexed="81"/>
            <rFont val="Tahoma"/>
            <charset val="1"/>
          </rPr>
          <t>Tam, Aaron (ATG):</t>
        </r>
        <r>
          <rPr>
            <sz val="9"/>
            <color indexed="81"/>
            <rFont val="Tahoma"/>
            <charset val="1"/>
          </rPr>
          <t xml:space="preserve">
This year, Avista put in risk tree in the same table as maintenance and ROW.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Tam, Aaron (ATG):</t>
        </r>
        <r>
          <rPr>
            <sz val="9"/>
            <color indexed="81"/>
            <rFont val="Tahoma"/>
            <family val="2"/>
          </rPr>
          <t xml:space="preserve">
In 2021, Avista split Routine and Risk work into separate spreadsheets entirely and removed other sheets like herbicide and "HPGPL." #s were added below the line for both risk and maintenance tables.</t>
        </r>
      </text>
    </comment>
    <comment ref="B9" authorId="0" shapeId="0">
      <text>
        <r>
          <rPr>
            <b/>
            <sz val="9"/>
            <color indexed="81"/>
            <rFont val="Tahoma"/>
            <charset val="1"/>
          </rPr>
          <t>Tam, Aaron (ATG):</t>
        </r>
        <r>
          <rPr>
            <sz val="9"/>
            <color indexed="81"/>
            <rFont val="Tahoma"/>
            <charset val="1"/>
          </rPr>
          <t xml:space="preserve">
Herbicide and HPGPL specific work plans existed in earlier years, but they were not included in later years.</t>
        </r>
      </text>
    </comment>
    <comment ref="B10" authorId="0" shapeId="0">
      <text>
        <r>
          <rPr>
            <b/>
            <sz val="9"/>
            <color indexed="81"/>
            <rFont val="Tahoma"/>
            <charset val="1"/>
          </rPr>
          <t>Tam, Aaron (ATG):</t>
        </r>
        <r>
          <rPr>
            <sz val="9"/>
            <color indexed="81"/>
            <rFont val="Tahoma"/>
            <charset val="1"/>
          </rPr>
          <t xml:space="preserve">
HGPL work plan remains constant after 2018.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Tam, Aaron (ATG):</t>
        </r>
        <r>
          <rPr>
            <sz val="9"/>
            <color indexed="81"/>
            <rFont val="Tahoma"/>
            <family val="2"/>
          </rPr>
          <t xml:space="preserve">
Made revisions to Excel workbook because of faulty values and lack of breakdown.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>Tam, Aaron (ATG):</t>
        </r>
        <r>
          <rPr>
            <sz val="9"/>
            <color indexed="81"/>
            <rFont val="Tahoma"/>
            <family val="2"/>
          </rPr>
          <t xml:space="preserve">
Large amount of this was categorized under future planned years.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Tam, Aaron (ATG):</t>
        </r>
        <r>
          <rPr>
            <sz val="9"/>
            <color indexed="81"/>
            <rFont val="Tahoma"/>
            <family val="2"/>
          </rPr>
          <t xml:space="preserve">
There was an error in this workbook where post-storm trees were double counted.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Tam, Aaron (ATG):</t>
        </r>
        <r>
          <rPr>
            <sz val="9"/>
            <color indexed="81"/>
            <rFont val="Tahoma"/>
            <family val="2"/>
          </rPr>
          <t xml:space="preserve">
Differs from Howell's table, but it seems accurate based on the raw data in the vegetation work plan workbooks.</t>
        </r>
      </text>
    </comment>
  </commentList>
</comments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<sst xmlns="http://schemas.openxmlformats.org/spreadsheetml/2006/main" count="239" uniqueCount="61">
  <si>
    <t>Total miles completed</t>
  </si>
  <si>
    <t>Current year planned miles</t>
  </si>
  <si>
    <t>Total miles planned</t>
  </si>
  <si>
    <t>Risk Tree Mitigation Statistics</t>
  </si>
  <si>
    <t>Current year miles completed</t>
  </si>
  <si>
    <t>Post-storm risk tree mile additions</t>
  </si>
  <si>
    <t>Maintenance and ROW Statistics</t>
  </si>
  <si>
    <t>Total planned miles uncompleted</t>
  </si>
  <si>
    <t>Prior years planned miles</t>
  </si>
  <si>
    <t>Prior years miles completed</t>
  </si>
  <si>
    <t>5-yr avg</t>
  </si>
  <si>
    <t>10-yr avg</t>
  </si>
  <si>
    <t>% planned miles completed</t>
  </si>
  <si>
    <t>Miles planned = distribution miles patrolled</t>
  </si>
  <si>
    <t>Miles completed = distribution miles remediated</t>
  </si>
  <si>
    <t>Source: Howell Exh. DRH-1T</t>
  </si>
  <si>
    <t>Total Vegetation Management Statistics</t>
  </si>
  <si>
    <t>Current year herbicide planned miles</t>
  </si>
  <si>
    <t>Current year HPGL planned miles</t>
  </si>
  <si>
    <t>Current year herbicide completed miles</t>
  </si>
  <si>
    <t>Current year HPGL completed miles</t>
  </si>
  <si>
    <t>Measure 11 PIM: "96% inspection would result in incentive of $500k, 94-95% would result in no incentive or penalty, anything less than 94%-would result in $500k penalty."</t>
  </si>
  <si>
    <t>Removed</t>
  </si>
  <si>
    <t>Trimmed</t>
  </si>
  <si>
    <t>Miles Completed</t>
  </si>
  <si>
    <t>Other work</t>
  </si>
  <si>
    <t>Routine</t>
  </si>
  <si>
    <t>Work Type</t>
  </si>
  <si>
    <t>Program Type</t>
  </si>
  <si>
    <t>Risk</t>
  </si>
  <si>
    <t>Row Labels</t>
  </si>
  <si>
    <t>Grand Total</t>
  </si>
  <si>
    <t>Column Labels</t>
  </si>
  <si>
    <t>Risk Total</t>
  </si>
  <si>
    <t>Routine Total</t>
  </si>
  <si>
    <t>Year</t>
  </si>
  <si>
    <t>2016</t>
  </si>
  <si>
    <t>2017</t>
  </si>
  <si>
    <t>2018</t>
  </si>
  <si>
    <t>2019</t>
  </si>
  <si>
    <t>2020</t>
  </si>
  <si>
    <t>2021</t>
  </si>
  <si>
    <t>2022</t>
  </si>
  <si>
    <t>Value</t>
  </si>
  <si>
    <t>Units</t>
  </si>
  <si>
    <t>Trees</t>
  </si>
  <si>
    <t>Miles</t>
  </si>
  <si>
    <t>Sum of Value</t>
  </si>
  <si>
    <t>(All)</t>
  </si>
  <si>
    <t>Vegetation Analysis Summary</t>
  </si>
  <si>
    <t>Source: PC DR 261</t>
  </si>
  <si>
    <t>Source: PC DR 182, Attachment A</t>
  </si>
  <si>
    <t>Transmission Risk Tree (miles patrolled)</t>
  </si>
  <si>
    <t>2022 PIM Targets</t>
  </si>
  <si>
    <t>% 2022 PIM Targets</t>
  </si>
  <si>
    <t>Distribution Risk Tree (miles patrolled)</t>
  </si>
  <si>
    <t>The table below synthesizes miles of distribution vegetation work completed in the past 12 years as shown in PC DR 182, Attachment A.</t>
  </si>
  <si>
    <t>Distribution Vegetation Work Plans</t>
  </si>
  <si>
    <t>Routine and Risk Distribution Tree Work</t>
  </si>
  <si>
    <t>The table below compare miles completed with number of distribution trees remediated (removed, trimmed, and other work) as shown in PC DR 261.</t>
  </si>
  <si>
    <t>The tables and charts below compare miles completed with number of distribution trees remedated (removed, trimmed, and other work).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</si>
</sst>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thin">
        <color indexed="64"/>
      </left>
      <right/>
      <top style="thick">
        <color theme="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2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/>
    <xf numFmtId="0" fontId="8" fillId="0" borderId="0" xfId="0" applyFont="1"/>
    <xf numFmtId="0" fontId="9" fillId="0" borderId="0" xfId="0" applyFont="1" applyFill="1" applyBorder="1"/>
    <xf numFmtId="9" fontId="9" fillId="0" borderId="0" xfId="1" applyFont="1" applyBorder="1"/>
    <xf numFmtId="1" fontId="0" fillId="0" borderId="0" xfId="0" applyNumberFormat="1"/>
    <xf numFmtId="1" fontId="0" fillId="0" borderId="0" xfId="0" applyNumberFormat="1" applyBorder="1"/>
    <xf numFmtId="1" fontId="0" fillId="0" borderId="1" xfId="0" applyNumberFormat="1" applyBorder="1"/>
    <xf numFmtId="1" fontId="9" fillId="0" borderId="0" xfId="0" applyNumberFormat="1" applyFont="1" applyBorder="1"/>
    <xf numFmtId="1" fontId="1" fillId="0" borderId="0" xfId="0" applyNumberFormat="1" applyFont="1"/>
    <xf numFmtId="1" fontId="2" fillId="0" borderId="0" xfId="0" applyNumberFormat="1" applyFont="1"/>
    <xf numFmtId="1" fontId="9" fillId="0" borderId="1" xfId="0" applyNumberFormat="1" applyFont="1" applyBorder="1"/>
    <xf numFmtId="0" fontId="0" fillId="0" borderId="2" xfId="0" applyBorder="1"/>
    <xf numFmtId="1" fontId="9" fillId="0" borderId="2" xfId="0" applyNumberFormat="1" applyFont="1" applyBorder="1"/>
    <xf numFmtId="1" fontId="9" fillId="0" borderId="3" xfId="0" applyNumberFormat="1" applyFont="1" applyBorder="1"/>
    <xf numFmtId="9" fontId="9" fillId="0" borderId="2" xfId="1" applyFont="1" applyBorder="1"/>
    <xf numFmtId="1" fontId="0" fillId="2" borderId="0" xfId="0" applyNumberFormat="1" applyFill="1" applyBorder="1"/>
    <xf numFmtId="0" fontId="1" fillId="0" borderId="4" xfId="0" applyFont="1" applyBorder="1"/>
    <xf numFmtId="0" fontId="1" fillId="0" borderId="4" xfId="0" applyFont="1" applyFill="1" applyBorder="1"/>
    <xf numFmtId="0" fontId="10" fillId="0" borderId="5" xfId="0" applyFont="1" applyBorder="1"/>
    <xf numFmtId="0" fontId="10" fillId="0" borderId="4" xfId="0" applyFont="1" applyBorder="1"/>
    <xf numFmtId="0" fontId="11" fillId="0" borderId="0" xfId="0" applyFont="1"/>
    <xf numFmtId="0" fontId="0" fillId="0" borderId="6" xfId="0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10" xfId="0" applyFont="1" applyBorder="1"/>
    <xf numFmtId="0" fontId="12" fillId="3" borderId="0" xfId="2"/>
    <xf numFmtId="0" fontId="13" fillId="3" borderId="0" xfId="2" applyFont="1" applyAlignment="1">
      <alignment horizontal="left"/>
    </xf>
    <xf numFmtId="0" fontId="12" fillId="0" borderId="0" xfId="2" applyFill="1"/>
    <xf numFmtId="0" fontId="12" fillId="3" borderId="0" xfId="2" applyAlignment="1"/>
    <xf numFmtId="9" fontId="9" fillId="2" borderId="0" xfId="1" applyFont="1" applyFill="1" applyBorder="1"/>
    <xf numFmtId="10" fontId="0" fillId="0" borderId="0" xfId="1" applyNumberFormat="1" applyFont="1" applyFill="1"/>
    <xf numFmtId="0" fontId="0" fillId="0" borderId="0" xfId="0" applyFill="1"/>
  </cellXfs>
  <cellStyles count="3">
    <cellStyle name="Accent5" xfId="2" builtinId="45"/>
    <cellStyle name="Normal" xfId="0" builtinId="0"/>
    <cellStyle name="Percent" xfId="1" builtinId="5"/>
  </cellStyles>
  <dxfs count="8">
    <dxf>
      <border outline="0">
        <top style="thick">
          <color theme="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[Avista Vegetation Work Plan Analysis.xlsx]Summary!PivotTable19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3"/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circle"/>
          <c:size val="5"/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 w="28575" cap="rnd">
            <a:solidFill>
              <a:srgbClr val="7030A0"/>
            </a:solidFill>
            <a:round/>
          </a:ln>
          <a:effectLst/>
        </c:spPr>
        <c:marker>
          <c:symbol val="circle"/>
          <c:size val="5"/>
          <c:spPr>
            <a:solidFill>
              <a:srgbClr val="7030A0"/>
            </a:solidFill>
            <a:ln w="9525">
              <a:solidFill>
                <a:srgbClr val="7030A0"/>
              </a:solidFill>
            </a:ln>
            <a:effectLst/>
          </c:spPr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</c:pivotFmts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Summary!$J$9:$J$11</c:f>
              <c:strCache>
                <c:ptCount val="1"/>
                <c:pt idx="0">
                  <c:v>Risk - Trees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Summary!$H$12:$H$19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Summary!$J$12:$J$19</c:f>
              <c:numCache>
                <c:formatCode>General</c:formatCode>
                <c:ptCount val="7"/>
                <c:pt idx="3">
                  <c:v>13064</c:v>
                </c:pt>
                <c:pt idx="4">
                  <c:v>17308</c:v>
                </c:pt>
                <c:pt idx="5">
                  <c:v>11587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7C-4F2B-B0E2-A088C3734374}"/>
            </c:ext>
          </c:extLst>
        </c:ser>
        <c:ser>
          <c:idx val="3"/>
          <c:order val="3"/>
          <c:tx>
            <c:strRef>
              <c:f>Summary!$M$9:$M$11</c:f>
              <c:strCache>
                <c:ptCount val="1"/>
                <c:pt idx="0">
                  <c:v>Routine - Trees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Summary!$H$12:$H$19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Summary!$M$12:$M$19</c:f>
              <c:numCache>
                <c:formatCode>General</c:formatCode>
                <c:ptCount val="7"/>
                <c:pt idx="0">
                  <c:v>46459</c:v>
                </c:pt>
                <c:pt idx="1">
                  <c:v>52425</c:v>
                </c:pt>
                <c:pt idx="2">
                  <c:v>54264</c:v>
                </c:pt>
                <c:pt idx="3">
                  <c:v>38212</c:v>
                </c:pt>
                <c:pt idx="4">
                  <c:v>51324</c:v>
                </c:pt>
                <c:pt idx="5">
                  <c:v>47562</c:v>
                </c:pt>
                <c:pt idx="6">
                  <c:v>22682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7C-4F2B-B0E2-A088C373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82384056"/>
        <c:axId val="782378152"/>
      </c:barChart>
      <c:lineChart>
        <c:grouping val="standard"/>
        <c:varyColors val="0"/>
        <c:ser>
          <c:idx val="0"/>
          <c:order val="0"/>
          <c:tx>
            <c:strRef>
              <c:f>Summary!$I$9:$I$11</c:f>
              <c:strCache>
                <c:ptCount val="1"/>
                <c:pt idx="0">
                  <c:v>Risk - Miles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Summary!$H$12:$H$19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Summary!$I$12:$I$19</c:f>
              <c:numCache>
                <c:formatCode>General</c:formatCode>
                <c:ptCount val="7"/>
                <c:pt idx="3">
                  <c:v>1649</c:v>
                </c:pt>
                <c:pt idx="4">
                  <c:v>2815</c:v>
                </c:pt>
                <c:pt idx="5">
                  <c:v>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C-4F2B-B0E2-A088C3734374}"/>
            </c:ext>
          </c:extLst>
        </c:ser>
        <c:ser>
          <c:idx val="2"/>
          <c:order val="2"/>
          <c:tx>
            <c:strRef>
              <c:f>Summary!$L$9:$L$11</c:f>
              <c:strCache>
                <c:ptCount val="1"/>
                <c:pt idx="0">
                  <c:v>Routine - Miles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Summary!$H$12:$H$19</c:f>
              <c:strCach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Summary!$L$12:$L$19</c:f>
              <c:numCache>
                <c:formatCode>General</c:formatCode>
                <c:ptCount val="7"/>
                <c:pt idx="0">
                  <c:v>3402</c:v>
                </c:pt>
                <c:pt idx="1">
                  <c:v>4041</c:v>
                </c:pt>
                <c:pt idx="2">
                  <c:v>1538</c:v>
                </c:pt>
                <c:pt idx="3">
                  <c:v>1516</c:v>
                </c:pt>
                <c:pt idx="4">
                  <c:v>555</c:v>
                </c:pt>
                <c:pt idx="5">
                  <c:v>981</c:v>
                </c:pt>
                <c:pt idx="6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7C-4F2B-B0E2-A088C373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236696"/>
        <c:axId val="695236368"/>
      </c:lineChart>
      <c:catAx>
        <c:axId val="78238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378152"/>
        <c:crosses val="autoZero"/>
        <c:auto val="1"/>
        <c:lblAlgn val="ctr"/>
        <c:lblOffset val="100"/>
        <c:noMultiLvlLbl val="0"/>
      </c:catAx>
      <c:valAx>
        <c:axId val="78237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Trees Remediated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384056"/>
        <c:crosses val="autoZero"/>
        <c:crossBetween val="between"/>
      </c:valAx>
      <c:valAx>
        <c:axId val="695236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</a:t>
                </a:r>
                <a:r>
                  <a:rPr lang="en-US" baseline="0"/>
                  <a:t> Completed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236696"/>
        <c:crosses val="max"/>
        <c:crossBetween val="between"/>
      </c:valAx>
      <c:catAx>
        <c:axId val="695236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523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Routine</a:t>
            </a:r>
            <a:r>
              <a:rPr lang="en-US" baseline="0"/>
              <a:t> Maintenance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'Miles Planned and Completed'!$B$16</c:f>
              <c:strCache>
                <c:ptCount val="1"/>
                <c:pt idx="0">
                  <c:v>Total miles planned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Completed'!$C$16:$M$16</c:f>
              <c:numCache>
                <c:formatCode>0</c:formatCode>
                <c:ptCount val="11"/>
                <c:pt idx="0">
                  <c:v>3566.1500000000005</c:v>
                </c:pt>
                <c:pt idx="1">
                  <c:v>3117</c:v>
                </c:pt>
                <c:pt idx="2">
                  <c:v>3683.5099999999993</c:v>
                </c:pt>
                <c:pt idx="3">
                  <c:v>3696.15</c:v>
                </c:pt>
                <c:pt idx="4">
                  <c:v>3731.79</c:v>
                </c:pt>
                <c:pt idx="5">
                  <c:v>2761</c:v>
                </c:pt>
                <c:pt idx="6">
                  <c:v>1821.422</c:v>
                </c:pt>
                <c:pt idx="7">
                  <c:v>1299.364</c:v>
                </c:pt>
                <c:pt idx="8">
                  <c:v>1070.24</c:v>
                </c:pt>
                <c:pt idx="9">
                  <c:v>897.84</c:v>
                </c:pt>
                <c:pt idx="10">
                  <c:v>2248.1946000000003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2-4E77-BC22-40DE9D408316}"/>
            </c:ext>
          </c:extLst>
        </c:ser>
        <c:ser>
          <c:idx val="1"/>
          <c:order val="1"/>
          <c:tx>
            <c:strRef>
              <c:f>'Miles Planned and Completed'!$B$17</c:f>
              <c:strCache>
                <c:ptCount val="1"/>
                <c:pt idx="0">
                  <c:v>Total miles completed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Completed'!$C$17:$M$17</c:f>
              <c:numCache>
                <c:formatCode>0</c:formatCode>
                <c:ptCount val="11"/>
                <c:pt idx="0">
                  <c:v>3182.02</c:v>
                </c:pt>
                <c:pt idx="1">
                  <c:v>2539.06</c:v>
                </c:pt>
                <c:pt idx="2">
                  <c:v>3215.2934999999998</c:v>
                </c:pt>
                <c:pt idx="3">
                  <c:v>3064.06</c:v>
                </c:pt>
                <c:pt idx="4">
                  <c:v>2030.8</c:v>
                </c:pt>
                <c:pt idx="5">
                  <c:v>2030</c:v>
                </c:pt>
                <c:pt idx="6">
                  <c:v>1903.9202999999998</c:v>
                </c:pt>
                <c:pt idx="7">
                  <c:v>1217.8439999999998</c:v>
                </c:pt>
                <c:pt idx="8">
                  <c:v>557.62099999999998</c:v>
                </c:pt>
                <c:pt idx="9">
                  <c:v>540.08199999999999</c:v>
                </c:pt>
                <c:pt idx="10">
                  <c:v>1495.3658273000001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2-4E77-BC22-40DE9D40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452448"/>
        <c:axId val="496450808"/>
      </c:barChart>
      <c:catAx>
        <c:axId val="4964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0808"/>
        <c:crosses val="autoZero"/>
        <c:auto val="1"/>
        <c:lblAlgn val="ctr"/>
        <c:lblOffset val="100"/>
        <c:noMultiLvlLbl val="0"/>
      </c:catAx>
      <c:valAx>
        <c:axId val="49645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Risk Tree Mitigation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'Miles Planned and Completed'!$B$27</c:f>
              <c:strCache>
                <c:ptCount val="1"/>
                <c:pt idx="0">
                  <c:v>Total miles planned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Completed'!$C$27:$M$27</c:f>
              <c:numCache>
                <c:formatCode>0</c:formatCode>
                <c:ptCount val="11"/>
                <c:pt idx="0">
                  <c:v>604.91</c:v>
                </c:pt>
                <c:pt idx="1">
                  <c:v>1363.9299999999998</c:v>
                </c:pt>
                <c:pt idx="2">
                  <c:v>1214.6899999999998</c:v>
                </c:pt>
                <c:pt idx="3">
                  <c:v>1183</c:v>
                </c:pt>
                <c:pt idx="4">
                  <c:v>2316</c:v>
                </c:pt>
                <c:pt idx="5">
                  <c:v>1826</c:v>
                </c:pt>
                <c:pt idx="6">
                  <c:v>1326.9929999999999</c:v>
                </c:pt>
                <c:pt idx="7">
                  <c:v>543.42999999999995</c:v>
                </c:pt>
                <c:pt idx="8">
                  <c:v>1558.925</c:v>
                </c:pt>
                <c:pt idx="9">
                  <c:v>3382.0549999999998</c:v>
                </c:pt>
                <c:pt idx="10">
                  <c:v>5245.4750000000004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A-4312-AB80-2EB67892DB0B}"/>
            </c:ext>
          </c:extLst>
        </c:ser>
        <c:ser>
          <c:idx val="1"/>
          <c:order val="1"/>
          <c:tx>
            <c:strRef>
              <c:f>'Miles Planned and Completed'!$B$28</c:f>
              <c:strCache>
                <c:ptCount val="1"/>
                <c:pt idx="0">
                  <c:v>Total miles completed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Completed'!$C$28:$M$28</c:f>
              <c:numCache>
                <c:formatCode>0</c:formatCode>
                <c:ptCount val="11"/>
                <c:pt idx="0">
                  <c:v>285.54000000000002</c:v>
                </c:pt>
                <c:pt idx="1">
                  <c:v>854.9</c:v>
                </c:pt>
                <c:pt idx="2">
                  <c:v>933.68999999999994</c:v>
                </c:pt>
                <c:pt idx="3">
                  <c:v>1649</c:v>
                </c:pt>
                <c:pt idx="4">
                  <c:v>1952.3</c:v>
                </c:pt>
                <c:pt idx="5">
                  <c:v>1130</c:v>
                </c:pt>
                <c:pt idx="6">
                  <c:v>929.10599999999999</c:v>
                </c:pt>
                <c:pt idx="7">
                  <c:v>414.39499999999998</c:v>
                </c:pt>
                <c:pt idx="8">
                  <c:v>958.56600000000003</c:v>
                </c:pt>
                <c:pt idx="9">
                  <c:v>2097.5439999999999</c:v>
                </c:pt>
                <c:pt idx="10">
                  <c:v>2816.9705269999995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A-4312-AB80-2EB67892D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452448"/>
        <c:axId val="496450808"/>
      </c:barChart>
      <c:catAx>
        <c:axId val="4964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0808"/>
        <c:crosses val="autoZero"/>
        <c:auto val="1"/>
        <c:lblAlgn val="ctr"/>
        <c:lblOffset val="100"/>
        <c:noMultiLvlLbl val="0"/>
      </c:catAx>
      <c:valAx>
        <c:axId val="49645080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Total Vegetation Management Statistics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'Miles Planned and Completed'!$B$33</c:f>
              <c:strCache>
                <c:ptCount val="1"/>
                <c:pt idx="0">
                  <c:v>Total miles planned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Completed'!$C$33:$M$33</c:f>
              <c:numCache>
                <c:formatCode>0</c:formatCode>
                <c:ptCount val="11"/>
                <c:pt idx="0">
                  <c:v>4171.0600000000004</c:v>
                </c:pt>
                <c:pt idx="1">
                  <c:v>4480.93</c:v>
                </c:pt>
                <c:pt idx="2">
                  <c:v>4898.1999999999989</c:v>
                </c:pt>
                <c:pt idx="3">
                  <c:v>4879.1499999999996</c:v>
                </c:pt>
                <c:pt idx="4">
                  <c:v>6047.79</c:v>
                </c:pt>
                <c:pt idx="5">
                  <c:v>4587</c:v>
                </c:pt>
                <c:pt idx="6">
                  <c:v>3148.415</c:v>
                </c:pt>
                <c:pt idx="7">
                  <c:v>1842.7939999999999</c:v>
                </c:pt>
                <c:pt idx="8">
                  <c:v>2629.165</c:v>
                </c:pt>
                <c:pt idx="9">
                  <c:v>4279.8949999999995</c:v>
                </c:pt>
                <c:pt idx="10">
                  <c:v>7493.6696000000011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1-43F4-9987-68398F15A3A0}"/>
            </c:ext>
          </c:extLst>
        </c:ser>
        <c:ser>
          <c:idx val="1"/>
          <c:order val="1"/>
          <c:tx>
            <c:strRef>
              <c:f>'Miles Planned and Completed'!$B$34</c:f>
              <c:strCache>
                <c:ptCount val="1"/>
                <c:pt idx="0">
                  <c:v>Total miles completed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'Miles Planned and Completed'!$C$6:$M$6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'Miles Planned and Completed'!$C$34:$M$34</c:f>
              <c:numCache>
                <c:formatCode>0</c:formatCode>
                <c:ptCount val="11"/>
                <c:pt idx="0">
                  <c:v>3467.56</c:v>
                </c:pt>
                <c:pt idx="1">
                  <c:v>3393.96</c:v>
                </c:pt>
                <c:pt idx="2">
                  <c:v>4148.9834999999994</c:v>
                </c:pt>
                <c:pt idx="3">
                  <c:v>4713.0599999999995</c:v>
                </c:pt>
                <c:pt idx="4">
                  <c:v>3983.1</c:v>
                </c:pt>
                <c:pt idx="5">
                  <c:v>3160</c:v>
                </c:pt>
                <c:pt idx="6">
                  <c:v>2833.0262999999995</c:v>
                </c:pt>
                <c:pt idx="7">
                  <c:v>1632.2389999999998</c:v>
                </c:pt>
                <c:pt idx="8">
                  <c:v>1516.1869999999999</c:v>
                </c:pt>
                <c:pt idx="9">
                  <c:v>2637.6259999999997</c:v>
                </c:pt>
                <c:pt idx="10">
                  <c:v>4312.3363542999996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1-43F4-9987-68398F15A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452448"/>
        <c:axId val="496450808"/>
      </c:barChart>
      <c:catAx>
        <c:axId val="4964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0808"/>
        <c:crosses val="autoZero"/>
        <c:auto val="1"/>
        <c:lblAlgn val="ctr"/>
        <c:lblOffset val="100"/>
        <c:noMultiLvlLbl val="0"/>
      </c:catAx>
      <c:valAx>
        <c:axId val="49645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4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53974</xdr:colOff>
      <xdr:row>20</xdr:row>
      <xdr:rowOff>6350</xdr:rowOff>
    </xdr:from>
    <xdr:to>
      <xdr:col>17</xdr:col>
      <xdr:colOff>177800</xdr:colOff>
      <xdr:row>41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341313</xdr:colOff>
      <xdr:row>39</xdr:row>
      <xdr:rowOff>1588</xdr:rowOff>
    </xdr:from>
    <xdr:to>
      <xdr:col>4</xdr:col>
      <xdr:colOff>39688</xdr:colOff>
      <xdr:row>53</xdr:row>
      <xdr:rowOff>151871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206375</xdr:colOff>
      <xdr:row>38</xdr:row>
      <xdr:rowOff>179917</xdr:rowOff>
    </xdr:from>
    <xdr:to>
      <xdr:col>11</xdr:col>
      <xdr:colOff>465667</xdr:colOff>
      <xdr:row>53</xdr:row>
      <xdr:rowOff>144992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42333</xdr:colOff>
      <xdr:row>38</xdr:row>
      <xdr:rowOff>169333</xdr:rowOff>
    </xdr:from>
    <xdr:to>
      <xdr:col>19</xdr:col>
      <xdr:colOff>338667</xdr:colOff>
      <xdr:row>53</xdr:row>
      <xdr:rowOff>134408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301625</xdr:colOff>
      <xdr:row>56</xdr:row>
      <xdr:rowOff>1</xdr:rowOff>
    </xdr:from>
    <xdr:to>
      <xdr:col>9</xdr:col>
      <xdr:colOff>2117</xdr:colOff>
      <xdr:row>69</xdr:row>
      <xdr:rowOff>167918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1625" y="9154584"/>
          <a:ext cx="7659159" cy="2575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m, Aaron (ATG)" refreshedDate="44725.752432175927" createdVersion="6" refreshedVersion="6" minRefreshableVersion="3" recordCount="35">
  <cacheSource type="worksheet">
    <worksheetSource name="Table1_2"/>
  </cacheSource>
  <cacheFields count="5">
    <cacheField name="Program Type" numFmtId="0">
      <sharedItems count="2">
        <s v="Routine"/>
        <s v="Risk"/>
      </sharedItems>
    </cacheField>
    <cacheField name="Work Type" numFmtId="0">
      <sharedItems count="4">
        <s v="Removed"/>
        <s v="Trimmed"/>
        <s v="Miles Completed"/>
        <s v="Other work"/>
      </sharedItems>
    </cacheField>
    <cacheField name="Year" numFmtId="0">
      <sharedItems count="7">
        <s v="2018"/>
        <s v="2019"/>
        <s v="2020"/>
        <s v="2021"/>
        <s v="2022"/>
        <s v="2016"/>
        <s v="2017"/>
      </sharedItems>
    </cacheField>
    <cacheField name="Value" numFmtId="0">
      <sharedItems containsSemiMixedTypes="0" containsString="0" containsNumber="1" containsInteger="1" minValue="383" maxValue="52425"/>
    </cacheField>
    <cacheField name="Units" numFmtId="0">
      <sharedItems count="2">
        <s v="Trees"/>
        <s v="Mil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x v="0"/>
    <n v="13761"/>
    <x v="0"/>
  </r>
  <r>
    <x v="0"/>
    <x v="0"/>
    <x v="1"/>
    <n v="16747"/>
    <x v="0"/>
  </r>
  <r>
    <x v="0"/>
    <x v="0"/>
    <x v="2"/>
    <n v="15246"/>
    <x v="0"/>
  </r>
  <r>
    <x v="0"/>
    <x v="0"/>
    <x v="3"/>
    <n v="13915"/>
    <x v="0"/>
  </r>
  <r>
    <x v="0"/>
    <x v="0"/>
    <x v="4"/>
    <n v="7270"/>
    <x v="0"/>
  </r>
  <r>
    <x v="0"/>
    <x v="1"/>
    <x v="5"/>
    <n v="46459"/>
    <x v="0"/>
  </r>
  <r>
    <x v="0"/>
    <x v="1"/>
    <x v="6"/>
    <n v="52425"/>
    <x v="0"/>
  </r>
  <r>
    <x v="0"/>
    <x v="1"/>
    <x v="0"/>
    <n v="40503"/>
    <x v="0"/>
  </r>
  <r>
    <x v="0"/>
    <x v="1"/>
    <x v="1"/>
    <n v="16607"/>
    <x v="0"/>
  </r>
  <r>
    <x v="0"/>
    <x v="1"/>
    <x v="2"/>
    <n v="23035"/>
    <x v="0"/>
  </r>
  <r>
    <x v="0"/>
    <x v="1"/>
    <x v="3"/>
    <n v="24385"/>
    <x v="0"/>
  </r>
  <r>
    <x v="0"/>
    <x v="1"/>
    <x v="4"/>
    <n v="10146"/>
    <x v="0"/>
  </r>
  <r>
    <x v="0"/>
    <x v="2"/>
    <x v="5"/>
    <n v="3402"/>
    <x v="1"/>
  </r>
  <r>
    <x v="0"/>
    <x v="2"/>
    <x v="6"/>
    <n v="4041"/>
    <x v="1"/>
  </r>
  <r>
    <x v="0"/>
    <x v="2"/>
    <x v="0"/>
    <n v="1538"/>
    <x v="1"/>
  </r>
  <r>
    <x v="0"/>
    <x v="2"/>
    <x v="1"/>
    <n v="1516"/>
    <x v="1"/>
  </r>
  <r>
    <x v="0"/>
    <x v="2"/>
    <x v="2"/>
    <n v="555"/>
    <x v="1"/>
  </r>
  <r>
    <x v="0"/>
    <x v="2"/>
    <x v="3"/>
    <n v="981"/>
    <x v="1"/>
  </r>
  <r>
    <x v="0"/>
    <x v="2"/>
    <x v="4"/>
    <n v="504"/>
    <x v="1"/>
  </r>
  <r>
    <x v="0"/>
    <x v="3"/>
    <x v="1"/>
    <n v="4858"/>
    <x v="0"/>
  </r>
  <r>
    <x v="0"/>
    <x v="3"/>
    <x v="2"/>
    <n v="13043"/>
    <x v="0"/>
  </r>
  <r>
    <x v="0"/>
    <x v="3"/>
    <x v="3"/>
    <n v="9262"/>
    <x v="0"/>
  </r>
  <r>
    <x v="0"/>
    <x v="3"/>
    <x v="4"/>
    <n v="5266"/>
    <x v="0"/>
  </r>
  <r>
    <x v="1"/>
    <x v="0"/>
    <x v="1"/>
    <n v="9943"/>
    <x v="0"/>
  </r>
  <r>
    <x v="1"/>
    <x v="0"/>
    <x v="2"/>
    <n v="12897"/>
    <x v="0"/>
  </r>
  <r>
    <x v="1"/>
    <x v="0"/>
    <x v="3"/>
    <n v="6294"/>
    <x v="0"/>
  </r>
  <r>
    <x v="1"/>
    <x v="1"/>
    <x v="1"/>
    <n v="2731"/>
    <x v="0"/>
  </r>
  <r>
    <x v="1"/>
    <x v="1"/>
    <x v="2"/>
    <n v="3686"/>
    <x v="0"/>
  </r>
  <r>
    <x v="1"/>
    <x v="1"/>
    <x v="3"/>
    <n v="4910"/>
    <x v="0"/>
  </r>
  <r>
    <x v="1"/>
    <x v="2"/>
    <x v="1"/>
    <n v="1649"/>
    <x v="1"/>
  </r>
  <r>
    <x v="1"/>
    <x v="2"/>
    <x v="2"/>
    <n v="2815"/>
    <x v="1"/>
  </r>
  <r>
    <x v="1"/>
    <x v="2"/>
    <x v="3"/>
    <n v="883"/>
    <x v="1"/>
  </r>
  <r>
    <x v="1"/>
    <x v="3"/>
    <x v="1"/>
    <n v="390"/>
    <x v="0"/>
  </r>
  <r>
    <x v="1"/>
    <x v="3"/>
    <x v="2"/>
    <n v="725"/>
    <x v="0"/>
  </r>
  <r>
    <x v="1"/>
    <x v="3"/>
    <x v="3"/>
    <n v="38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9">
  <location ref="H9:O19" firstHeaderRow="1" firstDataRow="3" firstDataCol="1" rowPageCount="1" colPageCount="1"/>
  <pivotFields count="5">
    <pivotField axis="axisCol" showAll="0">
      <items count="3">
        <item x="1"/>
        <item x="0"/>
        <item t="default"/>
      </items>
    </pivotField>
    <pivotField axis="axisPage" showAll="0">
      <items count="5">
        <item x="2"/>
        <item x="3"/>
        <item x="0"/>
        <item x="1"/>
        <item t="default"/>
      </items>
    </pivotField>
    <pivotField axis="axisRow" showAll="0">
      <items count="8">
        <item x="5"/>
        <item x="6"/>
        <item x="0"/>
        <item x="1"/>
        <item x="2"/>
        <item x="3"/>
        <item x="4"/>
        <item t="default"/>
      </items>
    </pivotField>
    <pivotField dataField="1" showAll="0"/>
    <pivotField axis="axisCol" showAll="0">
      <items count="3">
        <item x="1"/>
        <item x="0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2">
    <field x="0"/>
    <field x="4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pageFields count="1">
    <pageField fld="1" hier="-1"/>
  </pageFields>
  <dataFields count="1">
    <dataField name="Sum of Value" fld="3" baseField="0" baseItem="0"/>
  </dataFields>
  <chartFormats count="4"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4" count="1" selected="0">
            <x v="1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4" count="1" selected="0">
            <x v="1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4" count="1" selected="0">
            <x v="0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Program Type" tableColumnId="11"/>
      <queryTableField id="2" name="Work Type" tableColumnId="12"/>
      <queryTableField id="3" name="Year" tableColumnId="13"/>
      <queryTableField id="4" name="Value" tableColumnId="14"/>
      <queryTableField id="5" name="Unit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1_2" displayName="Table1_2" ref="B6:F41" tableType="queryTable" totalsRowShown="0">
  <autoFilter ref="B6:F41"/>
  <tableColumns count="5">
    <tableColumn id="11" uniqueName="11" name="Program Type" queryTableFieldId="1" dataDxfId="7"/>
    <tableColumn id="12" uniqueName="12" name="Work Type" queryTableFieldId="2" dataDxfId="6"/>
    <tableColumn id="13" uniqueName="13" name="Year" queryTableFieldId="3" dataDxfId="5"/>
    <tableColumn id="14" uniqueName="14" name="Value" queryTableFieldId="4" dataDxfId="4"/>
    <tableColumn id="15" uniqueName="15" name="Units" queryTableFieldId="5" dataDxf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6:J14" totalsRowShown="0" headerRowDxfId="2" headerRowBorderDxfId="1" tableBorderDxfId="0">
  <autoFilter ref="B6:J14"/>
  <tableColumns count="9">
    <tableColumn id="1" name="Program Type"/>
    <tableColumn id="2" name="Work Type"/>
    <tableColumn id="3" name="2016"/>
    <tableColumn id="4" name="2017"/>
    <tableColumn id="5" name="2018"/>
    <tableColumn id="6" name="2019"/>
    <tableColumn id="7" name="2020"/>
    <tableColumn id="8" name="2021"/>
    <tableColumn id="9" name="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O43"/>
  <sheetViews>
    <sheetView topLeftCell="A4" workbookViewId="0">
      <selection activeCell="B2" sqref="B2"/>
    </sheetView>
  </sheetViews>
  <sheetFormatPr defaultRowHeight="14.5" x14ac:dyDescent="0.35"/>
  <cols>
    <col min="1" max="1" width="4.6328125" customWidth="1"/>
    <col min="2" max="2" width="14.26953125" customWidth="1"/>
    <col min="3" max="3" width="14.90625" bestFit="1" customWidth="1"/>
    <col min="4" max="4" width="6.81640625" bestFit="1" customWidth="1"/>
    <col min="5" max="5" width="7.81640625" bestFit="1" customWidth="1"/>
    <col min="6" max="6" width="7.453125" bestFit="1" customWidth="1"/>
    <col min="8" max="8" width="12.36328125" customWidth="1"/>
    <col min="9" max="9" width="15.26953125" bestFit="1" customWidth="1"/>
    <col min="10" max="10" width="5.81640625" customWidth="1"/>
    <col min="11" max="11" width="8.90625" customWidth="1"/>
    <col min="12" max="12" width="9.1796875" bestFit="1" customWidth="1"/>
    <col min="13" max="13" width="6.81640625" customWidth="1"/>
    <col min="14" max="14" width="12.08984375" bestFit="1" customWidth="1"/>
    <col min="15" max="15" width="10.7265625" bestFit="1" customWidth="1"/>
  </cols>
  <sheetData>
    <row r="1" spans="2:15" s="34" customFormat="1" x14ac:dyDescent="0.35"/>
    <row r="2" spans="2:15" s="34" customFormat="1" ht="46" x14ac:dyDescent="1">
      <c r="B2" s="35" t="s">
        <v>49</v>
      </c>
    </row>
    <row r="3" spans="2:15" s="34" customFormat="1" ht="28.5" customHeight="1" x14ac:dyDescent="0.35">
      <c r="B3" s="37" t="s">
        <v>60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15" s="34" customFormat="1" x14ac:dyDescent="0.35"/>
    <row r="5" spans="2:15" s="36" customFormat="1" x14ac:dyDescent="0.35"/>
    <row r="6" spans="2:15" x14ac:dyDescent="0.35">
      <c r="B6" s="32" t="s">
        <v>28</v>
      </c>
      <c r="C6" s="32" t="s">
        <v>27</v>
      </c>
      <c r="D6" s="32" t="s">
        <v>35</v>
      </c>
      <c r="E6" s="32" t="s">
        <v>43</v>
      </c>
      <c r="F6" s="32" t="s">
        <v>44</v>
      </c>
    </row>
    <row r="7" spans="2:15" x14ac:dyDescent="0.35">
      <c r="B7" s="32" t="s">
        <v>26</v>
      </c>
      <c r="C7" s="32" t="s">
        <v>22</v>
      </c>
      <c r="D7" s="32" t="s">
        <v>38</v>
      </c>
      <c r="E7" s="32">
        <v>13761</v>
      </c>
      <c r="F7" s="32" t="s">
        <v>45</v>
      </c>
      <c r="H7" s="29" t="s">
        <v>27</v>
      </c>
      <c r="I7" t="s">
        <v>48</v>
      </c>
    </row>
    <row r="8" spans="2:15" x14ac:dyDescent="0.35">
      <c r="B8" s="32" t="s">
        <v>26</v>
      </c>
      <c r="C8" s="32" t="s">
        <v>22</v>
      </c>
      <c r="D8" s="32" t="s">
        <v>39</v>
      </c>
      <c r="E8" s="32">
        <v>16747</v>
      </c>
      <c r="F8" s="32" t="s">
        <v>45</v>
      </c>
    </row>
    <row r="9" spans="2:15" x14ac:dyDescent="0.35">
      <c r="B9" s="32" t="s">
        <v>26</v>
      </c>
      <c r="C9" s="32" t="s">
        <v>22</v>
      </c>
      <c r="D9" s="32" t="s">
        <v>40</v>
      </c>
      <c r="E9" s="32">
        <v>15246</v>
      </c>
      <c r="F9" s="32" t="s">
        <v>45</v>
      </c>
      <c r="H9" s="29" t="s">
        <v>47</v>
      </c>
      <c r="I9" s="29" t="s">
        <v>32</v>
      </c>
    </row>
    <row r="10" spans="2:15" x14ac:dyDescent="0.35">
      <c r="B10" s="32" t="s">
        <v>26</v>
      </c>
      <c r="C10" s="32" t="s">
        <v>22</v>
      </c>
      <c r="D10" s="32" t="s">
        <v>41</v>
      </c>
      <c r="E10" s="32">
        <v>13915</v>
      </c>
      <c r="F10" s="32" t="s">
        <v>45</v>
      </c>
      <c r="I10" t="s">
        <v>29</v>
      </c>
      <c r="K10" t="s">
        <v>33</v>
      </c>
      <c r="L10" t="s">
        <v>26</v>
      </c>
      <c r="N10" t="s">
        <v>34</v>
      </c>
      <c r="O10" t="s">
        <v>31</v>
      </c>
    </row>
    <row r="11" spans="2:15" x14ac:dyDescent="0.35">
      <c r="B11" s="32" t="s">
        <v>26</v>
      </c>
      <c r="C11" s="32" t="s">
        <v>22</v>
      </c>
      <c r="D11" s="32" t="s">
        <v>42</v>
      </c>
      <c r="E11" s="32">
        <v>7270</v>
      </c>
      <c r="F11" s="32" t="s">
        <v>45</v>
      </c>
      <c r="H11" s="29" t="s">
        <v>30</v>
      </c>
      <c r="I11" t="s">
        <v>46</v>
      </c>
      <c r="J11" t="s">
        <v>45</v>
      </c>
      <c r="L11" t="s">
        <v>46</v>
      </c>
      <c r="M11" t="s">
        <v>45</v>
      </c>
    </row>
    <row r="12" spans="2:15" x14ac:dyDescent="0.35">
      <c r="B12" s="32" t="s">
        <v>26</v>
      </c>
      <c r="C12" s="32" t="s">
        <v>23</v>
      </c>
      <c r="D12" s="32" t="s">
        <v>36</v>
      </c>
      <c r="E12" s="32">
        <v>46459</v>
      </c>
      <c r="F12" s="32" t="s">
        <v>45</v>
      </c>
      <c r="H12" s="30" t="s">
        <v>36</v>
      </c>
      <c r="I12" s="32"/>
      <c r="J12" s="32"/>
      <c r="K12" s="32"/>
      <c r="L12" s="32">
        <v>3402</v>
      </c>
      <c r="M12" s="32">
        <v>46459</v>
      </c>
      <c r="N12" s="32">
        <v>49861</v>
      </c>
      <c r="O12" s="32">
        <v>49861</v>
      </c>
    </row>
    <row r="13" spans="2:15" x14ac:dyDescent="0.35">
      <c r="B13" s="32" t="s">
        <v>26</v>
      </c>
      <c r="C13" s="32" t="s">
        <v>23</v>
      </c>
      <c r="D13" s="32" t="s">
        <v>37</v>
      </c>
      <c r="E13" s="32">
        <v>52425</v>
      </c>
      <c r="F13" s="32" t="s">
        <v>45</v>
      </c>
      <c r="H13" s="30" t="s">
        <v>37</v>
      </c>
      <c r="I13" s="32"/>
      <c r="J13" s="32"/>
      <c r="K13" s="32"/>
      <c r="L13" s="32">
        <v>4041</v>
      </c>
      <c r="M13" s="32">
        <v>52425</v>
      </c>
      <c r="N13" s="32">
        <v>56466</v>
      </c>
      <c r="O13" s="32">
        <v>56466</v>
      </c>
    </row>
    <row r="14" spans="2:15" x14ac:dyDescent="0.35">
      <c r="B14" s="32" t="s">
        <v>26</v>
      </c>
      <c r="C14" s="32" t="s">
        <v>23</v>
      </c>
      <c r="D14" s="32" t="s">
        <v>38</v>
      </c>
      <c r="E14" s="32">
        <v>40503</v>
      </c>
      <c r="F14" s="32" t="s">
        <v>45</v>
      </c>
      <c r="H14" s="30" t="s">
        <v>38</v>
      </c>
      <c r="I14" s="32"/>
      <c r="J14" s="32"/>
      <c r="K14" s="32"/>
      <c r="L14" s="32">
        <v>1538</v>
      </c>
      <c r="M14" s="32">
        <v>54264</v>
      </c>
      <c r="N14" s="32">
        <v>55802</v>
      </c>
      <c r="O14" s="32">
        <v>55802</v>
      </c>
    </row>
    <row r="15" spans="2:15" x14ac:dyDescent="0.35">
      <c r="B15" s="32" t="s">
        <v>26</v>
      </c>
      <c r="C15" s="32" t="s">
        <v>23</v>
      </c>
      <c r="D15" s="32" t="s">
        <v>39</v>
      </c>
      <c r="E15" s="32">
        <v>16607</v>
      </c>
      <c r="F15" s="32" t="s">
        <v>45</v>
      </c>
      <c r="H15" s="30" t="s">
        <v>39</v>
      </c>
      <c r="I15" s="32">
        <v>1649</v>
      </c>
      <c r="J15" s="32">
        <v>13064</v>
      </c>
      <c r="K15" s="32">
        <v>14713</v>
      </c>
      <c r="L15" s="32">
        <v>1516</v>
      </c>
      <c r="M15" s="32">
        <v>38212</v>
      </c>
      <c r="N15" s="32">
        <v>39728</v>
      </c>
      <c r="O15" s="32">
        <v>54441</v>
      </c>
    </row>
    <row r="16" spans="2:15" x14ac:dyDescent="0.35">
      <c r="B16" s="32" t="s">
        <v>26</v>
      </c>
      <c r="C16" s="32" t="s">
        <v>23</v>
      </c>
      <c r="D16" s="32" t="s">
        <v>40</v>
      </c>
      <c r="E16" s="32">
        <v>23035</v>
      </c>
      <c r="F16" s="32" t="s">
        <v>45</v>
      </c>
      <c r="H16" s="30" t="s">
        <v>40</v>
      </c>
      <c r="I16" s="32">
        <v>2815</v>
      </c>
      <c r="J16" s="32">
        <v>17308</v>
      </c>
      <c r="K16" s="32">
        <v>20123</v>
      </c>
      <c r="L16" s="32">
        <v>555</v>
      </c>
      <c r="M16" s="32">
        <v>51324</v>
      </c>
      <c r="N16" s="32">
        <v>51879</v>
      </c>
      <c r="O16" s="32">
        <v>72002</v>
      </c>
    </row>
    <row r="17" spans="2:15" x14ac:dyDescent="0.35">
      <c r="B17" s="32" t="s">
        <v>26</v>
      </c>
      <c r="C17" s="32" t="s">
        <v>23</v>
      </c>
      <c r="D17" s="32" t="s">
        <v>41</v>
      </c>
      <c r="E17" s="32">
        <v>24385</v>
      </c>
      <c r="F17" s="32" t="s">
        <v>45</v>
      </c>
      <c r="H17" s="30" t="s">
        <v>41</v>
      </c>
      <c r="I17" s="32">
        <v>883</v>
      </c>
      <c r="J17" s="32">
        <v>11587</v>
      </c>
      <c r="K17" s="32">
        <v>12470</v>
      </c>
      <c r="L17" s="32">
        <v>981</v>
      </c>
      <c r="M17" s="32">
        <v>47562</v>
      </c>
      <c r="N17" s="32">
        <v>48543</v>
      </c>
      <c r="O17" s="32">
        <v>61013</v>
      </c>
    </row>
    <row r="18" spans="2:15" x14ac:dyDescent="0.35">
      <c r="B18" s="32" t="s">
        <v>26</v>
      </c>
      <c r="C18" s="32" t="s">
        <v>23</v>
      </c>
      <c r="D18" s="32" t="s">
        <v>42</v>
      </c>
      <c r="E18" s="32">
        <v>10146</v>
      </c>
      <c r="F18" s="32" t="s">
        <v>45</v>
      </c>
      <c r="H18" s="30" t="s">
        <v>42</v>
      </c>
      <c r="I18" s="32"/>
      <c r="J18" s="32"/>
      <c r="K18" s="32"/>
      <c r="L18" s="32">
        <v>504</v>
      </c>
      <c r="M18" s="32">
        <v>22682</v>
      </c>
      <c r="N18" s="32">
        <v>23186</v>
      </c>
      <c r="O18" s="32">
        <v>23186</v>
      </c>
    </row>
    <row r="19" spans="2:15" x14ac:dyDescent="0.35">
      <c r="B19" s="32" t="s">
        <v>26</v>
      </c>
      <c r="C19" s="32" t="s">
        <v>24</v>
      </c>
      <c r="D19" s="32" t="s">
        <v>36</v>
      </c>
      <c r="E19" s="32">
        <v>3402</v>
      </c>
      <c r="F19" s="32" t="s">
        <v>46</v>
      </c>
      <c r="H19" s="30" t="s">
        <v>31</v>
      </c>
      <c r="I19" s="32">
        <v>5347</v>
      </c>
      <c r="J19" s="32">
        <v>41959</v>
      </c>
      <c r="K19" s="32">
        <v>47306</v>
      </c>
      <c r="L19" s="32">
        <v>12537</v>
      </c>
      <c r="M19" s="32">
        <v>312928</v>
      </c>
      <c r="N19" s="32">
        <v>325465</v>
      </c>
      <c r="O19" s="32">
        <v>372771</v>
      </c>
    </row>
    <row r="20" spans="2:15" x14ac:dyDescent="0.35">
      <c r="B20" s="32" t="s">
        <v>26</v>
      </c>
      <c r="C20" s="32" t="s">
        <v>24</v>
      </c>
      <c r="D20" s="32" t="s">
        <v>37</v>
      </c>
      <c r="E20" s="32">
        <v>4041</v>
      </c>
      <c r="F20" s="32" t="s">
        <v>46</v>
      </c>
    </row>
    <row r="21" spans="2:15" x14ac:dyDescent="0.35">
      <c r="B21" s="32" t="s">
        <v>26</v>
      </c>
      <c r="C21" s="32" t="s">
        <v>24</v>
      </c>
      <c r="D21" s="32" t="s">
        <v>38</v>
      </c>
      <c r="E21" s="32">
        <v>1538</v>
      </c>
      <c r="F21" s="32" t="s">
        <v>46</v>
      </c>
    </row>
    <row r="22" spans="2:15" x14ac:dyDescent="0.35">
      <c r="B22" s="32" t="s">
        <v>26</v>
      </c>
      <c r="C22" s="32" t="s">
        <v>24</v>
      </c>
      <c r="D22" s="32" t="s">
        <v>39</v>
      </c>
      <c r="E22" s="32">
        <v>1516</v>
      </c>
      <c r="F22" s="32" t="s">
        <v>46</v>
      </c>
    </row>
    <row r="23" spans="2:15" x14ac:dyDescent="0.35">
      <c r="B23" s="32" t="s">
        <v>26</v>
      </c>
      <c r="C23" s="32" t="s">
        <v>24</v>
      </c>
      <c r="D23" s="32" t="s">
        <v>40</v>
      </c>
      <c r="E23" s="32">
        <v>555</v>
      </c>
      <c r="F23" s="32" t="s">
        <v>46</v>
      </c>
    </row>
    <row r="24" spans="2:15" x14ac:dyDescent="0.35">
      <c r="B24" s="32" t="s">
        <v>26</v>
      </c>
      <c r="C24" s="32" t="s">
        <v>24</v>
      </c>
      <c r="D24" s="32" t="s">
        <v>41</v>
      </c>
      <c r="E24" s="32">
        <v>981</v>
      </c>
      <c r="F24" s="32" t="s">
        <v>46</v>
      </c>
    </row>
    <row r="25" spans="2:15" x14ac:dyDescent="0.35">
      <c r="B25" s="32" t="s">
        <v>26</v>
      </c>
      <c r="C25" s="32" t="s">
        <v>24</v>
      </c>
      <c r="D25" s="32" t="s">
        <v>42</v>
      </c>
      <c r="E25" s="32">
        <v>504</v>
      </c>
      <c r="F25" s="32" t="s">
        <v>46</v>
      </c>
    </row>
    <row r="26" spans="2:15" x14ac:dyDescent="0.35">
      <c r="B26" s="32" t="s">
        <v>26</v>
      </c>
      <c r="C26" s="32" t="s">
        <v>25</v>
      </c>
      <c r="D26" s="32" t="s">
        <v>39</v>
      </c>
      <c r="E26" s="32">
        <v>4858</v>
      </c>
      <c r="F26" s="32" t="s">
        <v>45</v>
      </c>
    </row>
    <row r="27" spans="2:15" x14ac:dyDescent="0.35">
      <c r="B27" s="32" t="s">
        <v>26</v>
      </c>
      <c r="C27" s="32" t="s">
        <v>25</v>
      </c>
      <c r="D27" s="32" t="s">
        <v>40</v>
      </c>
      <c r="E27" s="32">
        <v>13043</v>
      </c>
      <c r="F27" s="32" t="s">
        <v>45</v>
      </c>
    </row>
    <row r="28" spans="2:15" x14ac:dyDescent="0.35">
      <c r="B28" s="32" t="s">
        <v>26</v>
      </c>
      <c r="C28" s="32" t="s">
        <v>25</v>
      </c>
      <c r="D28" s="32" t="s">
        <v>41</v>
      </c>
      <c r="E28" s="32">
        <v>9262</v>
      </c>
      <c r="F28" s="32" t="s">
        <v>45</v>
      </c>
    </row>
    <row r="29" spans="2:15" x14ac:dyDescent="0.35">
      <c r="B29" s="32" t="s">
        <v>26</v>
      </c>
      <c r="C29" s="32" t="s">
        <v>25</v>
      </c>
      <c r="D29" s="32" t="s">
        <v>42</v>
      </c>
      <c r="E29" s="32">
        <v>5266</v>
      </c>
      <c r="F29" s="32" t="s">
        <v>45</v>
      </c>
    </row>
    <row r="30" spans="2:15" x14ac:dyDescent="0.35">
      <c r="B30" s="32" t="s">
        <v>29</v>
      </c>
      <c r="C30" s="32" t="s">
        <v>22</v>
      </c>
      <c r="D30" s="32" t="s">
        <v>39</v>
      </c>
      <c r="E30" s="32">
        <v>9943</v>
      </c>
      <c r="F30" s="32" t="s">
        <v>45</v>
      </c>
    </row>
    <row r="31" spans="2:15" x14ac:dyDescent="0.35">
      <c r="B31" s="32" t="s">
        <v>29</v>
      </c>
      <c r="C31" s="32" t="s">
        <v>22</v>
      </c>
      <c r="D31" s="32" t="s">
        <v>40</v>
      </c>
      <c r="E31" s="32">
        <v>12897</v>
      </c>
      <c r="F31" s="32" t="s">
        <v>45</v>
      </c>
    </row>
    <row r="32" spans="2:15" x14ac:dyDescent="0.35">
      <c r="B32" s="32" t="s">
        <v>29</v>
      </c>
      <c r="C32" s="32" t="s">
        <v>22</v>
      </c>
      <c r="D32" s="32" t="s">
        <v>41</v>
      </c>
      <c r="E32" s="32">
        <v>6294</v>
      </c>
      <c r="F32" s="32" t="s">
        <v>45</v>
      </c>
    </row>
    <row r="33" spans="2:6" x14ac:dyDescent="0.35">
      <c r="B33" s="32" t="s">
        <v>29</v>
      </c>
      <c r="C33" s="32" t="s">
        <v>23</v>
      </c>
      <c r="D33" s="32" t="s">
        <v>39</v>
      </c>
      <c r="E33" s="32">
        <v>2731</v>
      </c>
      <c r="F33" s="32" t="s">
        <v>45</v>
      </c>
    </row>
    <row r="34" spans="2:6" x14ac:dyDescent="0.35">
      <c r="B34" s="32" t="s">
        <v>29</v>
      </c>
      <c r="C34" s="32" t="s">
        <v>23</v>
      </c>
      <c r="D34" s="32" t="s">
        <v>40</v>
      </c>
      <c r="E34" s="32">
        <v>3686</v>
      </c>
      <c r="F34" s="32" t="s">
        <v>45</v>
      </c>
    </row>
    <row r="35" spans="2:6" x14ac:dyDescent="0.35">
      <c r="B35" s="32" t="s">
        <v>29</v>
      </c>
      <c r="C35" s="32" t="s">
        <v>23</v>
      </c>
      <c r="D35" s="32" t="s">
        <v>41</v>
      </c>
      <c r="E35" s="32">
        <v>4910</v>
      </c>
      <c r="F35" s="32" t="s">
        <v>45</v>
      </c>
    </row>
    <row r="36" spans="2:6" x14ac:dyDescent="0.35">
      <c r="B36" s="32" t="s">
        <v>29</v>
      </c>
      <c r="C36" s="32" t="s">
        <v>24</v>
      </c>
      <c r="D36" s="32" t="s">
        <v>39</v>
      </c>
      <c r="E36" s="32">
        <v>1649</v>
      </c>
      <c r="F36" s="32" t="s">
        <v>46</v>
      </c>
    </row>
    <row r="37" spans="2:6" x14ac:dyDescent="0.35">
      <c r="B37" s="32" t="s">
        <v>29</v>
      </c>
      <c r="C37" s="32" t="s">
        <v>24</v>
      </c>
      <c r="D37" s="32" t="s">
        <v>40</v>
      </c>
      <c r="E37" s="32">
        <v>2815</v>
      </c>
      <c r="F37" s="32" t="s">
        <v>46</v>
      </c>
    </row>
    <row r="38" spans="2:6" x14ac:dyDescent="0.35">
      <c r="B38" s="32" t="s">
        <v>29</v>
      </c>
      <c r="C38" s="32" t="s">
        <v>24</v>
      </c>
      <c r="D38" s="32" t="s">
        <v>41</v>
      </c>
      <c r="E38" s="32">
        <v>883</v>
      </c>
      <c r="F38" s="32" t="s">
        <v>46</v>
      </c>
    </row>
    <row r="39" spans="2:6" x14ac:dyDescent="0.35">
      <c r="B39" s="32" t="s">
        <v>29</v>
      </c>
      <c r="C39" s="32" t="s">
        <v>25</v>
      </c>
      <c r="D39" s="32" t="s">
        <v>39</v>
      </c>
      <c r="E39" s="32">
        <v>390</v>
      </c>
      <c r="F39" s="32" t="s">
        <v>45</v>
      </c>
    </row>
    <row r="40" spans="2:6" x14ac:dyDescent="0.35">
      <c r="B40" s="32" t="s">
        <v>29</v>
      </c>
      <c r="C40" s="32" t="s">
        <v>25</v>
      </c>
      <c r="D40" s="32" t="s">
        <v>40</v>
      </c>
      <c r="E40" s="32">
        <v>725</v>
      </c>
      <c r="F40" s="32" t="s">
        <v>45</v>
      </c>
    </row>
    <row r="41" spans="2:6" x14ac:dyDescent="0.35">
      <c r="B41" s="32" t="s">
        <v>29</v>
      </c>
      <c r="C41" s="32" t="s">
        <v>25</v>
      </c>
      <c r="D41" s="32" t="s">
        <v>41</v>
      </c>
      <c r="E41" s="32">
        <v>383</v>
      </c>
      <c r="F41" s="32" t="s">
        <v>45</v>
      </c>
    </row>
    <row r="43" spans="2:6" x14ac:dyDescent="0.35">
      <c r="B43" s="23" t="s">
        <v>50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21"/>
  <sheetViews>
    <sheetView workbookViewId="0">
      <selection activeCell="B2" sqref="B2"/>
    </sheetView>
  </sheetViews>
  <sheetFormatPr defaultRowHeight="14.5" x14ac:dyDescent="0.35"/>
  <cols>
    <col min="1" max="1" width="5.1796875" customWidth="1"/>
    <col min="2" max="2" width="24.81640625" bestFit="1" customWidth="1"/>
    <col min="3" max="3" width="14.90625" bestFit="1" customWidth="1"/>
    <col min="12" max="12" width="18.7265625" customWidth="1"/>
    <col min="13" max="13" width="15.26953125" customWidth="1"/>
    <col min="14" max="14" width="11.08984375" bestFit="1" customWidth="1"/>
    <col min="15" max="15" width="11.08984375" customWidth="1"/>
    <col min="16" max="18" width="15.6328125" bestFit="1" customWidth="1"/>
    <col min="19" max="24" width="15.6328125" customWidth="1"/>
    <col min="25" max="27" width="11.08984375" customWidth="1"/>
    <col min="28" max="36" width="16.6328125" customWidth="1"/>
    <col min="37" max="39" width="11.08984375" customWidth="1"/>
    <col min="40" max="42" width="16.6328125" customWidth="1"/>
    <col min="43" max="46" width="11.08984375" customWidth="1"/>
    <col min="47" max="47" width="11.08984375" bestFit="1" customWidth="1"/>
    <col min="48" max="48" width="11.08984375" customWidth="1"/>
    <col min="49" max="57" width="17.6328125" bestFit="1" customWidth="1"/>
    <col min="58" max="60" width="15.90625" bestFit="1" customWidth="1"/>
  </cols>
  <sheetData>
    <row r="1" spans="2:60" s="34" customFormat="1" x14ac:dyDescent="0.35"/>
    <row r="2" spans="2:60" s="34" customFormat="1" ht="46" x14ac:dyDescent="1">
      <c r="B2" s="35" t="s">
        <v>58</v>
      </c>
    </row>
    <row r="3" spans="2:60" s="34" customFormat="1" ht="28.5" customHeight="1" x14ac:dyDescent="0.35">
      <c r="B3" s="37" t="s">
        <v>59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2:60" s="34" customFormat="1" x14ac:dyDescent="0.35"/>
    <row r="6" spans="2:60" ht="15" thickBot="1" x14ac:dyDescent="0.4">
      <c r="B6" s="33" t="s">
        <v>28</v>
      </c>
      <c r="C6" s="33" t="s">
        <v>27</v>
      </c>
      <c r="D6" s="33" t="s">
        <v>36</v>
      </c>
      <c r="E6" s="33" t="s">
        <v>37</v>
      </c>
      <c r="F6" s="33" t="s">
        <v>38</v>
      </c>
      <c r="G6" s="33" t="s">
        <v>39</v>
      </c>
      <c r="H6" s="33" t="s">
        <v>40</v>
      </c>
      <c r="I6" s="33" t="s">
        <v>41</v>
      </c>
      <c r="J6" s="33" t="s">
        <v>42</v>
      </c>
    </row>
    <row r="7" spans="2:60" x14ac:dyDescent="0.35">
      <c r="B7" t="s">
        <v>26</v>
      </c>
      <c r="C7" t="s">
        <v>22</v>
      </c>
      <c r="F7">
        <v>13761</v>
      </c>
      <c r="G7">
        <v>16747</v>
      </c>
      <c r="H7">
        <v>15246</v>
      </c>
      <c r="I7">
        <v>13915</v>
      </c>
      <c r="J7">
        <v>7270</v>
      </c>
    </row>
    <row r="8" spans="2:60" x14ac:dyDescent="0.35">
      <c r="B8" t="s">
        <v>26</v>
      </c>
      <c r="C8" t="s">
        <v>23</v>
      </c>
      <c r="D8">
        <v>46459</v>
      </c>
      <c r="E8">
        <v>52425</v>
      </c>
      <c r="F8">
        <v>40503</v>
      </c>
      <c r="G8">
        <v>16607</v>
      </c>
      <c r="H8">
        <v>23035</v>
      </c>
      <c r="I8">
        <v>24385</v>
      </c>
      <c r="J8">
        <v>10146</v>
      </c>
    </row>
    <row r="9" spans="2:60" x14ac:dyDescent="0.35">
      <c r="B9" t="s">
        <v>26</v>
      </c>
      <c r="C9" t="s">
        <v>24</v>
      </c>
      <c r="D9">
        <v>3402</v>
      </c>
      <c r="E9">
        <v>4041</v>
      </c>
      <c r="F9">
        <v>1538</v>
      </c>
      <c r="G9">
        <v>1516</v>
      </c>
      <c r="H9">
        <v>555</v>
      </c>
      <c r="I9">
        <v>981</v>
      </c>
      <c r="J9">
        <v>504</v>
      </c>
    </row>
    <row r="10" spans="2:60" x14ac:dyDescent="0.35">
      <c r="B10" t="s">
        <v>26</v>
      </c>
      <c r="C10" t="s">
        <v>25</v>
      </c>
      <c r="G10">
        <v>4858</v>
      </c>
      <c r="H10">
        <v>13043</v>
      </c>
      <c r="I10">
        <v>9262</v>
      </c>
      <c r="J10">
        <v>5266</v>
      </c>
    </row>
    <row r="11" spans="2:60" x14ac:dyDescent="0.35">
      <c r="B11" t="s">
        <v>29</v>
      </c>
      <c r="C11" t="s">
        <v>22</v>
      </c>
      <c r="G11">
        <v>9943</v>
      </c>
      <c r="H11">
        <v>12897</v>
      </c>
      <c r="I11">
        <v>6294</v>
      </c>
    </row>
    <row r="12" spans="2:60" x14ac:dyDescent="0.35">
      <c r="B12" t="s">
        <v>29</v>
      </c>
      <c r="C12" t="s">
        <v>23</v>
      </c>
      <c r="G12">
        <v>2731</v>
      </c>
      <c r="H12">
        <v>3686</v>
      </c>
      <c r="I12">
        <v>4910</v>
      </c>
      <c r="L12" s="30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2:60" x14ac:dyDescent="0.35">
      <c r="B13" t="s">
        <v>29</v>
      </c>
      <c r="C13" t="s">
        <v>24</v>
      </c>
      <c r="G13">
        <v>1649</v>
      </c>
      <c r="H13">
        <v>2815</v>
      </c>
      <c r="I13">
        <v>883</v>
      </c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2:60" x14ac:dyDescent="0.35">
      <c r="B14" t="s">
        <v>29</v>
      </c>
      <c r="C14" t="s">
        <v>25</v>
      </c>
      <c r="G14">
        <v>390</v>
      </c>
      <c r="H14">
        <v>725</v>
      </c>
      <c r="I14">
        <v>383</v>
      </c>
      <c r="L14" s="3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2:60" x14ac:dyDescent="0.35">
      <c r="L15" s="31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2:60" x14ac:dyDescent="0.35">
      <c r="B16" s="23" t="s">
        <v>50</v>
      </c>
      <c r="L16" s="30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2:60" x14ac:dyDescent="0.35">
      <c r="L17" s="31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</row>
    <row r="18" spans="12:60" x14ac:dyDescent="0.35">
      <c r="L18" s="31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12:60" x14ac:dyDescent="0.35">
      <c r="L19" s="31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2:60" x14ac:dyDescent="0.35">
      <c r="L20" s="31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2:60" x14ac:dyDescent="0.35">
      <c r="L21" s="30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71"/>
  <sheetViews>
    <sheetView tabSelected="1" topLeftCell="A39" zoomScale="120" zoomScaleNormal="120" workbookViewId="0">
      <selection activeCell="G22" sqref="G22"/>
    </sheetView>
  </sheetViews>
  <sheetFormatPr defaultRowHeight="14.5" x14ac:dyDescent="0.35"/>
  <cols>
    <col min="1" max="1" width="4.7265625" customWidth="1"/>
    <col min="2" max="2" width="50.1796875" customWidth="1"/>
    <col min="3" max="3" width="10.81640625" customWidth="1"/>
    <col min="4" max="6" width="8.81640625" bestFit="1" customWidth="1"/>
    <col min="7" max="7" width="9" bestFit="1" customWidth="1"/>
    <col min="8" max="11" width="8.81640625" bestFit="1" customWidth="1"/>
    <col min="12" max="12" width="9" bestFit="1" customWidth="1"/>
    <col min="13" max="15" width="8.81640625" bestFit="1" customWidth="1"/>
  </cols>
  <sheetData>
    <row r="1" spans="2:15" s="34" customFormat="1" x14ac:dyDescent="0.35"/>
    <row r="2" spans="2:15" s="34" customFormat="1" ht="46" x14ac:dyDescent="1">
      <c r="B2" s="35" t="s">
        <v>57</v>
      </c>
    </row>
    <row r="3" spans="2:15" s="34" customFormat="1" ht="28.5" customHeight="1" x14ac:dyDescent="0.35">
      <c r="B3" s="37" t="s">
        <v>56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2:15" s="34" customFormat="1" x14ac:dyDescent="0.35"/>
    <row r="5" spans="2:15" ht="15" thickBot="1" x14ac:dyDescent="0.4"/>
    <row r="6" spans="2:15" ht="15.5" thickTop="1" thickBot="1" x14ac:dyDescent="0.4">
      <c r="C6" s="19">
        <v>2011</v>
      </c>
      <c r="D6" s="19">
        <v>2012</v>
      </c>
      <c r="E6" s="19">
        <v>2013</v>
      </c>
      <c r="F6" s="19">
        <v>2014</v>
      </c>
      <c r="G6" s="19">
        <v>2015</v>
      </c>
      <c r="H6" s="19">
        <v>2016</v>
      </c>
      <c r="I6" s="19">
        <v>2017</v>
      </c>
      <c r="J6" s="19">
        <v>2018</v>
      </c>
      <c r="K6" s="19">
        <v>2019</v>
      </c>
      <c r="L6" s="20">
        <v>2020</v>
      </c>
      <c r="M6" s="19">
        <v>2021</v>
      </c>
      <c r="N6" s="21" t="s">
        <v>10</v>
      </c>
      <c r="O6" s="22" t="s">
        <v>11</v>
      </c>
    </row>
    <row r="7" spans="2:15" x14ac:dyDescent="0.35">
      <c r="B7" s="2" t="s">
        <v>6</v>
      </c>
      <c r="N7" s="14"/>
      <c r="O7" s="1"/>
    </row>
    <row r="8" spans="2:15" x14ac:dyDescent="0.35">
      <c r="B8" t="s">
        <v>1</v>
      </c>
      <c r="C8" s="7">
        <v>1662.89</v>
      </c>
      <c r="D8" s="7">
        <v>1470.7</v>
      </c>
      <c r="E8" s="7">
        <v>1711.7899999999995</v>
      </c>
      <c r="F8" s="7">
        <f>1568+24.54</f>
        <v>1592.54</v>
      </c>
      <c r="G8" s="7">
        <v>1447.8199999999997</v>
      </c>
      <c r="H8" s="7">
        <f>870+1103</f>
        <v>1973</v>
      </c>
      <c r="I8" s="7">
        <f>694.856+272.494</f>
        <v>967.35</v>
      </c>
      <c r="J8" s="7">
        <f>715.854+0</f>
        <v>715.85400000000004</v>
      </c>
      <c r="K8" s="7">
        <f>273.08+58.3</f>
        <v>331.38</v>
      </c>
      <c r="L8" s="7">
        <v>516.24</v>
      </c>
      <c r="M8" s="7">
        <f>842.628+707</f>
        <v>1549.6280000000002</v>
      </c>
      <c r="N8" s="15">
        <f>AVERAGE(H8:M8)</f>
        <v>1008.9086666666666</v>
      </c>
      <c r="O8" s="10">
        <f>AVERAGE(C8:M8)</f>
        <v>1267.1992727272725</v>
      </c>
    </row>
    <row r="9" spans="2:15" x14ac:dyDescent="0.35">
      <c r="B9" t="s">
        <v>17</v>
      </c>
      <c r="C9" s="7">
        <v>1767.13</v>
      </c>
      <c r="D9" s="7">
        <f>1296+68</f>
        <v>1364</v>
      </c>
      <c r="E9" s="7">
        <v>1823</v>
      </c>
      <c r="F9" s="7">
        <v>1190</v>
      </c>
      <c r="G9" s="7">
        <v>1245</v>
      </c>
      <c r="H9" s="7"/>
      <c r="I9" s="7"/>
      <c r="J9" s="7"/>
      <c r="K9" s="7"/>
      <c r="L9" s="7"/>
      <c r="M9" s="27"/>
      <c r="N9" s="10"/>
      <c r="O9" s="10"/>
    </row>
    <row r="10" spans="2:15" x14ac:dyDescent="0.35">
      <c r="B10" t="s">
        <v>18</v>
      </c>
      <c r="C10" s="7">
        <v>34</v>
      </c>
      <c r="D10" s="7">
        <f>35+2+6+54+18</f>
        <v>115</v>
      </c>
      <c r="E10" s="7">
        <v>7</v>
      </c>
      <c r="F10" s="7">
        <v>219</v>
      </c>
      <c r="G10" s="7">
        <v>264</v>
      </c>
      <c r="H10" s="7">
        <v>44</v>
      </c>
      <c r="I10" s="7">
        <v>13.4</v>
      </c>
      <c r="J10" s="7">
        <v>125.1</v>
      </c>
      <c r="K10" s="7"/>
      <c r="L10" s="7"/>
      <c r="M10" s="27"/>
      <c r="N10" s="10"/>
      <c r="O10" s="10"/>
    </row>
    <row r="11" spans="2:15" x14ac:dyDescent="0.35">
      <c r="B11" t="s">
        <v>8</v>
      </c>
      <c r="C11" s="7">
        <f>C13</f>
        <v>102.13</v>
      </c>
      <c r="D11" s="7">
        <f>D13</f>
        <v>167.3</v>
      </c>
      <c r="E11" s="7">
        <f>E13</f>
        <v>141.72</v>
      </c>
      <c r="F11" s="7">
        <v>694.61</v>
      </c>
      <c r="G11" s="8">
        <v>774.97000000000014</v>
      </c>
      <c r="H11" s="7">
        <v>744</v>
      </c>
      <c r="I11" s="7">
        <v>840.67200000000003</v>
      </c>
      <c r="J11" s="7">
        <v>458.41</v>
      </c>
      <c r="K11" s="7">
        <v>738.86</v>
      </c>
      <c r="L11" s="7">
        <v>381.6</v>
      </c>
      <c r="M11" s="27">
        <v>698.56659999999999</v>
      </c>
      <c r="N11" s="10">
        <f>AVERAGE(H11:M11)</f>
        <v>643.68476666666663</v>
      </c>
      <c r="O11" s="10">
        <f>AVERAGE(C11:M11)</f>
        <v>522.07623636363633</v>
      </c>
    </row>
    <row r="12" spans="2:15" x14ac:dyDescent="0.35">
      <c r="B12" t="s">
        <v>4</v>
      </c>
      <c r="C12" s="7">
        <v>1645</v>
      </c>
      <c r="D12" s="7">
        <v>1128.76</v>
      </c>
      <c r="E12" s="7">
        <v>1243.5735</v>
      </c>
      <c r="F12" s="7">
        <f>1193.93+24.54</f>
        <v>1218.47</v>
      </c>
      <c r="G12" s="7">
        <v>878</v>
      </c>
      <c r="H12" s="7">
        <f>503+938</f>
        <v>1441</v>
      </c>
      <c r="I12" s="7">
        <f>255.21+1014.4</f>
        <v>1269.6099999999999</v>
      </c>
      <c r="J12" s="7">
        <f>444.756+425.68</f>
        <v>870.43599999999992</v>
      </c>
      <c r="K12" s="7">
        <f>157.46+57.1</f>
        <v>214.56</v>
      </c>
      <c r="L12" s="7">
        <v>284.59199999999998</v>
      </c>
      <c r="M12" s="27">
        <f>474.4421+514</f>
        <v>988.44209999999998</v>
      </c>
      <c r="N12" s="10">
        <f>AVERAGE(H12:M12)</f>
        <v>844.77334999999994</v>
      </c>
      <c r="O12" s="10">
        <f>AVERAGE(C12:M12)</f>
        <v>1016.5857818181819</v>
      </c>
    </row>
    <row r="13" spans="2:15" x14ac:dyDescent="0.35">
      <c r="B13" s="1" t="s">
        <v>9</v>
      </c>
      <c r="C13" s="8">
        <v>102.13</v>
      </c>
      <c r="D13" s="8">
        <v>167.3</v>
      </c>
      <c r="E13" s="8">
        <v>141.72</v>
      </c>
      <c r="F13" s="8">
        <v>436.59</v>
      </c>
      <c r="G13" s="8">
        <v>545</v>
      </c>
      <c r="H13" s="8">
        <v>545</v>
      </c>
      <c r="I13" s="8">
        <v>623.31029999999998</v>
      </c>
      <c r="J13" s="8">
        <v>241.30799999999999</v>
      </c>
      <c r="K13" s="8">
        <v>343.06099999999998</v>
      </c>
      <c r="L13" s="8">
        <v>255.49</v>
      </c>
      <c r="M13" s="27">
        <v>506.9237273</v>
      </c>
      <c r="N13" s="10">
        <f t="shared" ref="N13:N35" si="0">AVERAGE(H13:M13)</f>
        <v>419.18217121666663</v>
      </c>
      <c r="O13" s="10">
        <f t="shared" ref="O13:O35" si="1">AVERAGE(C13:M13)</f>
        <v>355.25754793636366</v>
      </c>
    </row>
    <row r="14" spans="2:15" x14ac:dyDescent="0.35">
      <c r="B14" t="s">
        <v>19</v>
      </c>
      <c r="C14" s="7">
        <f>715+687.89</f>
        <v>1402.8899999999999</v>
      </c>
      <c r="D14" s="7">
        <f>1145+68</f>
        <v>1213</v>
      </c>
      <c r="E14" s="7">
        <v>1823</v>
      </c>
      <c r="F14" s="7">
        <v>1190</v>
      </c>
      <c r="G14" s="7">
        <v>513.79999999999995</v>
      </c>
      <c r="H14" s="7"/>
      <c r="I14" s="7"/>
      <c r="J14" s="7"/>
      <c r="K14" s="7"/>
      <c r="L14" s="7"/>
      <c r="M14" s="27"/>
      <c r="N14" s="10"/>
      <c r="O14" s="10"/>
    </row>
    <row r="15" spans="2:15" x14ac:dyDescent="0.35">
      <c r="B15" t="s">
        <v>20</v>
      </c>
      <c r="C15" s="7">
        <v>32</v>
      </c>
      <c r="D15" s="7">
        <f>2+28</f>
        <v>30</v>
      </c>
      <c r="E15" s="7">
        <v>7</v>
      </c>
      <c r="F15" s="7">
        <v>219</v>
      </c>
      <c r="G15" s="7">
        <v>94</v>
      </c>
      <c r="H15" s="7">
        <v>44</v>
      </c>
      <c r="I15" s="7">
        <v>11</v>
      </c>
      <c r="J15" s="7">
        <v>106.1</v>
      </c>
      <c r="K15" s="7"/>
      <c r="L15" s="7"/>
      <c r="M15" s="28"/>
      <c r="N15" s="10"/>
      <c r="O15" s="10"/>
    </row>
    <row r="16" spans="2:15" s="24" customFormat="1" x14ac:dyDescent="0.35">
      <c r="B16" s="24" t="s">
        <v>2</v>
      </c>
      <c r="C16" s="25">
        <f>C8+C9+C10+C11</f>
        <v>3566.1500000000005</v>
      </c>
      <c r="D16" s="25">
        <f t="shared" ref="D16:O16" si="2">D8+D9+D10+D11</f>
        <v>3117</v>
      </c>
      <c r="E16" s="25">
        <f t="shared" si="2"/>
        <v>3683.5099999999993</v>
      </c>
      <c r="F16" s="25">
        <f t="shared" si="2"/>
        <v>3696.15</v>
      </c>
      <c r="G16" s="25">
        <f t="shared" si="2"/>
        <v>3731.79</v>
      </c>
      <c r="H16" s="25">
        <f t="shared" si="2"/>
        <v>2761</v>
      </c>
      <c r="I16" s="25">
        <f t="shared" si="2"/>
        <v>1821.422</v>
      </c>
      <c r="J16" s="25">
        <f t="shared" si="2"/>
        <v>1299.364</v>
      </c>
      <c r="K16" s="25">
        <f t="shared" si="2"/>
        <v>1070.24</v>
      </c>
      <c r="L16" s="25">
        <f>L8+L9+L10+L11</f>
        <v>897.84</v>
      </c>
      <c r="M16" s="26">
        <f t="shared" si="2"/>
        <v>2248.1946000000003</v>
      </c>
      <c r="N16" s="25">
        <f t="shared" si="2"/>
        <v>1652.5934333333332</v>
      </c>
      <c r="O16" s="25">
        <f t="shared" si="2"/>
        <v>1789.2755090909088</v>
      </c>
    </row>
    <row r="17" spans="2:15" x14ac:dyDescent="0.35">
      <c r="B17" s="1" t="s">
        <v>0</v>
      </c>
      <c r="C17" s="8">
        <f>C12+C13+C14+C15</f>
        <v>3182.02</v>
      </c>
      <c r="D17" s="8">
        <f t="shared" ref="D17:O17" si="3">D12+D13+D14+D15</f>
        <v>2539.06</v>
      </c>
      <c r="E17" s="8">
        <f t="shared" si="3"/>
        <v>3215.2934999999998</v>
      </c>
      <c r="F17" s="8">
        <f t="shared" si="3"/>
        <v>3064.06</v>
      </c>
      <c r="G17" s="8">
        <f t="shared" si="3"/>
        <v>2030.8</v>
      </c>
      <c r="H17" s="8">
        <f t="shared" si="3"/>
        <v>2030</v>
      </c>
      <c r="I17" s="8">
        <f t="shared" si="3"/>
        <v>1903.9202999999998</v>
      </c>
      <c r="J17" s="8">
        <f t="shared" si="3"/>
        <v>1217.8439999999998</v>
      </c>
      <c r="K17" s="8">
        <f t="shared" si="3"/>
        <v>557.62099999999998</v>
      </c>
      <c r="L17" s="8">
        <f>L12+L13+L14+L15</f>
        <v>540.08199999999999</v>
      </c>
      <c r="M17" s="27">
        <f t="shared" si="3"/>
        <v>1495.3658273000001</v>
      </c>
      <c r="N17" s="8">
        <f t="shared" si="3"/>
        <v>1263.9555212166665</v>
      </c>
      <c r="O17" s="8">
        <f t="shared" si="3"/>
        <v>1371.8433297545455</v>
      </c>
    </row>
    <row r="18" spans="2:15" x14ac:dyDescent="0.35">
      <c r="B18" s="5" t="s">
        <v>7</v>
      </c>
      <c r="C18" s="10">
        <f>C16-C17</f>
        <v>384.13000000000056</v>
      </c>
      <c r="D18" s="10">
        <f t="shared" ref="D18:H18" si="4">D16-D17</f>
        <v>577.94000000000005</v>
      </c>
      <c r="E18" s="10">
        <f t="shared" si="4"/>
        <v>468.21649999999954</v>
      </c>
      <c r="F18" s="10">
        <f t="shared" si="4"/>
        <v>632.09000000000015</v>
      </c>
      <c r="G18" s="10">
        <f t="shared" si="4"/>
        <v>1700.99</v>
      </c>
      <c r="H18" s="10">
        <f t="shared" si="4"/>
        <v>731</v>
      </c>
      <c r="I18" s="10">
        <f t="shared" ref="I18" si="5">I16-I17</f>
        <v>-82.498299999999745</v>
      </c>
      <c r="J18" s="10">
        <f t="shared" ref="J18" si="6">J16-J17</f>
        <v>81.520000000000209</v>
      </c>
      <c r="K18" s="10">
        <f t="shared" ref="K18" si="7">K16-K17</f>
        <v>512.61900000000003</v>
      </c>
      <c r="L18" s="10">
        <f>L16-L17</f>
        <v>357.75800000000004</v>
      </c>
      <c r="M18" s="10">
        <f t="shared" ref="M18" si="8">M16-M17</f>
        <v>752.82877270000017</v>
      </c>
      <c r="N18" s="15">
        <f t="shared" si="0"/>
        <v>392.20457878333337</v>
      </c>
      <c r="O18" s="10">
        <f t="shared" si="1"/>
        <v>556.05399751818186</v>
      </c>
    </row>
    <row r="19" spans="2:15" x14ac:dyDescent="0.35">
      <c r="B19" s="5" t="s">
        <v>12</v>
      </c>
      <c r="C19" s="6">
        <f>C17/C16</f>
        <v>0.89228439633778711</v>
      </c>
      <c r="D19" s="6">
        <f t="shared" ref="D19:O19" si="9">D17/D16</f>
        <v>0.81458453641321782</v>
      </c>
      <c r="E19" s="6">
        <f t="shared" si="9"/>
        <v>0.87288849494096676</v>
      </c>
      <c r="F19" s="6">
        <f t="shared" si="9"/>
        <v>0.82898691882093523</v>
      </c>
      <c r="G19" s="6">
        <f t="shared" si="9"/>
        <v>0.54418924966303028</v>
      </c>
      <c r="H19" s="6">
        <f t="shared" si="9"/>
        <v>0.73524085476276713</v>
      </c>
      <c r="I19" s="6">
        <f t="shared" si="9"/>
        <v>1.045293347725019</v>
      </c>
      <c r="J19" s="6">
        <f t="shared" si="9"/>
        <v>0.9372616141435347</v>
      </c>
      <c r="K19" s="6">
        <f t="shared" si="9"/>
        <v>0.52102425624159066</v>
      </c>
      <c r="L19" s="6">
        <f t="shared" si="9"/>
        <v>0.6015347946181947</v>
      </c>
      <c r="M19" s="6">
        <f t="shared" si="9"/>
        <v>0.66514074328796979</v>
      </c>
      <c r="N19" s="17">
        <f t="shared" si="9"/>
        <v>0.76483150406039568</v>
      </c>
      <c r="O19" s="6">
        <f t="shared" si="9"/>
        <v>0.76670323982221644</v>
      </c>
    </row>
    <row r="20" spans="2:15" x14ac:dyDescent="0.3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5"/>
      <c r="O20" s="10"/>
    </row>
    <row r="21" spans="2:15" x14ac:dyDescent="0.35">
      <c r="B21" s="2" t="s">
        <v>3</v>
      </c>
      <c r="C21" s="11"/>
      <c r="D21" s="7"/>
      <c r="E21" s="7"/>
      <c r="F21" s="7"/>
      <c r="G21" s="7"/>
      <c r="H21" s="7"/>
      <c r="I21" s="7"/>
      <c r="J21" s="7"/>
      <c r="K21" s="7"/>
      <c r="L21" s="7"/>
      <c r="M21" s="7"/>
      <c r="N21" s="15"/>
      <c r="O21" s="10"/>
    </row>
    <row r="22" spans="2:15" x14ac:dyDescent="0.35">
      <c r="B22" t="s">
        <v>1</v>
      </c>
      <c r="C22" s="7">
        <f>604.91</f>
        <v>604.91</v>
      </c>
      <c r="D22" s="7">
        <f>539.4+643.42+172.51</f>
        <v>1355.33</v>
      </c>
      <c r="E22" s="7">
        <v>1210.1899999999998</v>
      </c>
      <c r="F22" s="7">
        <v>979</v>
      </c>
      <c r="G22" s="7">
        <v>2316</v>
      </c>
      <c r="H22" s="7">
        <v>1688</v>
      </c>
      <c r="I22" s="7">
        <v>480.76499999999999</v>
      </c>
      <c r="J22" s="7">
        <v>322.02999999999997</v>
      </c>
      <c r="K22" s="7">
        <v>807.125</v>
      </c>
      <c r="L22" s="7">
        <f>85.45+2417.91</f>
        <v>2503.3599999999997</v>
      </c>
      <c r="M22" s="7">
        <f>2541.97+1533</f>
        <v>4074.97</v>
      </c>
      <c r="N22" s="15">
        <f t="shared" si="0"/>
        <v>1646.0416666666667</v>
      </c>
      <c r="O22" s="10">
        <f t="shared" si="1"/>
        <v>1485.6072727272726</v>
      </c>
    </row>
    <row r="23" spans="2:15" x14ac:dyDescent="0.35">
      <c r="B23" t="s">
        <v>8</v>
      </c>
      <c r="C23" s="7">
        <f>C26</f>
        <v>0</v>
      </c>
      <c r="D23" s="7">
        <f>D26</f>
        <v>8.6</v>
      </c>
      <c r="E23" s="7">
        <f>E26</f>
        <v>4.5</v>
      </c>
      <c r="F23" s="7">
        <f>F26</f>
        <v>204</v>
      </c>
      <c r="G23" s="7">
        <f>G26</f>
        <v>0</v>
      </c>
      <c r="H23" s="7">
        <v>138</v>
      </c>
      <c r="I23" s="7">
        <v>846.22799999999995</v>
      </c>
      <c r="J23" s="7">
        <v>221.4</v>
      </c>
      <c r="K23" s="7">
        <v>751.8</v>
      </c>
      <c r="L23" s="7">
        <f>160.47+718.225</f>
        <v>878.69500000000005</v>
      </c>
      <c r="M23" s="7">
        <v>1170.5050000000001</v>
      </c>
      <c r="N23" s="15">
        <f>AVERAGE(H23:M23)</f>
        <v>667.77133333333336</v>
      </c>
      <c r="O23" s="10">
        <f>AVERAGE(C23:M23)</f>
        <v>383.9752727272728</v>
      </c>
    </row>
    <row r="24" spans="2:15" x14ac:dyDescent="0.35">
      <c r="B24" t="s">
        <v>5</v>
      </c>
      <c r="C24" s="7"/>
      <c r="D24" s="7"/>
      <c r="E24" s="7"/>
      <c r="F24" s="12">
        <v>799</v>
      </c>
      <c r="G24" s="12"/>
      <c r="H24" s="7"/>
      <c r="I24" s="7"/>
      <c r="J24" s="7">
        <v>291.89499999999998</v>
      </c>
      <c r="K24" s="7"/>
      <c r="L24" s="7"/>
      <c r="M24" s="7"/>
      <c r="N24" s="15">
        <f>AVERAGE(H24:M24)</f>
        <v>291.89499999999998</v>
      </c>
      <c r="O24" s="10">
        <f>AVERAGE(C24:M24)</f>
        <v>545.44749999999999</v>
      </c>
    </row>
    <row r="25" spans="2:15" x14ac:dyDescent="0.35">
      <c r="B25" t="s">
        <v>4</v>
      </c>
      <c r="C25" s="7">
        <f>285.54</f>
        <v>285.54000000000002</v>
      </c>
      <c r="D25" s="7">
        <f>295.6+160.7+390</f>
        <v>846.3</v>
      </c>
      <c r="E25" s="7">
        <v>929.18999999999994</v>
      </c>
      <c r="F25" s="12">
        <f>646</f>
        <v>646</v>
      </c>
      <c r="G25" s="12">
        <f>1952.3</f>
        <v>1952.3</v>
      </c>
      <c r="H25" s="7">
        <v>1021</v>
      </c>
      <c r="I25" s="7">
        <v>80.47</v>
      </c>
      <c r="J25" s="7">
        <v>49.4</v>
      </c>
      <c r="K25" s="7">
        <v>644.346</v>
      </c>
      <c r="L25" s="7">
        <f>31.884+1487.849</f>
        <v>1519.7329999999999</v>
      </c>
      <c r="M25" s="8">
        <f>1209.172527+981</f>
        <v>2190.1725269999997</v>
      </c>
      <c r="N25" s="15">
        <f>AVERAGE(H25:M25)</f>
        <v>917.52025449999985</v>
      </c>
      <c r="O25" s="10">
        <f>AVERAGE(C25:M25)</f>
        <v>924.04104790909105</v>
      </c>
    </row>
    <row r="26" spans="2:15" x14ac:dyDescent="0.35">
      <c r="B26" s="3" t="s">
        <v>9</v>
      </c>
      <c r="C26" s="9"/>
      <c r="D26" s="9">
        <v>8.6</v>
      </c>
      <c r="E26" s="9">
        <v>4.5</v>
      </c>
      <c r="F26" s="9">
        <v>204</v>
      </c>
      <c r="G26" s="9"/>
      <c r="H26" s="9">
        <v>109</v>
      </c>
      <c r="I26" s="9">
        <v>848.63599999999997</v>
      </c>
      <c r="J26" s="9">
        <v>73.099999999999994</v>
      </c>
      <c r="K26" s="9">
        <v>314.22000000000003</v>
      </c>
      <c r="L26" s="9">
        <f>129.545+448.266</f>
        <v>577.81100000000004</v>
      </c>
      <c r="M26" s="9">
        <v>626.798</v>
      </c>
      <c r="N26" s="16">
        <f t="shared" si="0"/>
        <v>424.92749999999995</v>
      </c>
      <c r="O26" s="13">
        <f t="shared" si="1"/>
        <v>307.40722222222223</v>
      </c>
    </row>
    <row r="27" spans="2:15" x14ac:dyDescent="0.35">
      <c r="B27" s="1" t="s">
        <v>2</v>
      </c>
      <c r="C27" s="8">
        <f t="shared" ref="C27:M27" si="10">C22+C23</f>
        <v>604.91</v>
      </c>
      <c r="D27" s="8">
        <f t="shared" si="10"/>
        <v>1363.9299999999998</v>
      </c>
      <c r="E27" s="8">
        <f t="shared" si="10"/>
        <v>1214.6899999999998</v>
      </c>
      <c r="F27" s="8">
        <f t="shared" si="10"/>
        <v>1183</v>
      </c>
      <c r="G27" s="8">
        <f t="shared" si="10"/>
        <v>2316</v>
      </c>
      <c r="H27" s="8">
        <f t="shared" si="10"/>
        <v>1826</v>
      </c>
      <c r="I27" s="8">
        <f t="shared" si="10"/>
        <v>1326.9929999999999</v>
      </c>
      <c r="J27" s="8">
        <f t="shared" si="10"/>
        <v>543.42999999999995</v>
      </c>
      <c r="K27" s="8">
        <f t="shared" si="10"/>
        <v>1558.925</v>
      </c>
      <c r="L27" s="18">
        <f t="shared" si="10"/>
        <v>3382.0549999999998</v>
      </c>
      <c r="M27" s="18">
        <f t="shared" si="10"/>
        <v>5245.4750000000004</v>
      </c>
      <c r="N27" s="15">
        <f t="shared" si="0"/>
        <v>2313.8130000000001</v>
      </c>
      <c r="O27" s="10">
        <f t="shared" si="1"/>
        <v>1869.5825454545454</v>
      </c>
    </row>
    <row r="28" spans="2:15" x14ac:dyDescent="0.35">
      <c r="B28" s="1" t="s">
        <v>0</v>
      </c>
      <c r="C28" s="8">
        <f t="shared" ref="C28:M28" si="11">C25+C24+C26</f>
        <v>285.54000000000002</v>
      </c>
      <c r="D28" s="8">
        <f t="shared" si="11"/>
        <v>854.9</v>
      </c>
      <c r="E28" s="8">
        <f t="shared" si="11"/>
        <v>933.68999999999994</v>
      </c>
      <c r="F28" s="8">
        <f t="shared" si="11"/>
        <v>1649</v>
      </c>
      <c r="G28" s="8">
        <f t="shared" si="11"/>
        <v>1952.3</v>
      </c>
      <c r="H28" s="8">
        <f t="shared" si="11"/>
        <v>1130</v>
      </c>
      <c r="I28" s="8">
        <f t="shared" si="11"/>
        <v>929.10599999999999</v>
      </c>
      <c r="J28" s="8">
        <f t="shared" si="11"/>
        <v>414.39499999999998</v>
      </c>
      <c r="K28" s="8">
        <f t="shared" si="11"/>
        <v>958.56600000000003</v>
      </c>
      <c r="L28" s="8">
        <f t="shared" si="11"/>
        <v>2097.5439999999999</v>
      </c>
      <c r="M28" s="18">
        <f t="shared" si="11"/>
        <v>2816.9705269999995</v>
      </c>
      <c r="N28" s="15">
        <f t="shared" si="0"/>
        <v>1391.0969211666663</v>
      </c>
      <c r="O28" s="10">
        <f t="shared" si="1"/>
        <v>1274.7283206363636</v>
      </c>
    </row>
    <row r="29" spans="2:15" x14ac:dyDescent="0.35">
      <c r="B29" s="5" t="s">
        <v>7</v>
      </c>
      <c r="C29" s="10">
        <f>C27-C28</f>
        <v>319.36999999999995</v>
      </c>
      <c r="D29" s="10">
        <f t="shared" ref="D29" si="12">D27-D28</f>
        <v>509.02999999999986</v>
      </c>
      <c r="E29" s="10">
        <f t="shared" ref="E29" si="13">E27-E28</f>
        <v>280.99999999999989</v>
      </c>
      <c r="F29" s="10">
        <f t="shared" ref="F29" si="14">F27-F28</f>
        <v>-466</v>
      </c>
      <c r="G29" s="10">
        <f>G27-G28</f>
        <v>363.70000000000005</v>
      </c>
      <c r="H29" s="10">
        <f t="shared" ref="H29" si="15">H27-H28</f>
        <v>696</v>
      </c>
      <c r="I29" s="10">
        <f t="shared" ref="I29" si="16">I27-I28</f>
        <v>397.88699999999994</v>
      </c>
      <c r="J29" s="10">
        <f t="shared" ref="J29" si="17">J27-J28</f>
        <v>129.03499999999997</v>
      </c>
      <c r="K29" s="10">
        <f t="shared" ref="K29" si="18">K27-K28</f>
        <v>600.35899999999992</v>
      </c>
      <c r="L29" s="10">
        <f t="shared" ref="L29" si="19">L27-L28</f>
        <v>1284.511</v>
      </c>
      <c r="M29" s="10">
        <f t="shared" ref="M29" si="20">M27-M28</f>
        <v>2428.5044730000009</v>
      </c>
      <c r="N29" s="15">
        <f t="shared" si="0"/>
        <v>922.71607883333343</v>
      </c>
      <c r="O29" s="10">
        <f t="shared" si="1"/>
        <v>594.85422481818193</v>
      </c>
    </row>
    <row r="30" spans="2:15" x14ac:dyDescent="0.35">
      <c r="B30" s="5" t="s">
        <v>12</v>
      </c>
      <c r="C30" s="6">
        <f>C28/C27</f>
        <v>0.47203716255310713</v>
      </c>
      <c r="D30" s="6">
        <f t="shared" ref="D30:O30" si="21">D28/D27</f>
        <v>0.62679169752113384</v>
      </c>
      <c r="E30" s="6">
        <f t="shared" si="21"/>
        <v>0.76866525615589165</v>
      </c>
      <c r="F30" s="6">
        <f t="shared" si="21"/>
        <v>1.3939137785291631</v>
      </c>
      <c r="G30" s="6">
        <f t="shared" si="21"/>
        <v>0.84296200345423145</v>
      </c>
      <c r="H30" s="6">
        <f t="shared" si="21"/>
        <v>0.61883899233296824</v>
      </c>
      <c r="I30" s="6">
        <f t="shared" si="21"/>
        <v>0.70015893075547497</v>
      </c>
      <c r="J30" s="6">
        <f t="shared" si="21"/>
        <v>0.76255451484091796</v>
      </c>
      <c r="K30" s="6">
        <f t="shared" si="21"/>
        <v>0.61488910627515758</v>
      </c>
      <c r="L30" s="6">
        <f t="shared" si="21"/>
        <v>0.62019807483911404</v>
      </c>
      <c r="M30" s="6">
        <f t="shared" si="21"/>
        <v>0.53702868224517308</v>
      </c>
      <c r="N30" s="17">
        <f t="shared" si="21"/>
        <v>0.60121406577224101</v>
      </c>
      <c r="O30" s="6">
        <f t="shared" si="21"/>
        <v>0.68182510782183359</v>
      </c>
    </row>
    <row r="31" spans="2:15" x14ac:dyDescent="0.35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5"/>
      <c r="O31" s="10"/>
    </row>
    <row r="32" spans="2:15" x14ac:dyDescent="0.35">
      <c r="B32" s="4" t="s">
        <v>16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5"/>
      <c r="O32" s="10"/>
    </row>
    <row r="33" spans="2:18" x14ac:dyDescent="0.35">
      <c r="B33" t="s">
        <v>2</v>
      </c>
      <c r="C33" s="7">
        <f t="shared" ref="C33:L33" si="22">SUM(C16,C27)</f>
        <v>4171.0600000000004</v>
      </c>
      <c r="D33" s="7">
        <f t="shared" si="22"/>
        <v>4480.93</v>
      </c>
      <c r="E33" s="7">
        <f t="shared" si="22"/>
        <v>4898.1999999999989</v>
      </c>
      <c r="F33" s="7">
        <f t="shared" si="22"/>
        <v>4879.1499999999996</v>
      </c>
      <c r="G33" s="7">
        <f t="shared" si="22"/>
        <v>6047.79</v>
      </c>
      <c r="H33" s="7">
        <f t="shared" si="22"/>
        <v>4587</v>
      </c>
      <c r="I33" s="7">
        <f t="shared" si="22"/>
        <v>3148.415</v>
      </c>
      <c r="J33" s="7">
        <f t="shared" si="22"/>
        <v>1842.7939999999999</v>
      </c>
      <c r="K33" s="7">
        <f t="shared" si="22"/>
        <v>2629.165</v>
      </c>
      <c r="L33" s="7">
        <f t="shared" si="22"/>
        <v>4279.8949999999995</v>
      </c>
      <c r="M33" s="7">
        <f>SUM(M16,M27)</f>
        <v>7493.6696000000011</v>
      </c>
      <c r="N33" s="15">
        <f t="shared" si="0"/>
        <v>3996.8231000000001</v>
      </c>
      <c r="O33" s="10">
        <f t="shared" si="1"/>
        <v>4405.2789636363632</v>
      </c>
      <c r="Q33" s="39"/>
      <c r="R33" s="40"/>
    </row>
    <row r="34" spans="2:18" x14ac:dyDescent="0.35">
      <c r="B34" s="1" t="s">
        <v>0</v>
      </c>
      <c r="C34" s="7">
        <f t="shared" ref="C34:K34" si="23">SUM(C17,C28)</f>
        <v>3467.56</v>
      </c>
      <c r="D34" s="7">
        <f t="shared" si="23"/>
        <v>3393.96</v>
      </c>
      <c r="E34" s="7">
        <f t="shared" si="23"/>
        <v>4148.9834999999994</v>
      </c>
      <c r="F34" s="7">
        <f t="shared" si="23"/>
        <v>4713.0599999999995</v>
      </c>
      <c r="G34" s="7">
        <f t="shared" si="23"/>
        <v>3983.1</v>
      </c>
      <c r="H34" s="7">
        <f t="shared" si="23"/>
        <v>3160</v>
      </c>
      <c r="I34" s="7">
        <f t="shared" si="23"/>
        <v>2833.0262999999995</v>
      </c>
      <c r="J34" s="7">
        <f t="shared" si="23"/>
        <v>1632.2389999999998</v>
      </c>
      <c r="K34" s="7">
        <f t="shared" si="23"/>
        <v>1516.1869999999999</v>
      </c>
      <c r="L34" s="7">
        <f>SUM(L17,L28)</f>
        <v>2637.6259999999997</v>
      </c>
      <c r="M34" s="7">
        <f>SUM(M17,M28)</f>
        <v>4312.3363542999996</v>
      </c>
      <c r="N34" s="15">
        <f t="shared" si="0"/>
        <v>2681.902442383333</v>
      </c>
      <c r="O34" s="10">
        <f t="shared" si="1"/>
        <v>3254.3707412999997</v>
      </c>
      <c r="Q34" s="39"/>
      <c r="R34" s="40"/>
    </row>
    <row r="35" spans="2:18" x14ac:dyDescent="0.35">
      <c r="B35" s="5" t="s">
        <v>7</v>
      </c>
      <c r="C35" s="10">
        <f>C33-C34</f>
        <v>703.50000000000045</v>
      </c>
      <c r="D35" s="10">
        <f t="shared" ref="D35" si="24">D33-D34</f>
        <v>1086.9700000000003</v>
      </c>
      <c r="E35" s="10">
        <f t="shared" ref="E35" si="25">E33-E34</f>
        <v>749.21649999999954</v>
      </c>
      <c r="F35" s="10">
        <f t="shared" ref="F35" si="26">F33-F34</f>
        <v>166.09000000000015</v>
      </c>
      <c r="G35" s="10">
        <f t="shared" ref="G35" si="27">G33-G34</f>
        <v>2064.69</v>
      </c>
      <c r="H35" s="10">
        <f t="shared" ref="H35" si="28">H33-H34</f>
        <v>1427</v>
      </c>
      <c r="I35" s="10">
        <f t="shared" ref="I35" si="29">I33-I34</f>
        <v>315.38870000000043</v>
      </c>
      <c r="J35" s="10">
        <f t="shared" ref="J35" si="30">J33-J34</f>
        <v>210.55500000000006</v>
      </c>
      <c r="K35" s="10">
        <f t="shared" ref="K35" si="31">K33-K34</f>
        <v>1112.9780000000001</v>
      </c>
      <c r="L35" s="10">
        <f t="shared" ref="L35" si="32">L33-L34</f>
        <v>1642.2689999999998</v>
      </c>
      <c r="M35" s="10">
        <f t="shared" ref="M35" si="33">M33-M34</f>
        <v>3181.3332457000015</v>
      </c>
      <c r="N35" s="15">
        <f t="shared" si="0"/>
        <v>1314.9206576166671</v>
      </c>
      <c r="O35" s="10">
        <f t="shared" si="1"/>
        <v>1150.9082223363639</v>
      </c>
    </row>
    <row r="36" spans="2:18" x14ac:dyDescent="0.35">
      <c r="B36" s="5" t="s">
        <v>12</v>
      </c>
      <c r="C36" s="6">
        <f>C34/C33</f>
        <v>0.83133783738426192</v>
      </c>
      <c r="D36" s="6">
        <f t="shared" ref="D36:O36" si="34">D34/D33</f>
        <v>0.75742312421751734</v>
      </c>
      <c r="E36" s="6">
        <f t="shared" si="34"/>
        <v>0.84704248499448787</v>
      </c>
      <c r="F36" s="6">
        <f t="shared" si="34"/>
        <v>0.96595923470276579</v>
      </c>
      <c r="G36" s="6">
        <f t="shared" si="34"/>
        <v>0.65860421740834252</v>
      </c>
      <c r="H36" s="6">
        <f t="shared" si="34"/>
        <v>0.68890342271637239</v>
      </c>
      <c r="I36" s="6">
        <f t="shared" si="34"/>
        <v>0.89982619826166488</v>
      </c>
      <c r="J36" s="6">
        <f t="shared" si="34"/>
        <v>0.88574143393130211</v>
      </c>
      <c r="K36" s="6">
        <f t="shared" si="34"/>
        <v>0.57668004860858868</v>
      </c>
      <c r="L36" s="6">
        <f t="shared" si="34"/>
        <v>0.61628287609859589</v>
      </c>
      <c r="M36" s="6">
        <f t="shared" si="34"/>
        <v>0.57546390279870341</v>
      </c>
      <c r="N36" s="17">
        <f t="shared" si="34"/>
        <v>0.67100854235538543</v>
      </c>
      <c r="O36" s="6">
        <f t="shared" si="34"/>
        <v>0.73874339585833182</v>
      </c>
    </row>
    <row r="37" spans="2:18" x14ac:dyDescent="0.35">
      <c r="B37" s="5" t="s">
        <v>54</v>
      </c>
      <c r="C37" s="6">
        <f>C33/$L$68</f>
        <v>0.54346058631921834</v>
      </c>
      <c r="D37" s="6">
        <f>D33/$L$68</f>
        <v>0.58383452768729649</v>
      </c>
      <c r="E37" s="6">
        <f>E33/$L$68</f>
        <v>0.63820195439739402</v>
      </c>
      <c r="F37" s="6">
        <f>F33/$L$68</f>
        <v>0.63571986970684036</v>
      </c>
      <c r="G37" s="6">
        <f>G33/$L$68</f>
        <v>0.78798566775244294</v>
      </c>
      <c r="H37" s="6">
        <f>H33/$L$68</f>
        <v>0.59765472312703583</v>
      </c>
      <c r="I37" s="6">
        <f>I33/$L$68</f>
        <v>0.41021693811074916</v>
      </c>
      <c r="J37" s="6">
        <f>J33/$L$68</f>
        <v>0.24010345276872963</v>
      </c>
      <c r="K37" s="6">
        <f>K33/$L$68</f>
        <v>0.34256221498371336</v>
      </c>
      <c r="L37" s="6">
        <f>L33/$L$68</f>
        <v>0.55764104234527678</v>
      </c>
      <c r="M37" s="38">
        <f>M33/$L$68</f>
        <v>0.97637388925081448</v>
      </c>
      <c r="N37" s="6"/>
      <c r="O37" s="6"/>
    </row>
    <row r="38" spans="2:18" x14ac:dyDescent="0.35"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8" x14ac:dyDescent="0.35">
      <c r="B39" s="5"/>
    </row>
    <row r="55" spans="2:11" x14ac:dyDescent="0.35">
      <c r="B55" s="23" t="s">
        <v>51</v>
      </c>
    </row>
    <row r="62" spans="2:11" x14ac:dyDescent="0.35">
      <c r="K62" t="s">
        <v>13</v>
      </c>
    </row>
    <row r="63" spans="2:11" x14ac:dyDescent="0.35">
      <c r="K63" t="s">
        <v>14</v>
      </c>
    </row>
    <row r="65" spans="2:12" x14ac:dyDescent="0.35">
      <c r="K65" t="s">
        <v>21</v>
      </c>
    </row>
    <row r="67" spans="2:12" x14ac:dyDescent="0.35">
      <c r="K67" t="s">
        <v>53</v>
      </c>
    </row>
    <row r="68" spans="2:12" x14ac:dyDescent="0.35">
      <c r="K68" t="s">
        <v>55</v>
      </c>
      <c r="L68">
        <v>7675</v>
      </c>
    </row>
    <row r="69" spans="2:12" x14ac:dyDescent="0.35">
      <c r="K69" t="s">
        <v>52</v>
      </c>
      <c r="L69">
        <v>2270</v>
      </c>
    </row>
    <row r="71" spans="2:12" x14ac:dyDescent="0.35">
      <c r="B71" s="23" t="s">
        <v>15</v>
      </c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M E A A B Q S w M E F A A C A A g A R 5 D N V M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R 5 D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e Q z V R 3 D z l 0 W g E A A A o D A A A T A B w A R m 9 y b X V s Y X M v U 2 V j d G l v b j E u b S C i G A A o o B Q A A A A A A A A A A A A A A A A A A A A A A A A A A A C F U l 1 r w j A U f R f 6 H 0 L 2 U q G I l e E 2 n A M p e 9 j D P p i 6 M c S H 2 F 5 t M E 0 k T Y e j + N 9 3 Y z r r R 2 F 9 S T n n 3 n P u P U k O s e F K k r E 7 w 4 H X 8 l p 5 y j Q k Z M I W A k I y J A K M 1 y L 4 j V W h Y 0 D k c R u D 6 E S F 1 i D N p 9 L r h V J r v 1 3 O X l g G Q + o 6 6 X w 3 i 5 Q 0 W D I P n M A V j V I m V 1 b 8 Z w M U l f a l n Y l m M l 8 q n U V K F J m 0 Z O 4 7 t 6 A s 6 Z t W K 8 0 y 1 x Q Q g w c x s D W 7 g J T U 2 j c z v W 7 Y R / B J m v 5 1 x 1 b 8 o T e N 6 G 0 j e t e E 9 r q N a N i I 9 k 7 R X f s Q x l R u + L c y G I f b O 6 8 T q a h X k 4 K u S P 8 s P S t / l s x R G O h O R 8 Z o v i j M n v p g o g B a m 7 + D x M t q s H Z E b X o 5 p b 2 T E + 0 v Y J o e b z Z K k n 2 9 T L h 9 V 0 x U v b U L V j j I v x w F F a e S G / s D L E 4 J X 5 L Z Y b M 5 u X 8 g 9 J k L y L E h 2 + D r h I Q S D E o S O t E A u A q I H K o a 2 v Z a X P 4 7 1 + A X U E s B A i 0 A F A A C A A g A R 5 D N V M a t r A S n A A A A + A A A A B I A A A A A A A A A A A A A A A A A A A A A A E N v b m Z p Z y 9 Q Y W N r Y W d l L n h t b F B L A Q I t A B Q A A g A I A E e Q z V Q P y u m r p A A A A O k A A A A T A A A A A A A A A A A A A A A A A P M A A A B b Q 2 9 u d G V u d F 9 U e X B l c 1 0 u e G 1 s U E s B A i 0 A F A A C A A g A R 5 D N V H c P O X R a A Q A A C g M A A B M A A A A A A A A A A A A A A A A A 5 A E A A E Z v c m 1 1 b G F z L 1 N l Y 3 R p b 2 4 x L m 1 Q S w U G A A A A A A M A A w D C A A A A i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Q w A A A A A A A B D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T R U M D E 6 M D I 6 M T U u N z k 0 N z E y M 1 o i I C 8 + P E V u d H J 5 I F R 5 c G U 9 I k Z p b G x D b 2 x 1 b W 5 U e X B l c y I g V m F s d W U 9 I n N C Z 1 l H Q l F B P S I g L z 4 8 R W 5 0 c n k g V H l w Z T 0 i R m l s b E N v b H V t b k 5 h b W V z I i B W Y W x 1 Z T 0 i c 1 s m c X V v d D t Q c m 9 n c m F t I F R 5 c G U m c X V v d D s s J n F 1 b 3 Q 7 V 2 9 y a y B U e X B l J n F 1 b 3 Q 7 L C Z x d W 9 0 O 1 l l Y X I m c X V v d D s s J n F 1 b 3 Q 7 V m F s d W U m c X V v d D s s J n F 1 b 3 Q 7 V W 5 p d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V W 5 w a X Z v d G V k I E N v b H V t b n M u e 1 B y b 2 d y Y W 0 g V H l w Z S w w f S Z x d W 9 0 O y w m c X V v d D t T Z W N 0 a W 9 u M S 9 U Y W J s Z T E v V W 5 w a X Z v d G V k I E N v b H V t b n M u e 1 d v c m s g V H l w Z S w x f S Z x d W 9 0 O y w m c X V v d D t T Z W N 0 a W 9 u M S 9 U Y W J s Z T E v V W 5 w a X Z v d G V k I E N v b H V t b n M u e 0 F 0 d H J p Y n V 0 Z S w y f S Z x d W 9 0 O y w m c X V v d D t T Z W N 0 a W 9 u M S 9 U Y W J s Z T E v V W 5 w a X Z v d G V k I E N v b H V t b n M u e 1 Z h b H V l L D N 9 J n F 1 b 3 Q 7 L C Z x d W 9 0 O 1 N l Y 3 R p b 2 4 x L 1 R h Y m x l M S 9 B Z G R l Z C B D b 2 5 k a X R p b 2 5 h b C B D b 2 x 1 b W 4 u e 1 V u a X R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x l M S 9 V b n B p d m 9 0 Z W Q g Q 2 9 s d W 1 u c y 5 7 U H J v Z 3 J h b S B U e X B l L D B 9 J n F 1 b 3 Q 7 L C Z x d W 9 0 O 1 N l Y 3 R p b 2 4 x L 1 R h Y m x l M S 9 V b n B p d m 9 0 Z W Q g Q 2 9 s d W 1 u c y 5 7 V 2 9 y a y B U e X B l L D F 9 J n F 1 b 3 Q 7 L C Z x d W 9 0 O 1 N l Y 3 R p b 2 4 x L 1 R h Y m x l M S 9 V b n B p d m 9 0 Z W Q g Q 2 9 s d W 1 u c y 5 7 Q X R 0 c m l i d X R l L D J 9 J n F 1 b 3 Q 7 L C Z x d W 9 0 O 1 N l Y 3 R p b 2 4 x L 1 R h Y m x l M S 9 V b n B p d m 9 0 Z W Q g Q 2 9 s d W 1 u c y 5 7 V m F s d W U s M 3 0 m c X V v d D s s J n F 1 b 3 Q 7 U 2 V j d G l v b j E v V G F i b G U x L 0 F k Z G V k I E N v b m R p d G l v b m F s I E N v b H V t b i 5 7 V W 5 p d H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B Z G R l Z C U y M E N v b m R p d G l v b m F s J T I w Q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l P u r Q k y L 9 H n N e A n M X O / r s A A A A A A g A A A A A A A 2 Y A A M A A A A A Q A A A A x f u 6 I 0 Z Y n r 4 F H w K X d V t V J A A A A A A E g A A A o A A A A B A A A A A V t X q 9 U g Z r 3 4 W s M H X k L E L 2 U A A A A D k w v X + G y H x N Y s A Y Y D 0 Z u w t 6 d o e U B W i m 7 J m Y i K J O 5 I p e P k o N x d P u l B d O E F B G h L Q t 0 h p B x C d r u a D K u I M m c q y p e u d y D n v v S 8 R c y m L M k s N h j 4 m 4 F A A A A H F Z N G I X 3 J 4 / P J 0 p + N Q N C + K b u C s F < / D a t a M a s h u p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92D439-6D7A-4DB8-ACFD-1712DED1EF0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F0AAE03-075D-4953-BBBF-8697CAF0A1FD}"/>
</file>

<file path=customXml/itemProps3.xml><?xml version="1.0" encoding="utf-8"?>
<ds:datastoreItem xmlns:ds="http://schemas.openxmlformats.org/officeDocument/2006/customXml" ds:itemID="{B9B141AD-50A5-4DF6-87F4-51F7CFC87574}"/>
</file>

<file path=customXml/itemProps4.xml><?xml version="1.0" encoding="utf-8"?>
<ds:datastoreItem xmlns:ds="http://schemas.openxmlformats.org/officeDocument/2006/customXml" ds:itemID="{3258996B-7577-4E5F-AAA7-18F4247FB2EB}"/>
</file>

<file path=customXml/itemProps5.xml><?xml version="1.0" encoding="utf-8"?>
<ds:datastoreItem xmlns:ds="http://schemas.openxmlformats.org/officeDocument/2006/customXml" ds:itemID="{1B10FF89-AEA7-45FF-A94A-A205C37956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Miles vs Tree Work</vt:lpstr>
      <vt:lpstr>Miles Planned and Completed</vt:lpstr>
    </vt:vector>
  </TitlesOfParts>
  <Company>Office of the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Tam, Aaron (ATG)</dc:creator>
  <cp:lastModifiedBy>Tam, Aaron (ATG)</cp:lastModifiedBy>
  <dcterms:created xsi:type="dcterms:W3CDTF">2022-04-28T22:58:39Z</dcterms:created>
  <dcterms:modified xsi:type="dcterms:W3CDTF">2022-07-21T01:02:08Z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