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275" windowHeight="7935" tabRatio="960"/>
  </bookViews>
  <sheets>
    <sheet name="E-DSMA-1" sheetId="2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36" i="25"/>
  <c r="I34"/>
  <c r="I37" s="1"/>
  <c r="H34"/>
  <c r="H37" s="1"/>
  <c r="G34"/>
  <c r="G37" s="1"/>
  <c r="F34"/>
  <c r="F37" s="1"/>
  <c r="E34"/>
  <c r="E37" s="1"/>
  <c r="D34"/>
  <c r="D37" s="1"/>
  <c r="K33"/>
  <c r="K32"/>
  <c r="K34" s="1"/>
  <c r="C22"/>
  <c r="I16"/>
  <c r="H12"/>
  <c r="H14" s="1"/>
  <c r="G12"/>
  <c r="G16" s="1"/>
  <c r="F12"/>
  <c r="F14" s="1"/>
  <c r="E12"/>
  <c r="E16" s="1"/>
  <c r="D12"/>
  <c r="D14" s="1"/>
  <c r="G9"/>
  <c r="G10" s="1"/>
  <c r="D9"/>
  <c r="D10" s="1"/>
  <c r="H8"/>
  <c r="F8"/>
  <c r="E8"/>
  <c r="I8" l="1"/>
  <c r="E9"/>
  <c r="I9" s="1"/>
  <c r="I12"/>
  <c r="E14"/>
  <c r="G14"/>
  <c r="G18" s="1"/>
  <c r="D16"/>
  <c r="D18" s="1"/>
  <c r="F16"/>
  <c r="H16"/>
  <c r="F9"/>
  <c r="F10" s="1"/>
  <c r="H9"/>
  <c r="H10" s="1"/>
  <c r="H18" l="1"/>
  <c r="F18"/>
  <c r="F22" s="1"/>
  <c r="H22"/>
  <c r="H20"/>
  <c r="D22"/>
  <c r="D20"/>
  <c r="G20"/>
  <c r="G22"/>
  <c r="E10"/>
  <c r="F20" l="1"/>
  <c r="E18"/>
  <c r="I10"/>
  <c r="G24"/>
  <c r="G26" s="1"/>
  <c r="H24"/>
  <c r="H26" s="1"/>
  <c r="F24"/>
  <c r="F26" s="1"/>
  <c r="D24"/>
  <c r="E20" l="1"/>
  <c r="E22"/>
  <c r="I22" s="1"/>
  <c r="I18"/>
  <c r="D26"/>
  <c r="E24" l="1"/>
  <c r="I24" s="1"/>
  <c r="I20"/>
  <c r="E26" l="1"/>
  <c r="I26" s="1"/>
</calcChain>
</file>

<file path=xl/sharedStrings.xml><?xml version="1.0" encoding="utf-8"?>
<sst xmlns="http://schemas.openxmlformats.org/spreadsheetml/2006/main" count="56" uniqueCount="45">
  <si>
    <t>Rate Schedule</t>
  </si>
  <si>
    <t>Washington</t>
  </si>
  <si>
    <t>Avista Utilities</t>
  </si>
  <si>
    <t>DSM Component of the Attrition Adjustment</t>
  </si>
  <si>
    <t>Twelve Months Ended December 31, 2011</t>
  </si>
  <si>
    <t>Line No.</t>
  </si>
  <si>
    <t>Sch 1</t>
  </si>
  <si>
    <t>Sch 11/12</t>
  </si>
  <si>
    <t>Sch 21/22</t>
  </si>
  <si>
    <t>Sch 25</t>
  </si>
  <si>
    <t>Sch 31/32</t>
  </si>
  <si>
    <t>Total</t>
  </si>
  <si>
    <t>2011 First Year Savings</t>
  </si>
  <si>
    <t>kWhs</t>
  </si>
  <si>
    <t>Embedded in Normalized Test Year</t>
  </si>
  <si>
    <t>2011 Full Year Adjustment</t>
  </si>
  <si>
    <t>Estimated future schedule savings %</t>
  </si>
  <si>
    <t>2012 First Year Savings</t>
  </si>
  <si>
    <t>1/2 2013 First Year Savings</t>
  </si>
  <si>
    <t>Total 2013 Savings Adjustment</t>
  </si>
  <si>
    <t>Revenue Change (Note 1)</t>
  </si>
  <si>
    <t>debit/(credit) basis</t>
  </si>
  <si>
    <t>Power Cost Savings (Note 2)</t>
  </si>
  <si>
    <t>Revenue Related Expenses (Note 3)</t>
  </si>
  <si>
    <r>
      <t xml:space="preserve">DSM Component of the Attrition Adj </t>
    </r>
    <r>
      <rPr>
        <sz val="11"/>
        <color theme="1"/>
        <rFont val="Calibri"/>
        <family val="2"/>
        <scheme val="minor"/>
      </rPr>
      <t>(Note 4)</t>
    </r>
  </si>
  <si>
    <t>Net Expense</t>
  </si>
  <si>
    <t>Note 1</t>
  </si>
  <si>
    <t xml:space="preserve">Calculation of the rate by schedule applied to Saved kWhs </t>
  </si>
  <si>
    <t>Andrews Workpaper Reference</t>
  </si>
  <si>
    <t>Street &amp; Area Lights</t>
  </si>
  <si>
    <t>Total WA Electric</t>
  </si>
  <si>
    <t>Total Present Revenue</t>
  </si>
  <si>
    <t>E-RN-14</t>
  </si>
  <si>
    <t>Exclude Fixed Charge Revenue</t>
  </si>
  <si>
    <t>Variable Charge Revenue</t>
  </si>
  <si>
    <t>Pro Forma kWhs</t>
  </si>
  <si>
    <t>E-RN-12</t>
  </si>
  <si>
    <t>Average Revenue per kWh</t>
  </si>
  <si>
    <t>The Revenue Change is shown on a debit/(credit) basis; a reduction to revenue is a debit or increase to net expense, and an increase to revenue is a (credit) or decrease to net expense.</t>
  </si>
  <si>
    <t xml:space="preserve">Note 2  </t>
  </si>
  <si>
    <t>Power Cost of Saved kWhs is Average Market Sale and Purchase Price per MWh from Johnson Exhibit No.___(WGJ-4), expressed as $ per kWh.</t>
  </si>
  <si>
    <t>Note 3</t>
  </si>
  <si>
    <t>Revenue related expense rate is from Line 6 Total Expense of Andrews Exhibit No.___(EMA-2), page 4.</t>
  </si>
  <si>
    <t>Note 4</t>
  </si>
  <si>
    <t>The resulting Net Expense value shown as an adjustment to Account 908 where DSM related expenses such as the Public Purpose Tariff Rider Expense Offset are recorded.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</si>
</sst>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  <numFmt numFmtId="166" formatCode="0.000%"/>
    <numFmt numFmtId="167" formatCode="_(* #,##0_);_(* \(#,##0\);_(* &quot;-&quot;??_);_(@_)"/>
    <numFmt numFmtId="168" formatCode="_(&quot;$&quot;* #,##0.00000_);_(&quot;$&quot;* \(#,##0.00000\);_(&quot;$&quot;* &quot;-&quot;??_);_(@_)"/>
    <numFmt numFmtId="175" formatCode="_(* #,##0.000_);_(* \(#,##0.000\);_(* &quot;-&quot;??_);_(@_)"/>
    <numFmt numFmtId="176" formatCode="_(&quot;$&quot;* #,##0_);_(&quot;$&quot;* \(#,##0\);_(&quot;$&quot;* &quot;-&quot;??_);_(@_)"/>
    <numFmt numFmtId="177" formatCode="_(&quot;$&quot;* #,##0.00000&quot; per kWh&quot;_);_(&quot;$&quot;* \(#,##0.00000\);_(&quot;$&quot;* &quot;-&quot;??_);_(@_)"/>
    <numFmt numFmtId="178" formatCode="_(&quot;$&quot;* #,##0.00000&quot; per Rev$&quot;_);_(&quot;$&quot;* \(#,##0.00000\);_(&quot;$&quot;* &quot;-&quot;??_);_(@_)"/>
    <numFmt numFmtId="179" formatCode="_(* #,##0_);_(* \(#,##0\);_(* &quot;-&quot;?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168" fontId="0" fillId="0" borderId="0" xfId="2" applyNumberFormat="1" applyFont="1"/>
    <xf numFmtId="167" fontId="0" fillId="0" borderId="0" xfId="3" applyNumberFormat="1" applyFont="1" applyFill="1"/>
    <xf numFmtId="167" fontId="0" fillId="0" borderId="0" xfId="3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/>
    <xf numFmtId="167" fontId="0" fillId="0" borderId="0" xfId="3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7" fontId="2" fillId="0" borderId="0" xfId="0" applyNumberFormat="1" applyFont="1"/>
    <xf numFmtId="10" fontId="2" fillId="0" borderId="0" xfId="1" applyNumberFormat="1" applyFont="1"/>
    <xf numFmtId="175" fontId="0" fillId="0" borderId="0" xfId="0" applyNumberFormat="1"/>
    <xf numFmtId="176" fontId="0" fillId="0" borderId="0" xfId="2" applyNumberFormat="1" applyFont="1"/>
    <xf numFmtId="167" fontId="0" fillId="0" borderId="0" xfId="0" applyNumberFormat="1" applyFill="1"/>
    <xf numFmtId="177" fontId="0" fillId="0" borderId="0" xfId="2" applyNumberFormat="1" applyFont="1" applyAlignment="1">
      <alignment horizontal="right"/>
    </xf>
    <xf numFmtId="178" fontId="0" fillId="0" borderId="0" xfId="2" applyNumberFormat="1" applyFont="1" applyAlignment="1">
      <alignment horizontal="right"/>
    </xf>
    <xf numFmtId="166" fontId="0" fillId="0" borderId="0" xfId="1" applyNumberFormat="1" applyFont="1"/>
    <xf numFmtId="176" fontId="2" fillId="0" borderId="0" xfId="0" applyNumberFormat="1" applyFont="1"/>
    <xf numFmtId="176" fontId="2" fillId="0" borderId="1" xfId="2" applyNumberFormat="1" applyFont="1" applyBorder="1"/>
    <xf numFmtId="179" fontId="0" fillId="0" borderId="0" xfId="0" applyNumberFormat="1"/>
    <xf numFmtId="168" fontId="0" fillId="0" borderId="0" xfId="0" applyNumberFormat="1"/>
    <xf numFmtId="0" fontId="0" fillId="2" borderId="0" xfId="0" applyFill="1"/>
    <xf numFmtId="179" fontId="0" fillId="2" borderId="0" xfId="0" applyNumberFormat="1" applyFill="1"/>
    <xf numFmtId="167" fontId="0" fillId="2" borderId="0" xfId="0" applyNumberFormat="1" applyFill="1"/>
    <xf numFmtId="43" fontId="0" fillId="0" borderId="0" xfId="0" applyNumberForma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76" fontId="0" fillId="0" borderId="0" xfId="2" applyNumberFormat="1" applyFont="1" applyFill="1"/>
    <xf numFmtId="176" fontId="0" fillId="0" borderId="0" xfId="0" applyNumberFormat="1"/>
    <xf numFmtId="176" fontId="0" fillId="0" borderId="2" xfId="2" applyNumberFormat="1" applyFont="1" applyBorder="1"/>
    <xf numFmtId="176" fontId="0" fillId="0" borderId="0" xfId="2" applyNumberFormat="1" applyFont="1" applyBorder="1"/>
    <xf numFmtId="168" fontId="2" fillId="0" borderId="0" xfId="2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7">
    <cellStyle name="Comma" xfId="3" builtinId="3"/>
    <cellStyle name="Comma 2" xfId="4"/>
    <cellStyle name="Currency" xfId="2" builtinId="4"/>
    <cellStyle name="Normal" xfId="0" builtinId="0"/>
    <cellStyle name="Normal 2" xfId="5"/>
    <cellStyle name="Percent" xfId="1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%20WA%20GRC/Adjustments/Adjustments/PF%20-%20DSM%20Attrition%20Adj/DSM%20Attrition%20Adjustm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-DSMA-1"/>
      <sheetName val="E-DSMA-2"/>
    </sheetNames>
    <sheetDataSet>
      <sheetData sheetId="0"/>
      <sheetData sheetId="1">
        <row r="9">
          <cell r="I9">
            <v>0.379</v>
          </cell>
        </row>
        <row r="10">
          <cell r="I10">
            <v>5.7000000000000002E-2</v>
          </cell>
        </row>
        <row r="11">
          <cell r="I11">
            <v>6.0000000000000001E-3</v>
          </cell>
        </row>
        <row r="12">
          <cell r="I12">
            <v>0.41599999999999998</v>
          </cell>
        </row>
        <row r="13">
          <cell r="I13">
            <v>1.2999999999999999E-2</v>
          </cell>
        </row>
        <row r="14">
          <cell r="I14">
            <v>7.9000000000000001E-2</v>
          </cell>
        </row>
        <row r="15">
          <cell r="I15">
            <v>4.4999999999999998E-2</v>
          </cell>
        </row>
        <row r="16">
          <cell r="I16">
            <v>5.0000000000000001E-3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zoomScaleNormal="100" workbookViewId="0">
      <selection activeCell="E21" sqref="E21"/>
    </sheetView>
  </sheetViews>
  <sheetFormatPr defaultRowHeight="15"/>
  <cols>
    <col min="1" max="1" width="8" customWidth="1"/>
    <col min="2" max="2" width="42.28515625" customWidth="1"/>
    <col min="3" max="3" width="19" customWidth="1"/>
    <col min="4" max="4" width="13.85546875" customWidth="1"/>
    <col min="5" max="5" width="12.5703125" customWidth="1"/>
    <col min="6" max="6" width="14.85546875" customWidth="1"/>
    <col min="7" max="7" width="14.140625" customWidth="1"/>
    <col min="8" max="8" width="12.5703125" customWidth="1"/>
    <col min="9" max="9" width="13.85546875" customWidth="1"/>
    <col min="10" max="10" width="6.42578125" customWidth="1"/>
    <col min="11" max="11" width="15.42578125" customWidth="1"/>
  </cols>
  <sheetData>
    <row r="1" spans="1:11">
      <c r="B1" s="2" t="s">
        <v>2</v>
      </c>
    </row>
    <row r="2" spans="1:11">
      <c r="B2" s="2" t="s">
        <v>3</v>
      </c>
    </row>
    <row r="3" spans="1:11">
      <c r="B3" s="2" t="s">
        <v>4</v>
      </c>
    </row>
    <row r="5" spans="1:11">
      <c r="B5" t="s">
        <v>1</v>
      </c>
    </row>
    <row r="6" spans="1:11">
      <c r="A6" t="s">
        <v>5</v>
      </c>
      <c r="B6" t="s">
        <v>0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8" spans="1:11">
      <c r="A8" s="7">
        <v>1</v>
      </c>
      <c r="B8" t="s">
        <v>12</v>
      </c>
      <c r="C8" s="9" t="s">
        <v>13</v>
      </c>
      <c r="D8" s="5">
        <v>45774436</v>
      </c>
      <c r="E8" s="5">
        <f>4403536+295764</f>
        <v>4699300</v>
      </c>
      <c r="F8" s="5">
        <f>21864609+656271</f>
        <v>22520880</v>
      </c>
      <c r="G8" s="5">
        <v>4162173</v>
      </c>
      <c r="H8" s="5">
        <f>2358919+283902</f>
        <v>2642821</v>
      </c>
      <c r="I8" s="10">
        <f>SUM(D8:H8)</f>
        <v>79799610</v>
      </c>
      <c r="K8" s="11"/>
    </row>
    <row r="9" spans="1:11">
      <c r="A9" s="7">
        <v>2</v>
      </c>
      <c r="B9" t="s">
        <v>14</v>
      </c>
      <c r="C9" s="9" t="s">
        <v>13</v>
      </c>
      <c r="D9" s="10">
        <f>ROUND(D8/2,0)</f>
        <v>22887218</v>
      </c>
      <c r="E9" s="10">
        <f t="shared" ref="E9:H9" si="0">ROUND(E8/2,0)</f>
        <v>2349650</v>
      </c>
      <c r="F9" s="10">
        <f t="shared" si="0"/>
        <v>11260440</v>
      </c>
      <c r="G9" s="10">
        <f t="shared" si="0"/>
        <v>2081087</v>
      </c>
      <c r="H9" s="10">
        <f t="shared" si="0"/>
        <v>1321411</v>
      </c>
      <c r="I9" s="10">
        <f>SUM(D9:H9)</f>
        <v>39899806</v>
      </c>
      <c r="K9" s="11"/>
    </row>
    <row r="10" spans="1:11">
      <c r="A10" s="7">
        <v>3</v>
      </c>
      <c r="B10" t="s">
        <v>15</v>
      </c>
      <c r="C10" s="9" t="s">
        <v>13</v>
      </c>
      <c r="D10" s="10">
        <f>D8-D9</f>
        <v>22887218</v>
      </c>
      <c r="E10" s="10">
        <f t="shared" ref="E10:H10" si="1">E8-E9</f>
        <v>2349650</v>
      </c>
      <c r="F10" s="10">
        <f t="shared" si="1"/>
        <v>11260440</v>
      </c>
      <c r="G10" s="10">
        <f t="shared" si="1"/>
        <v>2081086</v>
      </c>
      <c r="H10" s="10">
        <f t="shared" si="1"/>
        <v>1321410</v>
      </c>
      <c r="I10" s="10">
        <f>SUM(D10:H10)</f>
        <v>39899804</v>
      </c>
      <c r="K10" s="11"/>
    </row>
    <row r="11" spans="1:11">
      <c r="K11" s="11"/>
    </row>
    <row r="12" spans="1:11">
      <c r="A12" s="7">
        <v>4</v>
      </c>
      <c r="B12" t="s">
        <v>16</v>
      </c>
      <c r="D12" s="12">
        <f>'[1]E-DSMA-2'!$I$9</f>
        <v>0.379</v>
      </c>
      <c r="E12" s="12">
        <f>'[1]E-DSMA-2'!$I$10+'[1]E-DSMA-2'!$I$11</f>
        <v>6.3E-2</v>
      </c>
      <c r="F12" s="12">
        <f>'[1]E-DSMA-2'!$I$12+'[1]E-DSMA-2'!$I$13</f>
        <v>0.42899999999999999</v>
      </c>
      <c r="G12" s="12">
        <f>'[1]E-DSMA-2'!$I$14</f>
        <v>7.9000000000000001E-2</v>
      </c>
      <c r="H12" s="12">
        <f>'[1]E-DSMA-2'!$I$15+'[1]E-DSMA-2'!$I$16</f>
        <v>4.9999999999999996E-2</v>
      </c>
      <c r="I12" s="13">
        <f>SUM(D12:H12)</f>
        <v>1</v>
      </c>
      <c r="K12" s="11"/>
    </row>
    <row r="13" spans="1:11">
      <c r="K13" s="11"/>
    </row>
    <row r="14" spans="1:11">
      <c r="A14" s="7">
        <v>5</v>
      </c>
      <c r="B14" t="s">
        <v>17</v>
      </c>
      <c r="C14" s="9" t="s">
        <v>13</v>
      </c>
      <c r="D14" s="10">
        <f>ROUND($I$14*D12,0)</f>
        <v>12901539</v>
      </c>
      <c r="E14" s="10">
        <f t="shared" ref="E14:G14" si="2">ROUND($I$14*E12,0)</f>
        <v>2144583</v>
      </c>
      <c r="F14" s="10">
        <f t="shared" si="2"/>
        <v>14603589</v>
      </c>
      <c r="G14" s="10">
        <f t="shared" si="2"/>
        <v>2689239</v>
      </c>
      <c r="H14" s="10">
        <f>ROUND($I$14*H12,0)</f>
        <v>1702050</v>
      </c>
      <c r="I14" s="10">
        <v>34041000</v>
      </c>
      <c r="K14" s="11"/>
    </row>
    <row r="15" spans="1:11">
      <c r="K15" s="11"/>
    </row>
    <row r="16" spans="1:11">
      <c r="A16" s="7">
        <v>6</v>
      </c>
      <c r="B16" t="s">
        <v>18</v>
      </c>
      <c r="C16" s="9" t="s">
        <v>13</v>
      </c>
      <c r="D16" s="10">
        <f>ROUND($I$16*D12,0)</f>
        <v>7989699</v>
      </c>
      <c r="E16" s="10">
        <f t="shared" ref="E16:H16" si="3">ROUND($I$16*E12,0)</f>
        <v>1328103</v>
      </c>
      <c r="F16" s="10">
        <f t="shared" si="3"/>
        <v>9043749</v>
      </c>
      <c r="G16" s="10">
        <f t="shared" si="3"/>
        <v>1665399</v>
      </c>
      <c r="H16" s="10">
        <f t="shared" si="3"/>
        <v>1054050</v>
      </c>
      <c r="I16" s="10">
        <f>21081000</f>
        <v>21081000</v>
      </c>
      <c r="K16" s="14"/>
    </row>
    <row r="17" spans="1:11">
      <c r="C17" s="9"/>
      <c r="K17" s="7"/>
    </row>
    <row r="18" spans="1:11" s="2" customFormat="1">
      <c r="A18" s="8">
        <v>7</v>
      </c>
      <c r="B18" s="2" t="s">
        <v>19</v>
      </c>
      <c r="C18" s="15" t="s">
        <v>13</v>
      </c>
      <c r="D18" s="16">
        <f>-(D10+D14+D16)</f>
        <v>-43778456</v>
      </c>
      <c r="E18" s="16">
        <f t="shared" ref="E18:H18" si="4">-(E10+E14+E16)</f>
        <v>-5822336</v>
      </c>
      <c r="F18" s="16">
        <f t="shared" si="4"/>
        <v>-34907778</v>
      </c>
      <c r="G18" s="16">
        <f t="shared" si="4"/>
        <v>-6435724</v>
      </c>
      <c r="H18" s="16">
        <f t="shared" si="4"/>
        <v>-4077510</v>
      </c>
      <c r="I18" s="16">
        <f>SUM(D18:H18)</f>
        <v>-95021804</v>
      </c>
      <c r="J18" s="17"/>
      <c r="K18" s="16"/>
    </row>
    <row r="19" spans="1:11">
      <c r="K19" s="18"/>
    </row>
    <row r="20" spans="1:11">
      <c r="A20" s="7">
        <v>8</v>
      </c>
      <c r="B20" t="s">
        <v>20</v>
      </c>
      <c r="C20" s="9" t="s">
        <v>21</v>
      </c>
      <c r="D20" s="19">
        <f>D18*-D37</f>
        <v>3369627.75832</v>
      </c>
      <c r="E20" s="19">
        <f>E18*-E37</f>
        <v>611752.84351999999</v>
      </c>
      <c r="F20" s="19">
        <f>F18*-F37</f>
        <v>2686502.5948800002</v>
      </c>
      <c r="G20" s="19">
        <f>G18*-G37</f>
        <v>329830.85499999998</v>
      </c>
      <c r="H20" s="19">
        <f>H18*-H37</f>
        <v>300430.93679999997</v>
      </c>
      <c r="I20" s="19">
        <f>SUM(D20:H20)</f>
        <v>7298144.9885200011</v>
      </c>
    </row>
    <row r="21" spans="1:11">
      <c r="A21" s="7"/>
      <c r="C21" s="9"/>
      <c r="D21" s="20"/>
      <c r="E21" s="20"/>
      <c r="F21" s="20"/>
      <c r="G21" s="20"/>
      <c r="H21" s="20"/>
      <c r="I21" s="10"/>
    </row>
    <row r="22" spans="1:11">
      <c r="A22" s="7">
        <v>9</v>
      </c>
      <c r="B22" t="s">
        <v>22</v>
      </c>
      <c r="C22" s="21">
        <f>31.5/1000</f>
        <v>3.15E-2</v>
      </c>
      <c r="D22" s="19">
        <f>D18*$C$22</f>
        <v>-1379021.3640000001</v>
      </c>
      <c r="E22" s="19">
        <f>E18*$C$22</f>
        <v>-183403.584</v>
      </c>
      <c r="F22" s="19">
        <f>F18*$C$22</f>
        <v>-1099595.007</v>
      </c>
      <c r="G22" s="19">
        <f>G18*$C$22</f>
        <v>-202725.30600000001</v>
      </c>
      <c r="H22" s="19">
        <f>H18*$C$22</f>
        <v>-128441.565</v>
      </c>
      <c r="I22" s="19">
        <f>SUM(D22:H22)</f>
        <v>-2993186.8259999999</v>
      </c>
    </row>
    <row r="23" spans="1:11">
      <c r="A23" s="7"/>
      <c r="C23" s="9"/>
      <c r="D23" s="19"/>
      <c r="E23" s="19"/>
      <c r="F23" s="19"/>
      <c r="G23" s="19"/>
      <c r="H23" s="19"/>
      <c r="I23" s="19"/>
    </row>
    <row r="24" spans="1:11">
      <c r="A24" s="7">
        <v>10</v>
      </c>
      <c r="B24" t="s">
        <v>23</v>
      </c>
      <c r="C24" s="22">
        <v>4.4900000000000002E-2</v>
      </c>
      <c r="D24" s="19">
        <f>D20*-$C$24</f>
        <v>-151296.28634856801</v>
      </c>
      <c r="E24" s="19">
        <f t="shared" ref="E24:H24" si="5">E20*-$C$24</f>
        <v>-27467.702674048</v>
      </c>
      <c r="F24" s="19">
        <f t="shared" si="5"/>
        <v>-120623.96651011202</v>
      </c>
      <c r="G24" s="19">
        <f t="shared" si="5"/>
        <v>-14809.4053895</v>
      </c>
      <c r="H24" s="19">
        <f t="shared" si="5"/>
        <v>-13489.34906232</v>
      </c>
      <c r="I24" s="19">
        <f>SUM(D24:H24)</f>
        <v>-327686.70998454804</v>
      </c>
    </row>
    <row r="25" spans="1:11" ht="15.75" thickBot="1">
      <c r="A25" s="7"/>
      <c r="C25" s="9"/>
      <c r="D25" s="23"/>
      <c r="E25" s="23"/>
      <c r="F25" s="23"/>
      <c r="G25" s="23"/>
      <c r="H25" s="23"/>
      <c r="I25" s="10"/>
    </row>
    <row r="26" spans="1:11" s="2" customFormat="1" ht="16.5" thickTop="1" thickBot="1">
      <c r="A26" s="8">
        <v>11</v>
      </c>
      <c r="B26" s="2" t="s">
        <v>24</v>
      </c>
      <c r="C26" s="15" t="s">
        <v>25</v>
      </c>
      <c r="D26" s="24">
        <f>D20+D22+D24</f>
        <v>1839310.1079714319</v>
      </c>
      <c r="E26" s="24">
        <f t="shared" ref="E26:H26" si="6">E20+E22+E24</f>
        <v>400881.55684595194</v>
      </c>
      <c r="F26" s="24">
        <f t="shared" si="6"/>
        <v>1466283.6213698883</v>
      </c>
      <c r="G26" s="24">
        <f t="shared" si="6"/>
        <v>112296.14361049997</v>
      </c>
      <c r="H26" s="24">
        <f t="shared" si="6"/>
        <v>158500.02273767997</v>
      </c>
      <c r="I26" s="25">
        <f>SUM(D26:H26)</f>
        <v>3977271.4525354523</v>
      </c>
    </row>
    <row r="27" spans="1:11" ht="8.25" customHeight="1" thickTop="1">
      <c r="D27" s="26"/>
      <c r="E27" s="26"/>
      <c r="F27" s="26"/>
      <c r="G27" s="26"/>
      <c r="H27" s="26"/>
      <c r="I27" s="10"/>
    </row>
    <row r="28" spans="1:11">
      <c r="C28" s="27"/>
      <c r="D28" s="26"/>
      <c r="E28" s="26"/>
      <c r="F28" s="26"/>
      <c r="G28" s="26"/>
      <c r="H28" s="26"/>
      <c r="I28" s="10"/>
    </row>
    <row r="29" spans="1:11" ht="8.25" customHeight="1">
      <c r="A29" s="28"/>
      <c r="B29" s="28"/>
      <c r="C29" s="28"/>
      <c r="D29" s="29"/>
      <c r="E29" s="29"/>
      <c r="F29" s="29"/>
      <c r="G29" s="29"/>
      <c r="H29" s="29"/>
      <c r="I29" s="30"/>
      <c r="J29" s="28"/>
      <c r="K29" s="28"/>
    </row>
    <row r="30" spans="1:11">
      <c r="B30" s="2" t="s">
        <v>26</v>
      </c>
      <c r="D30" s="31"/>
    </row>
    <row r="31" spans="1:11" ht="32.25" customHeight="1">
      <c r="B31" s="32" t="s">
        <v>27</v>
      </c>
      <c r="C31" s="1" t="s">
        <v>28</v>
      </c>
      <c r="D31" s="7" t="s">
        <v>6</v>
      </c>
      <c r="E31" s="7" t="s">
        <v>7</v>
      </c>
      <c r="F31" s="7" t="s">
        <v>8</v>
      </c>
      <c r="G31" s="7" t="s">
        <v>9</v>
      </c>
      <c r="H31" s="7" t="s">
        <v>10</v>
      </c>
      <c r="I31" s="33" t="s">
        <v>29</v>
      </c>
      <c r="K31" s="7" t="s">
        <v>30</v>
      </c>
    </row>
    <row r="32" spans="1:11">
      <c r="A32" s="7">
        <v>12</v>
      </c>
      <c r="B32" s="9" t="s">
        <v>31</v>
      </c>
      <c r="C32" s="7" t="s">
        <v>32</v>
      </c>
      <c r="D32" s="19">
        <v>198458558.55999997</v>
      </c>
      <c r="E32" s="34">
        <v>55514175</v>
      </c>
      <c r="F32" s="34">
        <v>126921043</v>
      </c>
      <c r="G32" s="19">
        <v>58189487.789999999</v>
      </c>
      <c r="H32" s="19">
        <v>9438607.2200000007</v>
      </c>
      <c r="I32" s="19">
        <v>6582282.6002760017</v>
      </c>
      <c r="K32" s="35">
        <f>SUM(D32:I32)</f>
        <v>455104154.17027599</v>
      </c>
    </row>
    <row r="33" spans="1:11">
      <c r="A33" s="7">
        <v>13</v>
      </c>
      <c r="B33" s="9" t="s">
        <v>33</v>
      </c>
      <c r="C33" s="7" t="s">
        <v>32</v>
      </c>
      <c r="D33" s="19">
        <v>-14504226</v>
      </c>
      <c r="E33" s="34">
        <v>-4076832</v>
      </c>
      <c r="F33" s="34">
        <v>-12873200</v>
      </c>
      <c r="G33" s="19">
        <v>-3696000</v>
      </c>
      <c r="H33" s="19">
        <v>-288030</v>
      </c>
      <c r="I33" s="19">
        <v>-6582282.6002759999</v>
      </c>
      <c r="K33" s="35">
        <f>SUM(D33:I33)</f>
        <v>-42020570.600276001</v>
      </c>
    </row>
    <row r="34" spans="1:11">
      <c r="A34" s="7">
        <v>14</v>
      </c>
      <c r="B34" s="9" t="s">
        <v>34</v>
      </c>
      <c r="D34" s="36">
        <f>D32+D33</f>
        <v>183954332.55999997</v>
      </c>
      <c r="E34" s="36">
        <f t="shared" ref="E34:I34" si="7">E32+E33</f>
        <v>51437343</v>
      </c>
      <c r="F34" s="36">
        <f t="shared" si="7"/>
        <v>114047843</v>
      </c>
      <c r="G34" s="36">
        <f t="shared" si="7"/>
        <v>54493487.789999999</v>
      </c>
      <c r="H34" s="36">
        <f t="shared" si="7"/>
        <v>9150577.2200000007</v>
      </c>
      <c r="I34" s="36">
        <f t="shared" si="7"/>
        <v>0</v>
      </c>
      <c r="K34" s="36">
        <f t="shared" ref="K34" si="8">K32+K33</f>
        <v>413083583.56999999</v>
      </c>
    </row>
    <row r="35" spans="1:11">
      <c r="A35" s="7"/>
      <c r="B35" s="9"/>
      <c r="D35" s="37"/>
      <c r="E35" s="37"/>
      <c r="F35" s="37"/>
      <c r="G35" s="37"/>
      <c r="H35" s="37"/>
      <c r="I35" s="37"/>
      <c r="K35" s="37"/>
    </row>
    <row r="36" spans="1:11">
      <c r="A36" s="7">
        <v>15</v>
      </c>
      <c r="B36" s="9" t="s">
        <v>35</v>
      </c>
      <c r="C36" s="7" t="s">
        <v>36</v>
      </c>
      <c r="D36" s="5">
        <v>2390086210</v>
      </c>
      <c r="E36" s="4">
        <v>489572183</v>
      </c>
      <c r="F36" s="4">
        <v>1481850559</v>
      </c>
      <c r="G36" s="5">
        <v>1063262359</v>
      </c>
      <c r="H36" s="5">
        <v>124198378</v>
      </c>
      <c r="I36" s="5">
        <v>25886566</v>
      </c>
      <c r="K36" s="10">
        <f>SUM(D36:J36)</f>
        <v>5574856255</v>
      </c>
    </row>
    <row r="37" spans="1:11" s="2" customFormat="1">
      <c r="A37" s="8">
        <v>16</v>
      </c>
      <c r="B37" s="15" t="s">
        <v>37</v>
      </c>
      <c r="D37" s="38">
        <f>ROUND(D34/D36,5)</f>
        <v>7.6969999999999997E-2</v>
      </c>
      <c r="E37" s="38">
        <f t="shared" ref="E37:I37" si="9">ROUND(E34/E36,5)</f>
        <v>0.10507</v>
      </c>
      <c r="F37" s="38">
        <f t="shared" si="9"/>
        <v>7.6960000000000001E-2</v>
      </c>
      <c r="G37" s="38">
        <f t="shared" si="9"/>
        <v>5.1249999999999997E-2</v>
      </c>
      <c r="H37" s="38">
        <f t="shared" si="9"/>
        <v>7.3679999999999995E-2</v>
      </c>
      <c r="I37" s="38">
        <f t="shared" si="9"/>
        <v>0</v>
      </c>
    </row>
    <row r="38" spans="1:11">
      <c r="B38" s="9"/>
      <c r="D38" s="3"/>
      <c r="E38" s="3"/>
      <c r="F38" s="3"/>
      <c r="G38" s="3"/>
      <c r="H38" s="3"/>
      <c r="I38" s="3"/>
    </row>
    <row r="39" spans="1:11" ht="15.75">
      <c r="B39" s="39" t="s">
        <v>38</v>
      </c>
      <c r="D39" s="3"/>
      <c r="E39" s="3"/>
      <c r="F39" s="3"/>
      <c r="G39" s="3"/>
      <c r="H39" s="3"/>
      <c r="I39" s="3"/>
    </row>
    <row r="40" spans="1:11" ht="8.25" customHeight="1"/>
    <row r="41" spans="1:11">
      <c r="B41" s="40" t="s">
        <v>39</v>
      </c>
    </row>
    <row r="42" spans="1:11" ht="15.75">
      <c r="B42" s="39" t="s">
        <v>40</v>
      </c>
    </row>
    <row r="43" spans="1:11" ht="8.25" customHeight="1"/>
    <row r="44" spans="1:11">
      <c r="B44" s="2" t="s">
        <v>41</v>
      </c>
    </row>
    <row r="45" spans="1:11" ht="15.75">
      <c r="B45" s="6" t="s">
        <v>42</v>
      </c>
    </row>
    <row r="46" spans="1:11" ht="8.25" customHeight="1"/>
    <row r="47" spans="1:11">
      <c r="B47" s="2" t="s">
        <v>43</v>
      </c>
    </row>
    <row r="48" spans="1:11" ht="15.75">
      <c r="B48" s="6" t="s">
        <v>44</v>
      </c>
    </row>
    <row r="49" ht="8.25" customHeight="1"/>
  </sheetData>
  <printOptions horizontalCentered="1"/>
  <pageMargins left="0.42" right="0.31" top="0.6" bottom="0.5" header="0.41" footer="0.43"/>
  <pageSetup scale="70" orientation="landscape" r:id="rId1"/>
  <headerFooter>
    <oddHeader>&amp;RExhibit No. ___(PDE-8)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30244-F2AB-4D75-B6E2-D1337D0BDFDC}"/>
</file>

<file path=customXml/itemProps2.xml><?xml version="1.0" encoding="utf-8"?>
<ds:datastoreItem xmlns:ds="http://schemas.openxmlformats.org/officeDocument/2006/customXml" ds:itemID="{E6A85567-8811-4C3A-80F9-87D35EAC69C8}"/>
</file>

<file path=customXml/itemProps3.xml><?xml version="1.0" encoding="utf-8"?>
<ds:datastoreItem xmlns:ds="http://schemas.openxmlformats.org/officeDocument/2006/customXml" ds:itemID="{3B357FCC-E0F5-4942-99D5-2A00B5AC3FBD}"/>
</file>

<file path=customXml/itemProps4.xml><?xml version="1.0" encoding="utf-8"?>
<ds:datastoreItem xmlns:ds="http://schemas.openxmlformats.org/officeDocument/2006/customXml" ds:itemID="{A4412C16-7A4E-4DB0-AD9C-A73AD9589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E-DSMA-1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Ehrbar</dc:creator>
  <cp:lastModifiedBy>Avista - Patrick Ehrbar</cp:lastModifiedBy>
  <cp:lastPrinted>2012-03-20T21:44:10Z</cp:lastPrinted>
  <dcterms:created xsi:type="dcterms:W3CDTF">2010-02-17T18:25:22Z</dcterms:created>
  <dcterms:modified xsi:type="dcterms:W3CDTF">2012-03-20T21:44:28Z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