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ctrlProps/ctrlProp2.xml" ContentType="application/vnd.ms-excel.controlproperties+xml"/>
  <Override PartName="/xl/ctrlProps/ctrlProp1.xml" ContentType="application/vnd.ms-excel.controlproperties+xml"/>
  <Override PartName="/xl/comments1.xml" ContentType="application/vnd.openxmlformats-officedocument.spreadsheetml.comments+xml"/>
  <Override PartName="/xl/ctrlProps/ctrlProp3.xml" ContentType="application/vnd.ms-excel.control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targus\Documents\"/>
    </mc:Choice>
  </mc:AlternateContent>
  <bookViews>
    <workbookView xWindow="0" yWindow="0" windowWidth="20370" windowHeight="8550" tabRatio="719" activeTab="2"/>
  </bookViews>
  <sheets>
    <sheet name="Instructions - 2014" sheetId="21" r:id="rId1"/>
    <sheet name="Instructions - Revise 2012" sheetId="20" r:id="rId2"/>
    <sheet name="Conservation Report" sheetId="22" r:id="rId3"/>
    <sheet name="Renewables Report" sheetId="23" r:id="rId4"/>
    <sheet name="Data" sheetId="19" state="hidden" r:id="rId5"/>
  </sheets>
  <externalReferences>
    <externalReference r:id="rId6"/>
    <externalReference r:id="rId7"/>
    <externalReference r:id="rId8"/>
    <externalReference r:id="rId9"/>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ON_2012_Agriculture_Expend" localSheetId="2">'Conservation Report'!$E$20</definedName>
    <definedName name="CON_2012_Agriculture_Expend">#REF!</definedName>
    <definedName name="CON_2012_Agriculture_MWH" localSheetId="2">'Conservation Report'!$D$20</definedName>
    <definedName name="CON_2012_Agriculture_MWH">#REF!</definedName>
    <definedName name="CON_2012_Commercial_Expend" localSheetId="2">'Conservation Report'!$E$18</definedName>
    <definedName name="CON_2012_Commercial_Expend">#REF!</definedName>
    <definedName name="CON_2012_Commercial_MWH" localSheetId="2">'Conservation Report'!$D$18</definedName>
    <definedName name="CON_2012_Commercial_MWH">#REF!</definedName>
    <definedName name="CON_2012_Distribution_Expend" localSheetId="2">'Conservation Report'!$E$21</definedName>
    <definedName name="CON_2012_Distribution_Expend">#REF!</definedName>
    <definedName name="CON_2012_Distribution_MWH" localSheetId="2">'Conservation Report'!$D$21</definedName>
    <definedName name="CON_2012_Distribution_MWH">#REF!</definedName>
    <definedName name="CON_2012_Expenditures" localSheetId="2">'Conservation Report'!$E$29</definedName>
    <definedName name="CON_2012_Expenditures">#REF!</definedName>
    <definedName name="CON_2012_Industrial_Expend" localSheetId="2">'Conservation Report'!$E$19</definedName>
    <definedName name="CON_2012_Industrial_Expend">#REF!</definedName>
    <definedName name="CON_2012_Industrial_MWH" localSheetId="2">'Conservation Report'!$D$19</definedName>
    <definedName name="CON_2012_Industrial_MWH">#REF!</definedName>
    <definedName name="CON_2012_MWH" localSheetId="2">'Conservation Report'!$D$29</definedName>
    <definedName name="CON_2012_MWH" localSheetId="0">'[1]Conservation Report'!$D$29</definedName>
    <definedName name="CON_2012_MWH">#REF!</definedName>
    <definedName name="CON_2012_NEEA_Expend" localSheetId="2">'Conservation Report'!$E$23</definedName>
    <definedName name="CON_2012_NEEA_Expend">#REF!</definedName>
    <definedName name="CON_2012_NEEA_MWH" localSheetId="2">'Conservation Report'!$D$23</definedName>
    <definedName name="CON_2012_NEEA_MWH">#REF!</definedName>
    <definedName name="CON_2012_OtherSector1_Expend" localSheetId="2">'Conservation Report'!$E$24</definedName>
    <definedName name="CON_2012_OtherSector1_Expend">#REF!</definedName>
    <definedName name="CON_2012_OtherSector1_MWH" localSheetId="2">'Conservation Report'!$D$24</definedName>
    <definedName name="CON_2012_OtherSector1_MWH">#REF!</definedName>
    <definedName name="CON_2012_OtherSector2_Expend" localSheetId="2">'Conservation Report'!$E$25</definedName>
    <definedName name="CON_2012_OtherSector2_Expend">#REF!</definedName>
    <definedName name="CON_2012_OtherSector2_MWH" localSheetId="2">'Conservation Report'!$D$25</definedName>
    <definedName name="CON_2012_OtherSector2_MWH">#REF!</definedName>
    <definedName name="CON_2012_Production_Expend" localSheetId="2">'Conservation Report'!$E$22</definedName>
    <definedName name="CON_2012_Production_Expend">#REF!</definedName>
    <definedName name="CON_2012_Production_MWH" localSheetId="2">'Conservation Report'!$D$22</definedName>
    <definedName name="CON_2012_Production_MWH">#REF!</definedName>
    <definedName name="CON_2012_Program1_Expend" localSheetId="2">'Conservation Report'!$E$27</definedName>
    <definedName name="CON_2012_Program1_Expend">#REF!</definedName>
    <definedName name="CON_2012_Program2_Expend" localSheetId="2">'Conservation Report'!$E$28</definedName>
    <definedName name="CON_2012_Program2_Expend">#REF!</definedName>
    <definedName name="CON_2012_Residential_Expend" localSheetId="2">'Conservation Report'!$E$17</definedName>
    <definedName name="CON_2012_Residential_Expend">#REF!</definedName>
    <definedName name="CON_2012_Residential_MWH" localSheetId="2">'Conservation Report'!$D$17</definedName>
    <definedName name="CON_2012_Residential_MWH">#REF!</definedName>
    <definedName name="CON_2013_Agriculture_Expend" localSheetId="2">'Conservation Report'!$H$20</definedName>
    <definedName name="CON_2013_Agriculture_Expend">#REF!</definedName>
    <definedName name="CON_2013_Agriculture_MWH" localSheetId="2">'Conservation Report'!$G$20</definedName>
    <definedName name="CON_2013_Agriculture_MWH">#REF!</definedName>
    <definedName name="CON_2013_Commercial_Expend" localSheetId="2">'Conservation Report'!$H$18</definedName>
    <definedName name="CON_2013_Commercial_Expend">#REF!</definedName>
    <definedName name="CON_2013_Commercial_MWH" localSheetId="2">'Conservation Report'!$G$18</definedName>
    <definedName name="CON_2013_Commercial_MWH">#REF!</definedName>
    <definedName name="CON_2013_Distribution_Expend" localSheetId="2">'Conservation Report'!$H$21</definedName>
    <definedName name="CON_2013_Distribution_Expend">#REF!</definedName>
    <definedName name="CON_2013_Distribution_MWH" localSheetId="2">'Conservation Report'!$G$21</definedName>
    <definedName name="CON_2013_Distribution_MWH">#REF!</definedName>
    <definedName name="CON_2013_Expenditures" localSheetId="2">'Conservation Report'!$H$29</definedName>
    <definedName name="CON_2013_Expenditures">#REF!</definedName>
    <definedName name="CON_2013_Industrial_Expend" localSheetId="2">'Conservation Report'!$H$19</definedName>
    <definedName name="CON_2013_Industrial_Expend">#REF!</definedName>
    <definedName name="CON_2013_Industrial_MWH" localSheetId="2">'Conservation Report'!$G$19</definedName>
    <definedName name="CON_2013_Industrial_MWH">#REF!</definedName>
    <definedName name="CON_2013_MWH" localSheetId="2">'Conservation Report'!$G$29</definedName>
    <definedName name="CON_2013_MWH" localSheetId="0">'[1]Conservation Report'!$G$29</definedName>
    <definedName name="CON_2013_MWH">#REF!</definedName>
    <definedName name="CON_2013_NEEA_Expend" localSheetId="2">'Conservation Report'!$H$23</definedName>
    <definedName name="CON_2013_NEEA_Expend">#REF!</definedName>
    <definedName name="CON_2013_NEEA_MWH" localSheetId="2">'Conservation Report'!$G$23</definedName>
    <definedName name="CON_2013_NEEA_MWH">#REF!</definedName>
    <definedName name="CON_2013_OtherSector1_Expend" localSheetId="2">'Conservation Report'!$H$24</definedName>
    <definedName name="CON_2013_OtherSector1_Expend">#REF!</definedName>
    <definedName name="CON_2013_OtherSector1_MWH" localSheetId="2">'Conservation Report'!$G$24</definedName>
    <definedName name="CON_2013_OtherSector1_MWH">#REF!</definedName>
    <definedName name="CON_2013_OtherSector2_Expend" localSheetId="2">'Conservation Report'!$H$25</definedName>
    <definedName name="CON_2013_OtherSector2_Expend">#REF!</definedName>
    <definedName name="CON_2013_OtherSector2_MWH" localSheetId="2">'Conservation Report'!$G$25</definedName>
    <definedName name="CON_2013_OtherSector2_MWH">#REF!</definedName>
    <definedName name="CON_2013_Production_Expend" localSheetId="2">'Conservation Report'!$H$22</definedName>
    <definedName name="CON_2013_Production_Expend">#REF!</definedName>
    <definedName name="CON_2013_Production_MWH" localSheetId="2">'Conservation Report'!$G$22</definedName>
    <definedName name="CON_2013_Production_MWH">#REF!</definedName>
    <definedName name="CON_2013_Program1_Expend" localSheetId="2">'Conservation Report'!$H$27</definedName>
    <definedName name="CON_2013_Program1_Expend">#REF!</definedName>
    <definedName name="CON_2013_Program2_Expend" localSheetId="2">'Conservation Report'!$H$28</definedName>
    <definedName name="CON_2013_Program2_Expend">#REF!</definedName>
    <definedName name="CON_2013_Residential_Expend" localSheetId="2">'Conservation Report'!$H$17</definedName>
    <definedName name="CON_2013_Residential_Expend">#REF!</definedName>
    <definedName name="CON_2013_Residential_MWH" localSheetId="2">'Conservation Report'!$G$17</definedName>
    <definedName name="CON_2013_Residential_MWH">#REF!</definedName>
    <definedName name="CON_Contact_Name" localSheetId="2">'Conservation Report'!$C$5</definedName>
    <definedName name="CON_Contact_Name">#REF!</definedName>
    <definedName name="CON_Email" localSheetId="2">'Conservation Report'!$C$7</definedName>
    <definedName name="CON_Email">#REF!</definedName>
    <definedName name="CON_Phone" localSheetId="2">'Conservation Report'!$C$6</definedName>
    <definedName name="CON_Phone">#REF!</definedName>
    <definedName name="CON_Potential_2012_2021" localSheetId="2">'Conservation Report'!$B$12</definedName>
    <definedName name="CON_Potential_2012_2021">#REF!</definedName>
    <definedName name="CON_Potential_2014_2023" localSheetId="2">'Conservation Report'!$D$12</definedName>
    <definedName name="CON_Potential_2014_2023">#REF!</definedName>
    <definedName name="CON_Report_Date" localSheetId="2">'Conservation Report'!$C$4</definedName>
    <definedName name="CON_Report_Date">#REF!</definedName>
    <definedName name="CON_Target_2012_2013" localSheetId="2">'Conservation Report'!$C$12</definedName>
    <definedName name="CON_Target_2012_2013">#REF!</definedName>
    <definedName name="CON_Target_2014_2015" localSheetId="2">'Conservation Report'!$E$12</definedName>
    <definedName name="CON_Target_2014_2015">#REF!</definedName>
    <definedName name="CON_Utility_Name" localSheetId="2">'Conservation Report'!$C$3</definedName>
    <definedName name="CON_Utility_Name" localSheetId="0">'[1]Conservation Report'!$C$3:$E$3</definedName>
    <definedName name="CON_Utility_Name">#REF!</definedName>
    <definedName name="Facility">'[2]Facility Detail'!$B$412:$B$421</definedName>
    <definedName name="LaborBonus">'[2]Facility Detail'!$B$401:$B$403</definedName>
    <definedName name="OwnedCont">#REF!</definedName>
    <definedName name="_xlnm.Print_Area" localSheetId="2">'Conservation Report'!$A$1:$J$66</definedName>
    <definedName name="REN_Contact_Name" localSheetId="2">'[3]Renewables Report'!$C$5</definedName>
    <definedName name="REN_Contact_Name">#REF!</definedName>
    <definedName name="REN_Email" localSheetId="2">'[3]Renewables Report'!$C$7</definedName>
    <definedName name="REN_Email">#REF!</definedName>
    <definedName name="REN_ERR_ApprenticeLabor" localSheetId="2">'[3]Renewables Report'!$L$18</definedName>
    <definedName name="REN_ERR_ApprenticeLabor">#REF!</definedName>
    <definedName name="REN_ERR_Biodiesel" localSheetId="2">'[3]Renewables Report'!$J$18</definedName>
    <definedName name="REN_ERR_Biodiesel">#REF!</definedName>
    <definedName name="REN_ERR_Biomass" localSheetId="2">'[3]Renewables Report'!$K$18</definedName>
    <definedName name="REN_ERR_Biomass">#REF!</definedName>
    <definedName name="REN_ERR_Geothermal" localSheetId="2">'[3]Renewables Report'!$F$18</definedName>
    <definedName name="REN_ERR_Geothermal">#REF!</definedName>
    <definedName name="REN_ERR_LandfillGas" localSheetId="2">'[3]Renewables Report'!$G$18</definedName>
    <definedName name="REN_ERR_LandfillGas">#REF!</definedName>
    <definedName name="REN_ERR_SewageGas" localSheetId="2">'[3]Renewables Report'!$I$18</definedName>
    <definedName name="REN_ERR_SewageGas">#REF!</definedName>
    <definedName name="REN_ERR_Solar" localSheetId="2">'[3]Renewables Report'!$E$18</definedName>
    <definedName name="REN_ERR_Solar">#REF!</definedName>
    <definedName name="REN_ERR_Water" localSheetId="2">'[3]Renewables Report'!$C$18</definedName>
    <definedName name="REN_ERR_Water">#REF!</definedName>
    <definedName name="REN_ERR_Wind" localSheetId="2">'[3]Renewables Report'!$D$18</definedName>
    <definedName name="REN_ERR_Wind">#REF!</definedName>
    <definedName name="REN_ERR_WOT" localSheetId="2">'[3]Renewables Report'!$H$18</definedName>
    <definedName name="REN_ERR_WOT">#REF!</definedName>
    <definedName name="REN_Expenditure_Amount_2014" localSheetId="2">'[3]Renewables Report'!$N$11</definedName>
    <definedName name="REN_Expenditure_Amount_2014" localSheetId="3">'Renewables Report'!$N$11</definedName>
    <definedName name="REN_Expenditure_Amount_2014">#REF!</definedName>
    <definedName name="REN_Expenditure_Percent_2014" localSheetId="2">'[3]Renewables Report'!$N$13</definedName>
    <definedName name="REN_Expenditure_Percent_2014">#REF!</definedName>
    <definedName name="REN_Load_2012" localSheetId="2">'[3]Renewables Report'!$N$3</definedName>
    <definedName name="REN_Load_2012" localSheetId="3">'Renewables Report'!$N$3</definedName>
    <definedName name="REN_Load_2012">#REF!</definedName>
    <definedName name="REN_Load_2013" localSheetId="2">'[3]Renewables Report'!$N$4</definedName>
    <definedName name="REN_Load_2013" localSheetId="3">'Renewables Report'!$N$4</definedName>
    <definedName name="REN_Load_2013">#REF!</definedName>
    <definedName name="REN_REC_ApprenticeLabor" localSheetId="2">'[3]Renewables Report'!$L$19</definedName>
    <definedName name="REN_REC_ApprenticeLabor">#REF!</definedName>
    <definedName name="REN_REC_Biodiesel" localSheetId="2">'[3]Renewables Report'!$J$19</definedName>
    <definedName name="REN_REC_Biodiesel">#REF!</definedName>
    <definedName name="REN_REC_Biomass" localSheetId="2">'[3]Renewables Report'!$K$19</definedName>
    <definedName name="REN_REC_Biomass">#REF!</definedName>
    <definedName name="REN_REC_DistributedGeneration" localSheetId="2">'[3]Renewables Report'!$M$19</definedName>
    <definedName name="REN_REC_DistributedGeneration">#REF!</definedName>
    <definedName name="REN_REC_Geothermal" localSheetId="2">'[3]Renewables Report'!$F$19</definedName>
    <definedName name="REN_REC_Geothermal">#REF!</definedName>
    <definedName name="REN_REC_LandfillGas" localSheetId="2">'[3]Renewables Report'!$G$19</definedName>
    <definedName name="REN_REC_LandfillGas">#REF!</definedName>
    <definedName name="REN_REC_SewageGas" localSheetId="2">'[3]Renewables Report'!$I$19</definedName>
    <definedName name="REN_REC_SewageGas">#REF!</definedName>
    <definedName name="REN_REC_Solar" localSheetId="2">'[3]Renewables Report'!$E$19</definedName>
    <definedName name="REN_REC_Solar">#REF!</definedName>
    <definedName name="REN_REC_Wind" localSheetId="2">'[3]Renewables Report'!$D$19</definedName>
    <definedName name="REN_REC_Wind">#REF!</definedName>
    <definedName name="REN_REC_WOT" localSheetId="2">'[3]Renewables Report'!$H$19</definedName>
    <definedName name="REN_REC_WOT">#REF!</definedName>
    <definedName name="REN_RetailRevenueRequirement_2014" localSheetId="2">'[3]Renewables Report'!$N$12</definedName>
    <definedName name="REN_RetailRevenueRequirement_2014" localSheetId="3">'Renewables Report'!$N$12</definedName>
    <definedName name="REN_RetailRevenueRequirement_2014">#REF!</definedName>
    <definedName name="REN_Submittal_Date" localSheetId="2">'[3]Renewables Report'!$C$4</definedName>
    <definedName name="REN_Submittal_Date">#REF!</definedName>
    <definedName name="REN_Total_2014" localSheetId="2">'[3]Renewables Report'!$N$8</definedName>
    <definedName name="REN_Total_2014">#REF!</definedName>
    <definedName name="REN_Utility_Name" localSheetId="2">'[3]Renewables Report'!$C$3</definedName>
    <definedName name="REN_Utility_Name">#REF!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Target_2012_2013" localSheetId="2">'[4]Conservation Report'!$C$12</definedName>
    <definedName name="Target_2012_2013">'[1]Conservation Report'!$C$12</definedName>
    <definedName name="Target_2014_2015" localSheetId="2">'[4]Conservation Report'!$E$12</definedName>
    <definedName name="Target_2014_2015">'[1]Conservation Report'!$E$12</definedName>
    <definedName name="YesNo">#REF!</definedName>
  </definedNames>
  <calcPr calcId="152511"/>
</workbook>
</file>

<file path=xl/calcChain.xml><?xml version="1.0" encoding="utf-8"?>
<calcChain xmlns="http://schemas.openxmlformats.org/spreadsheetml/2006/main">
  <c r="F98" i="23" l="1"/>
  <c r="F66" i="23"/>
  <c r="N54" i="23"/>
  <c r="F54" i="23"/>
  <c r="C54" i="23"/>
  <c r="B54" i="23"/>
  <c r="E53" i="23"/>
  <c r="C53" i="23"/>
  <c r="B53" i="23"/>
  <c r="E52" i="23"/>
  <c r="C52" i="23"/>
  <c r="B52" i="23"/>
  <c r="E51" i="23"/>
  <c r="C51" i="23"/>
  <c r="B51" i="23"/>
  <c r="E50" i="23"/>
  <c r="C50" i="23"/>
  <c r="B50" i="23"/>
  <c r="E49" i="23"/>
  <c r="C49" i="23"/>
  <c r="B49" i="23"/>
  <c r="E48" i="23"/>
  <c r="C48" i="23"/>
  <c r="B48" i="23"/>
  <c r="E47" i="23"/>
  <c r="C47" i="23"/>
  <c r="B47" i="23"/>
  <c r="E46" i="23"/>
  <c r="C46" i="23"/>
  <c r="B46" i="23"/>
  <c r="E45" i="23"/>
  <c r="C45" i="23"/>
  <c r="B45" i="23"/>
  <c r="E44" i="23"/>
  <c r="C44" i="23"/>
  <c r="B44" i="23"/>
  <c r="M19" i="23"/>
  <c r="M20" i="23" s="1"/>
  <c r="L19" i="23"/>
  <c r="K19" i="23"/>
  <c r="J19" i="23"/>
  <c r="I19" i="23"/>
  <c r="H19" i="23"/>
  <c r="G19" i="23"/>
  <c r="F19" i="23"/>
  <c r="E19" i="23"/>
  <c r="D19" i="23"/>
  <c r="L18" i="23"/>
  <c r="K18" i="23"/>
  <c r="K20" i="23" s="1"/>
  <c r="J18" i="23"/>
  <c r="J20" i="23" s="1"/>
  <c r="I18" i="23"/>
  <c r="I20" i="23" s="1"/>
  <c r="H18" i="23"/>
  <c r="G18" i="23"/>
  <c r="G20" i="23" s="1"/>
  <c r="F18" i="23"/>
  <c r="F20" i="23" s="1"/>
  <c r="E18" i="23"/>
  <c r="E20" i="23" s="1"/>
  <c r="D18" i="23"/>
  <c r="N13" i="23"/>
  <c r="N4" i="23"/>
  <c r="N3" i="23"/>
  <c r="N5" i="23" s="1"/>
  <c r="N7" i="23" s="1"/>
  <c r="D20" i="23" l="1"/>
  <c r="H20" i="23"/>
  <c r="L20" i="23"/>
  <c r="C18" i="23"/>
  <c r="C20" i="23" s="1"/>
  <c r="N8" i="23" s="1"/>
  <c r="G17" i="22" l="1"/>
  <c r="H27" i="22"/>
  <c r="E12" i="22"/>
  <c r="C31" i="22"/>
  <c r="G29" i="22"/>
  <c r="D29" i="22"/>
  <c r="E27" i="22"/>
  <c r="H17" i="22"/>
  <c r="H29" i="22" s="1"/>
  <c r="E17" i="22"/>
  <c r="E29" i="22" s="1"/>
  <c r="J6" i="22"/>
  <c r="H6" i="22"/>
  <c r="H8" i="22" l="1"/>
  <c r="N5" i="21" l="1"/>
  <c r="N5" i="20"/>
  <c r="A2" i="19" l="1"/>
  <c r="CF2" i="19"/>
  <c r="CE2" i="19"/>
  <c r="CD2" i="19"/>
  <c r="CC2" i="19"/>
  <c r="CB2" i="19"/>
  <c r="CA2" i="19"/>
  <c r="BZ2" i="19"/>
  <c r="BY2" i="19"/>
  <c r="BX2" i="19"/>
  <c r="BW2" i="19"/>
  <c r="BV2" i="19"/>
  <c r="BU2" i="19"/>
  <c r="BT2" i="19"/>
  <c r="BS2" i="19"/>
  <c r="BR2" i="19"/>
  <c r="BQ2" i="19"/>
  <c r="BO2" i="19"/>
  <c r="BN2" i="19"/>
  <c r="BM2" i="19"/>
  <c r="BL2" i="19"/>
  <c r="BK2" i="19"/>
  <c r="BJ2" i="19"/>
  <c r="BI2" i="19"/>
  <c r="BH2" i="19"/>
  <c r="BG2" i="19"/>
  <c r="BF2" i="19"/>
  <c r="BE2" i="19"/>
  <c r="BD2" i="19"/>
  <c r="BC2" i="19"/>
  <c r="BB2" i="19"/>
  <c r="BA2" i="19"/>
  <c r="AZ2" i="19"/>
  <c r="AY2" i="19"/>
  <c r="AX2" i="19"/>
  <c r="AW2" i="19"/>
  <c r="AV2" i="19"/>
  <c r="AU2" i="19"/>
  <c r="AT2" i="19"/>
  <c r="AS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B2" i="19"/>
  <c r="BP2" i="19" l="1"/>
</calcChain>
</file>

<file path=xl/comments1.xml><?xml version="1.0" encoding="utf-8"?>
<comments xmlns="http://schemas.openxmlformats.org/spreadsheetml/2006/main">
  <authors>
    <author>bz4j93</author>
  </authors>
  <commentList>
    <comment ref="E12" authorId="0" shapeId="0">
      <text>
        <r>
          <rPr>
            <sz val="9"/>
            <color indexed="81"/>
            <rFont val="Tahoma"/>
            <family val="2"/>
          </rPr>
          <t>includes:
NEEA 11,130</t>
        </r>
      </text>
    </comment>
  </commentList>
</comments>
</file>

<file path=xl/sharedStrings.xml><?xml version="1.0" encoding="utf-8"?>
<sst xmlns="http://schemas.openxmlformats.org/spreadsheetml/2006/main" count="320" uniqueCount="231">
  <si>
    <t>Utility Contact Name/Dept</t>
  </si>
  <si>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</si>
  <si>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</si>
  <si>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</si>
  <si>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</si>
  <si>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</si>
  <si>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</si>
  <si>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</si>
  <si>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</si>
  <si>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</si>
  <si>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</si>
  <si>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</si>
  <si>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</si>
  <si>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</si>
  <si>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(a)</t>
  </si>
  <si>
    <t>     (b)</t>
  </si>
  <si>
    <t>(c)</t>
  </si>
  <si>
    <t>     (d)</t>
  </si>
  <si>
    <t>     (e)</t>
  </si>
  <si>
    <t>     (f)</t>
  </si>
  <si>
    <t>     (g)</t>
  </si>
  <si>
    <t>(h)</t>
  </si>
  <si>
    <t>     (i)</t>
  </si>
  <si>
    <t>Water</t>
  </si>
  <si>
    <t>Wind</t>
  </si>
  <si>
    <t>Solar Energy</t>
  </si>
  <si>
    <t>Geothermal Energy</t>
  </si>
  <si>
    <t>Landfill Gas</t>
  </si>
  <si>
    <t>Gas from Sewage Treatment</t>
  </si>
  <si>
    <t xml:space="preserve"> Biodiesel</t>
  </si>
  <si>
    <t>Biomass Energy</t>
  </si>
  <si>
    <t>Distributed Generation</t>
  </si>
  <si>
    <t>Renewable Energy Credits</t>
  </si>
  <si>
    <t xml:space="preserve">Water </t>
  </si>
  <si>
    <t>Apprentice Labor</t>
  </si>
  <si>
    <t>Facility Name</t>
  </si>
  <si>
    <t>2012 - 2013 Planning</t>
  </si>
  <si>
    <t>Conservation Notes:</t>
  </si>
  <si>
    <t xml:space="preserve"> Distribution Efficiency</t>
  </si>
  <si>
    <t xml:space="preserve"> Production Efficiency</t>
  </si>
  <si>
    <t>Renewable Resources</t>
  </si>
  <si>
    <t xml:space="preserve">Wave, Ocean, Tidal </t>
  </si>
  <si>
    <t>Wave, Ocean, Tidal</t>
  </si>
  <si>
    <t>Conservation by Sector</t>
  </si>
  <si>
    <t>2012 Annual Load (MWh)</t>
  </si>
  <si>
    <t>Eligible Renewable Resources (MWh)</t>
  </si>
  <si>
    <t>Renewable Energy Credits (MWh)</t>
  </si>
  <si>
    <t>Total Renewables (MWh)</t>
  </si>
  <si>
    <t>Loads and Resources</t>
  </si>
  <si>
    <t>2012 Achievement</t>
  </si>
  <si>
    <t>Target Year</t>
  </si>
  <si>
    <t>2012 - 2013 Target (MWh)</t>
  </si>
  <si>
    <t>Select</t>
  </si>
  <si>
    <t xml:space="preserve">19.285.040 (2)(b) Renewables Target </t>
  </si>
  <si>
    <t>19.285.040 (2)(d) No Load Growth</t>
  </si>
  <si>
    <t xml:space="preserve">19.285.050 Incremental Resource Cost  </t>
  </si>
  <si>
    <t>Eligible Renewables Acquisitions / Investments (MWh)</t>
  </si>
  <si>
    <t>2013 Annual Load (MWh)</t>
  </si>
  <si>
    <t>Average of 2012 &amp; 2013 Annual Loads (MWh)</t>
  </si>
  <si>
    <t>2014 Renewable Target (% of load)</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</si>
  <si>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2014</t>
    </r>
  </si>
  <si>
    <t>2014 Compliance Method:</t>
  </si>
  <si>
    <t>WREGIS ID</t>
  </si>
  <si>
    <t>REC Year</t>
  </si>
  <si>
    <t>MWh equiv.</t>
  </si>
  <si>
    <t>2014 Eligible Renewable Energy Target (MWh)</t>
  </si>
  <si>
    <t>Target (MWh)</t>
  </si>
  <si>
    <t>Achievement (MWh)</t>
  </si>
  <si>
    <t>Difference (MWh)</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</si>
  <si>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</si>
  <si>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</si>
  <si>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2013 Achievement</t>
  </si>
  <si>
    <t>2014 - 2015 Planning</t>
  </si>
  <si>
    <t>2014 - 2015 Target (MWh)</t>
  </si>
  <si>
    <t>2014-2023 Ten Year Potential (MWh)</t>
  </si>
  <si>
    <t>2012-2021 Ten Year Potential (MWh)</t>
  </si>
  <si>
    <r>
      <t>Description of Methodology:</t>
    </r>
    <r>
      <rPr>
        <b/>
        <sz val="10"/>
        <color theme="1"/>
        <rFont val="Arial"/>
        <family val="2"/>
      </rPr>
      <t xml:space="preserve">
</t>
    </r>
  </si>
  <si>
    <r>
      <rPr>
        <sz val="12"/>
        <color theme="1"/>
        <rFont val="Arial"/>
        <family val="2"/>
      </rPr>
      <t xml:space="preserve">Energy Independence Act (I-937) </t>
    </r>
    <r>
      <rPr>
        <sz val="12"/>
        <color theme="1"/>
        <rFont val="Arial Black"/>
        <family val="2"/>
      </rPr>
      <t>Conservation Report 2014</t>
    </r>
  </si>
  <si>
    <t>Documentation of the calculation and inputs for percentage of revenue requirement invested in renewables:</t>
  </si>
  <si>
    <t>Other notes and explanations:</t>
  </si>
  <si>
    <t>Biennial</t>
  </si>
  <si>
    <t>2012-2013</t>
  </si>
  <si>
    <t>2014-2015</t>
  </si>
  <si>
    <t>Contact Name/Dept</t>
  </si>
  <si>
    <t>Report Date</t>
  </si>
  <si>
    <t>Summary of Achievement and Targets</t>
  </si>
  <si>
    <t>     (j)</t>
  </si>
  <si>
    <t>     (k)</t>
  </si>
  <si>
    <t>CON_2012_Agriculture_Expend</t>
  </si>
  <si>
    <t>CON_2012_Agriculture_MWH</t>
  </si>
  <si>
    <t>CON_2012_Commercial_Expend</t>
  </si>
  <si>
    <t>CON_2012_Commercial_MWH</t>
  </si>
  <si>
    <t>CON_2012_Distribution_Expend</t>
  </si>
  <si>
    <t>CON_2012_Distribution_MWH</t>
  </si>
  <si>
    <t>CON_2012_Expenditures</t>
  </si>
  <si>
    <t>CON_2012_Industrial_Expend</t>
  </si>
  <si>
    <t>CON_2012_Industrial_MWH</t>
  </si>
  <si>
    <t>CON_2012_MWH</t>
  </si>
  <si>
    <t>CON_2012_NEEA_Expend</t>
  </si>
  <si>
    <t>CON_2012_NEEA_MWH</t>
  </si>
  <si>
    <t>CON_2012_OtherSector1_Expend</t>
  </si>
  <si>
    <t>CON_2012_OtherSector1_MWH</t>
  </si>
  <si>
    <t>CON_2012_OtherSector2_Expend</t>
  </si>
  <si>
    <t>CON_2012_OtherSector2_MWH</t>
  </si>
  <si>
    <t>CON_2012_Production_Expend</t>
  </si>
  <si>
    <t>CON_2012_Production_MWH</t>
  </si>
  <si>
    <t>CON_2012_Program1_Expend</t>
  </si>
  <si>
    <t>CON_2012_Program2_Expend</t>
  </si>
  <si>
    <t>CON_2012_Residential_Expend</t>
  </si>
  <si>
    <t>CON_2012_Residential_MWH</t>
  </si>
  <si>
    <t>CON_2013_Agriculture_Expend</t>
  </si>
  <si>
    <t>CON_2013_Agriculture_MWH</t>
  </si>
  <si>
    <t>CON_2013_Commercial_Expend</t>
  </si>
  <si>
    <t>CON_2013_Commercial_MWH</t>
  </si>
  <si>
    <t>CON_2013_Distribution_Expend</t>
  </si>
  <si>
    <t>CON_2013_Distribution_MWH</t>
  </si>
  <si>
    <t>CON_2013_Expenditures</t>
  </si>
  <si>
    <t>CON_2013_Industrial_Expend</t>
  </si>
  <si>
    <t>CON_2013_Industrial_MWH</t>
  </si>
  <si>
    <t>CON_2013_MWH</t>
  </si>
  <si>
    <t>CON_2013_NEEA_Expend</t>
  </si>
  <si>
    <t>CON_2013_NEEA_MWH</t>
  </si>
  <si>
    <t>CON_2013_OtherSector1_Expend</t>
  </si>
  <si>
    <t>CON_2013_OtherSector1_MWH</t>
  </si>
  <si>
    <t>CON_2013_OtherSector2_Expend</t>
  </si>
  <si>
    <t>CON_2013_OtherSector2_MWH</t>
  </si>
  <si>
    <t>CON_2013_Production_Expend</t>
  </si>
  <si>
    <t>CON_2013_Production_MWH</t>
  </si>
  <si>
    <t>CON_2013_Program1_Expend</t>
  </si>
  <si>
    <t>CON_2013_Program2_Expend</t>
  </si>
  <si>
    <t>CON_2013_Residential_Expend</t>
  </si>
  <si>
    <t>CON_2013_Residential_MWH</t>
  </si>
  <si>
    <t>CON_Contact_Name</t>
  </si>
  <si>
    <t>CON_Email</t>
  </si>
  <si>
    <t>CON_Phone</t>
  </si>
  <si>
    <t>CON_Report_Date</t>
  </si>
  <si>
    <t>CON_Utility_Name</t>
  </si>
  <si>
    <t>REN_Contact_Name</t>
  </si>
  <si>
    <t>REN_Email</t>
  </si>
  <si>
    <t>REN_Submittal_Date</t>
  </si>
  <si>
    <t>REN_Utility_Name</t>
  </si>
  <si>
    <t>CON_Potential_2012_2021</t>
  </si>
  <si>
    <t>CON_Potential_2014_2023</t>
  </si>
  <si>
    <t>CON_Target_2012_2013</t>
  </si>
  <si>
    <t>CON_Target_2014_2015</t>
  </si>
  <si>
    <t>REN_ERR_ApprenticeLabor</t>
  </si>
  <si>
    <t>REN_ERR_Biodiesel</t>
  </si>
  <si>
    <t>REN_ERR_Biomass</t>
  </si>
  <si>
    <t>REN_ERR_Geothermal</t>
  </si>
  <si>
    <t>REN_ERR_LandfillGas</t>
  </si>
  <si>
    <t>REN_ERR_SewageGas</t>
  </si>
  <si>
    <t>REN_ERR_Solar</t>
  </si>
  <si>
    <t>REN_ERR_Water</t>
  </si>
  <si>
    <t>REN_ERR_Wind</t>
  </si>
  <si>
    <t>REN_ERR_WOT</t>
  </si>
  <si>
    <t>REN_Load_2012</t>
  </si>
  <si>
    <t>REN_Load_2013</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</si>
  <si>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</si>
  <si>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</si>
  <si>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</si>
  <si>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</si>
  <si>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</si>
  <si>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</si>
  <si>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</si>
  <si>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</si>
  <si>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</si>
  <si>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</si>
  <si>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</si>
  <si>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Expenditures on Renewable Resources and RECs - 2014</t>
  </si>
  <si>
    <t>Investment in renewables and RECs as a percent of retail revenue requirement</t>
  </si>
  <si>
    <t>REN_Expenditure_Amount_2014</t>
  </si>
  <si>
    <t>REN_Expenditure_Percent_2014</t>
  </si>
  <si>
    <t>REN_RetailRevenueRequirement_2014</t>
  </si>
  <si>
    <r>
      <rPr>
        <b/>
        <i/>
        <sz val="10"/>
        <color indexed="60"/>
        <rFont val="Arial"/>
        <family val="2"/>
      </rPr>
      <t xml:space="preserve">Note: </t>
    </r>
    <r>
      <rPr>
        <i/>
        <sz val="10"/>
        <color indexed="60"/>
        <rFont val="Arial"/>
        <family val="2"/>
      </rPr>
      <t>Investor Owned Utilities may complete this page or attach their Utilities and Transportation Commission Renewable and Conservation filings for 2014.</t>
    </r>
  </si>
  <si>
    <t>REN_Total_2014</t>
  </si>
  <si>
    <t>Total annual retail revenue requirement - 2014</t>
  </si>
  <si>
    <t>RENEWABLE ENERGY WORKSHEET – REVISIONS TO 2012 REPORT</t>
  </si>
  <si>
    <t xml:space="preserve">Please use the 2012 template and mark it as revised. Contact Commerce to obtain a copy of the 2012 reporting template if necessary. </t>
  </si>
  <si>
    <r>
      <t xml:space="preserve">Energy Independence Act (I-937) </t>
    </r>
    <r>
      <rPr>
        <sz val="11"/>
        <color rgb="FF000000"/>
        <rFont val="Arial Black"/>
        <family val="2"/>
      </rPr>
      <t>Report Workbook Instructions</t>
    </r>
  </si>
  <si>
    <r>
      <t>Deadline:</t>
    </r>
    <r>
      <rPr>
        <sz val="11"/>
        <color rgb="FF000000"/>
        <rFont val="Arial"/>
        <family val="2"/>
      </rPr>
      <t xml:space="preserve"> Friday, June 1, 2014</t>
    </r>
  </si>
  <si>
    <r>
      <t>Submission:</t>
    </r>
    <r>
      <rPr>
        <sz val="11"/>
        <color rgb="FF000000"/>
        <rFont val="Arial"/>
        <family val="2"/>
      </rPr>
      <t xml:space="preserve"> Email this Workbook and all supporting documentation to </t>
    </r>
    <r>
      <rPr>
        <b/>
        <sz val="11"/>
        <color rgb="FF993300"/>
        <rFont val="Arial"/>
        <family val="2"/>
      </rPr>
      <t xml:space="preserve">EIA@commerce.wa.gov </t>
    </r>
  </si>
  <si>
    <r>
      <t>Questions:</t>
    </r>
    <r>
      <rPr>
        <sz val="11"/>
        <color rgb="FF000000"/>
        <rFont val="Arial"/>
        <family val="2"/>
      </rPr>
      <t xml:space="preserve"> Glenn Blackmon, State Energy Office, (360) 725-3115</t>
    </r>
  </si>
  <si>
    <t xml:space="preserve">The Energy Independence Act (EIA) “RCW 19.285.070, Reporting and public disclosure” requires each qualifying utility to submit an annual report describing compliance with the law. </t>
  </si>
  <si>
    <t>This template implements the public reporting requirement. Additional documentation may be necessary to demonstrate full compliance with EIA. The EIA reports will be made available to the public via Commerce’s website, http://www.commerce.wa.gov/eia.</t>
  </si>
  <si>
    <r>
      <t xml:space="preserve">Excel Report Workbook: </t>
    </r>
    <r>
      <rPr>
        <sz val="11"/>
        <color rgb="FF000000"/>
        <rFont val="Arial"/>
        <family val="2"/>
      </rPr>
      <t xml:space="preserve">Contains one worksheet for Renewables and one for Conservation. </t>
    </r>
  </si>
  <si>
    <r>
      <t xml:space="preserve">Each worksheet includes formulas for drawing results from input. Gray areas are for data input. Yellow areas are supported by formulas and require no inputs. In some cases you will want to skip over a yellow section because it summarizes detailed data that follow. The workbook requests numeric summaries as well as narratives and supporting notes. Commerce relies on the utilities to provide enough detail in the written section to ensure members of the public understand the data provided. </t>
    </r>
    <r>
      <rPr>
        <b/>
        <sz val="11"/>
        <color rgb="FF000000"/>
        <rFont val="Arial"/>
        <family val="2"/>
      </rPr>
      <t>Please submit this Workbook in Excel format (i.e., do not submit in PDF format).</t>
    </r>
  </si>
  <si>
    <r>
      <t>Attachments:</t>
    </r>
    <r>
      <rPr>
        <sz val="11"/>
        <color rgb="FF000000"/>
        <rFont val="Arial"/>
        <family val="2"/>
      </rPr>
      <t xml:space="preserve"> If you provide supporting documentation, Commerce will post that material along with your Excel Workbook. Please provide a reference to any attachments in the Excel workbook.</t>
    </r>
  </si>
  <si>
    <t>CONSERVATION WORKSHEET</t>
  </si>
  <si>
    <r>
      <t xml:space="preserve">Reporting Context: </t>
    </r>
    <r>
      <rPr>
        <sz val="11"/>
        <color rgb="FF000000"/>
        <rFont val="Arial"/>
        <family val="2"/>
      </rPr>
      <t xml:space="preserve">The conservation report includes two elements: </t>
    </r>
  </si>
  <si>
    <t>(1) a report of conservation achievement in the prior (2012-2013) biennial period relative to the targets established by the utility for that period.</t>
  </si>
  <si>
    <t>(2) a report of the utility’s 10-year conservation potential and biennial target for the 2014-2015 period.</t>
  </si>
  <si>
    <r>
      <t>Planning:</t>
    </r>
    <r>
      <rPr>
        <sz val="11"/>
        <color rgb="FF000000"/>
        <rFont val="Arial"/>
        <family val="2"/>
      </rPr>
      <t xml:space="preserve"> </t>
    </r>
  </si>
  <si>
    <r>
      <t>·</t>
    </r>
    <r>
      <rPr>
        <sz val="7"/>
        <color rgb="FF000000"/>
        <rFont val="Times New Roman"/>
        <family val="1"/>
      </rPr>
      <t xml:space="preserve">         </t>
    </r>
    <r>
      <rPr>
        <sz val="11"/>
        <color rgb="FF000000"/>
        <rFont val="Arial"/>
        <family val="2"/>
      </rPr>
      <t xml:space="preserve">For the period starting January 2012, report the utility’s 10-year potential and two-year target. </t>
    </r>
    <r>
      <rPr>
        <i/>
        <sz val="11"/>
        <color rgb="FF000000"/>
        <rFont val="Arial"/>
        <family val="2"/>
      </rPr>
      <t>If the 2012-2013 target is different from the value in the utility’s June 1, 2013, report, please provide an explanation of the difference in the Conservation Notes section.</t>
    </r>
    <r>
      <rPr>
        <sz val="11"/>
        <color rgb="FF000000"/>
        <rFont val="Arial"/>
        <family val="2"/>
      </rPr>
      <t xml:space="preserve">  </t>
    </r>
  </si>
  <si>
    <r>
      <t>·</t>
    </r>
    <r>
      <rPr>
        <sz val="7"/>
        <color rgb="FF000000"/>
        <rFont val="Times New Roman"/>
        <family val="1"/>
      </rPr>
      <t xml:space="preserve">         </t>
    </r>
    <r>
      <rPr>
        <sz val="11"/>
        <color rgb="FF000000"/>
        <rFont val="Arial"/>
        <family val="2"/>
      </rPr>
      <t>For the period starting in 2014, report the utility’s 10-year potential and two-year target as established by the utility by January 1, 2014.</t>
    </r>
  </si>
  <si>
    <r>
      <t>Achievement:</t>
    </r>
    <r>
      <rPr>
        <sz val="11"/>
        <color rgb="FF000000"/>
        <rFont val="Arial"/>
        <family val="2"/>
      </rPr>
      <t xml:space="preserve"> Report electric energy savings and conservation program cost in this section. The report shall include total electricity savings and cost by customer sector (residential, commercial, industrial, and agricultural), by production efficiencies, and by distribution efficiencies. The sectors listed are per WAC 194-37-060. Because it is a major category, we have listed NEEA separately.</t>
    </r>
  </si>
  <si>
    <t>Blank rows have been provided under sector-specific achievement and expenditures. If a utility summarizes data differently, or includes additional sector categories, it must add a sector name and enter the values. This may apply to investor-owned utilities that divide sectors differently. This may also be necessary to account for third-party programs, federal and state efficiency standards, or codes.</t>
  </si>
  <si>
    <r>
      <t>Conservation Expenditures NOT included in Sector Expenditures:</t>
    </r>
    <r>
      <rPr>
        <sz val="11"/>
        <color rgb="FF000000"/>
        <rFont val="Arial"/>
        <family val="2"/>
      </rPr>
      <t xml:space="preserve"> Some utilities have indicated they do not break down expenditures on staff, overhead, information services or other conservation- related expenses by sector. If that is the case, provide additional cost-related information in this section of the worksheet. Do not include energy savings estimates in this section.</t>
    </r>
  </si>
  <si>
    <r>
      <t>Methodology:</t>
    </r>
    <r>
      <rPr>
        <sz val="11"/>
        <color rgb="FF000000"/>
        <rFont val="Arial"/>
        <family val="2"/>
      </rPr>
      <t xml:space="preserve"> Describe the methodology used to establish the utility's ten-year potential and biennial targets for the period beginning January 1, 2014. Utilities are expected to provide sufficient detail for full public disclosure. We recommend you reference any detailed plans as approved by consumer owned utility governing authorities or investor owned utility regulators. Include web site addresses and utility contact information for referenced documentation. Planning and decision documents may be included as attachments.</t>
    </r>
  </si>
  <si>
    <t>Utilities should specifically state which of the three methods described in WAC 194-37-070, as the rule existed when the utility established its target in 2013. (WAC 194-37-070 was amended in February 2014.) The three methods are:</t>
  </si>
  <si>
    <r>
      <t>·</t>
    </r>
    <r>
      <rPr>
        <sz val="7"/>
        <color rgb="FF000000"/>
        <rFont val="Times New Roman"/>
        <family val="1"/>
      </rPr>
      <t xml:space="preserve">         </t>
    </r>
    <r>
      <rPr>
        <sz val="11"/>
        <color rgb="FF000000"/>
        <rFont val="Arial"/>
        <family val="2"/>
      </rPr>
      <t>Conservation Calculator Option: WAC 194-37-070(4).</t>
    </r>
  </si>
  <si>
    <r>
      <t>·</t>
    </r>
    <r>
      <rPr>
        <sz val="7"/>
        <color rgb="FF000000"/>
        <rFont val="Times New Roman"/>
        <family val="1"/>
      </rPr>
      <t xml:space="preserve">         </t>
    </r>
    <r>
      <rPr>
        <sz val="11"/>
        <color rgb="FF000000"/>
        <rFont val="Arial"/>
        <family val="2"/>
      </rPr>
      <t>Modified Conservation Calculator Option: WAC 194-37-070(5).</t>
    </r>
  </si>
  <si>
    <r>
      <t>·</t>
    </r>
    <r>
      <rPr>
        <sz val="7"/>
        <color rgb="FF000000"/>
        <rFont val="Times New Roman"/>
        <family val="1"/>
      </rPr>
      <t xml:space="preserve">         </t>
    </r>
    <r>
      <rPr>
        <sz val="11"/>
        <color rgb="FF000000"/>
        <rFont val="Arial"/>
        <family val="2"/>
      </rPr>
      <t>Utility Analysis Option: WAC 194-37-070(6).</t>
    </r>
  </si>
  <si>
    <r>
      <t xml:space="preserve">Conservation Notes: </t>
    </r>
    <r>
      <rPr>
        <sz val="11"/>
        <color rgb="FF000000"/>
        <rFont val="Arial"/>
        <family val="2"/>
      </rPr>
      <t>At the end of this worksheet you will find a text box called “Conservation Notes”. This is a place for any additional explanatory statements, web links or references the utility would like to include.</t>
    </r>
  </si>
  <si>
    <t>RENEWABLE ENERGY WORKSHEET</t>
  </si>
  <si>
    <t>This worksheet covers the renewable energy reporting requirements that apply to all qualifying utilities, regardless of its method of compliance. A utility electing to comply using the “no load growth” approach or the “cost cap” approach must submit additional documentation.</t>
  </si>
  <si>
    <r>
      <t>Reporting Context:</t>
    </r>
    <r>
      <rPr>
        <sz val="11"/>
        <color rgb="FF000000"/>
        <rFont val="Arial"/>
        <family val="2"/>
      </rPr>
      <t xml:space="preserve"> The June 1, 2014 renewable energy report summarizes the eligible renewables resource and renewable energy credits that the utility has acquired and or has under contract by January 1, 2014. This describes the renewables acquisitions and investments made prior to the beginning of the target year to meet the requirements of the EIA. </t>
    </r>
  </si>
  <si>
    <r>
      <t xml:space="preserve">Worksheet Organization: </t>
    </r>
    <r>
      <rPr>
        <sz val="11"/>
        <color rgb="FF000000"/>
        <rFont val="Arial"/>
        <family val="2"/>
      </rPr>
      <t>The first page of the renewables worksheet includes targets and summarizes detailed reporting from pages 2 and 3. Page 2 provides facility level reporting for renewable resources. Page 3 provides facility level reporting for renewable energy credits. Page 4 provides a text box where the utility may include explanatory statements, references or web links to supporting information.</t>
    </r>
  </si>
  <si>
    <r>
      <t>Compliance Method:</t>
    </r>
    <r>
      <rPr>
        <sz val="11"/>
        <color rgb="FF000000"/>
        <rFont val="Arial"/>
        <family val="2"/>
      </rPr>
      <t xml:space="preserve"> Select one or more of the three compliance methods that the utility intends to use. The EIA provides three compliance methods. A utility must make that determination by January 1, 2014 and must include information establishing its compliance method in this report.</t>
    </r>
  </si>
  <si>
    <t>Expenditures [NEW for 2014]</t>
  </si>
  <si>
    <t>Utilities must report the percentage of retail revenue requirement invested in the incremental cost of eligible renewable resources and the cost of renewable energy credits. No specific method of calculating this percentage is required, but each utility must include in its report documentation of the calculations and inputs to this amount. WAC 194-37-110, effective 2/24/2014.</t>
  </si>
  <si>
    <r>
      <t xml:space="preserve">Note for Investor Owned Utilities (IOUs): </t>
    </r>
    <r>
      <rPr>
        <sz val="11"/>
        <color rgb="FF993300"/>
        <rFont val="Arial"/>
        <family val="2"/>
      </rPr>
      <t>Details on page 2 and 3 are designed to meet reporting requirements for consumer-owned utilities. The Utilities and Transportation Commission and IOUs have developed their own report form that details renewable energy achievements. Commerce requests that IOUs complete page 1 of the renewable worksheet, including rows 21 and 22. When completed, Commerce will attach the reports provided under 480-109-040 WAC to complete the details.</t>
    </r>
  </si>
  <si>
    <r>
      <t xml:space="preserve">[Page 2] Renewable Resources: </t>
    </r>
    <r>
      <rPr>
        <sz val="11"/>
        <color rgb="FF000000"/>
        <rFont val="Arial"/>
        <family val="2"/>
      </rPr>
      <t>This table provides reporting of renewable resource generation (MWh) by facility and renewable energy type. It includes facility level entries for additional credits for Apprentice Labor, where applicable. For each facility, enter the renewable energy generation in the appropriate column by type. If generation is eligible for Apprentice Labor credits enter the amount in the appropriate column. For example, a wind facility meeting the apprentice labor requirements will report wind generation in column E and apprentice labor MWh equivalents in column l.</t>
    </r>
  </si>
  <si>
    <r>
      <t>[Page 3] Renewable Energy Credits:</t>
    </r>
    <r>
      <rPr>
        <sz val="11"/>
        <color rgb="FF000000"/>
        <rFont val="Arial"/>
        <family val="2"/>
      </rPr>
      <t xml:space="preserve"> This table provides reporting of renewable energy credits (one REC represents one MWh) by facility and renewable energy type. It includes facility level entries for Apprentice Labor and Distributed Generation credits. Report the facility name, the WREGIS generating unit identification number (GUID) and the vintage of the renewable energy credits (RECs). For facilities where RECs from two different years from the same facility are used, provide two rows for entry.</t>
    </r>
  </si>
  <si>
    <t>Additional reporting for compliance option 19.285.040(2)(d), “no load growth”</t>
  </si>
  <si>
    <t>Utilities electing to comply using the no-load growth method should attach a separate report with the data elements specified in WAC 194-37-110(5), effective 2/24/2014. Investor owned utilities should provide a summary of documentation required by the Utilities and Transportation Commission.</t>
  </si>
  <si>
    <t>Additional reporting for compliance option RCW 19.285.050, “cost cap”</t>
  </si>
  <si>
    <t>Utilities electing to comply using the cost cap method should attach a separate report with the data elements specified in WAC 194-37-110(4), effective 2/24/2014. Investor owned utilities should provide a summary of documentation required by the Utilities and Transportation Commission.</t>
  </si>
  <si>
    <r>
      <t>[Page 4] Notes:</t>
    </r>
    <r>
      <rPr>
        <sz val="11"/>
        <color rgb="FF000000"/>
        <rFont val="Arial"/>
        <family val="2"/>
      </rPr>
      <t xml:space="preserve"> Provide any additional information needed to support your renewables data.</t>
    </r>
  </si>
  <si>
    <r>
      <t xml:space="preserve">In addition to submitting the 2014 report, each qualifying utility should review the report it submitted in 2012. In many cases, the specific resources and quantities actually used to comply with the 2012 target differ from what the utility reported in June 2012. </t>
    </r>
    <r>
      <rPr>
        <u/>
        <sz val="11"/>
        <color theme="1"/>
        <rFont val="Arial"/>
        <family val="2"/>
      </rPr>
      <t>Utilities should submit a revised 2012 report if the actual values differ from the values reported in 2012.</t>
    </r>
    <r>
      <rPr>
        <sz val="11"/>
        <color theme="1"/>
        <rFont val="Arial"/>
        <family val="2"/>
      </rPr>
      <t xml:space="preserve"> </t>
    </r>
  </si>
  <si>
    <t>Revised 5/1/2014</t>
  </si>
  <si>
    <t>Avista Corp.</t>
  </si>
  <si>
    <t>Mark Baker. Demand Side Management</t>
  </si>
  <si>
    <t>(509) 495-4864</t>
  </si>
  <si>
    <t>mark.baker@avistacorp.com</t>
  </si>
  <si>
    <t>General</t>
  </si>
  <si>
    <t xml:space="preserve"> </t>
  </si>
  <si>
    <t>Avista Corporation</t>
  </si>
  <si>
    <t>John Lyons/Resource Planning</t>
  </si>
  <si>
    <t>509-495-8515</t>
  </si>
  <si>
    <t>John.Lyons@avistacorp.com</t>
  </si>
  <si>
    <t xml:space="preserve">Revised - August 7, 2014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</si>
</sst>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s>
  <fonts count="37" x14ac:knownFonts="1">
    <font>
      <sz val="11"/>
      <color theme="1"/>
      <name val="Calibri"/>
      <family val="2"/>
      <scheme val="minor"/>
    </font>
    <font>
      <sz val="10"/>
      <name val="Arial"/>
      <family val="2"/>
    </font>
    <font>
      <i/>
      <sz val="10"/>
      <color indexed="60"/>
      <name val="Arial"/>
      <family val="2"/>
    </font>
    <font>
      <b/>
      <sz val="10"/>
      <name val="Arial"/>
      <family val="2"/>
    </font>
    <font>
      <sz val="12"/>
      <color indexed="8"/>
      <name val="Arial Black"/>
      <family val="2"/>
    </font>
    <font>
      <sz val="12"/>
      <color indexed="8"/>
      <name val="Arial"/>
      <family val="2"/>
    </font>
    <font>
      <b/>
      <i/>
      <sz val="10"/>
      <color indexed="60"/>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9"/>
      <color theme="1"/>
      <name val="Arial"/>
      <family val="2"/>
    </font>
    <font>
      <b/>
      <sz val="9"/>
      <color theme="1"/>
      <name val="Arial"/>
      <family val="2"/>
    </font>
    <font>
      <sz val="10"/>
      <color rgb="FFC00000"/>
      <name val="Arial"/>
      <family val="2"/>
    </font>
    <font>
      <sz val="8"/>
      <color theme="1"/>
      <name val="Arial"/>
      <family val="2"/>
    </font>
    <font>
      <sz val="10"/>
      <color rgb="FFFF0000"/>
      <name val="Arial"/>
      <family val="2"/>
    </font>
    <font>
      <sz val="10"/>
      <color theme="6" tint="-0.499984740745262"/>
      <name val="Arial"/>
      <family val="2"/>
    </font>
    <font>
      <i/>
      <sz val="10"/>
      <color rgb="FFC00000"/>
      <name val="Arial"/>
      <family val="2"/>
    </font>
    <font>
      <sz val="11"/>
      <color theme="1"/>
      <name val="Arial"/>
      <family val="2"/>
    </font>
    <font>
      <sz val="14"/>
      <color theme="1"/>
      <name val="Arial"/>
      <family val="2"/>
    </font>
    <font>
      <sz val="8"/>
      <color rgb="FF000000"/>
      <name val="Tahoma"/>
      <family val="2"/>
    </font>
    <font>
      <sz val="12"/>
      <color theme="1"/>
      <name val="Arial Black"/>
      <family val="2"/>
    </font>
    <font>
      <sz val="12"/>
      <color theme="1"/>
      <name val="Arial"/>
      <family val="2"/>
    </font>
    <font>
      <sz val="9.75"/>
      <color theme="1"/>
      <name val="Arial"/>
      <family val="2"/>
    </font>
    <font>
      <sz val="11"/>
      <color rgb="FF000000"/>
      <name val="Arial Black"/>
      <family val="2"/>
    </font>
    <font>
      <u/>
      <sz val="11"/>
      <color theme="1"/>
      <name val="Arial"/>
      <family val="2"/>
    </font>
    <font>
      <sz val="11"/>
      <color rgb="FF000000"/>
      <name val="Arial"/>
      <family val="2"/>
    </font>
    <font>
      <i/>
      <sz val="11"/>
      <color rgb="FF000000"/>
      <name val="Arial"/>
      <family val="2"/>
    </font>
    <font>
      <b/>
      <sz val="11"/>
      <color rgb="FF000000"/>
      <name val="Arial"/>
      <family val="2"/>
    </font>
    <font>
      <b/>
      <sz val="11"/>
      <color rgb="FF993300"/>
      <name val="Arial"/>
      <family val="2"/>
    </font>
    <font>
      <sz val="11"/>
      <color rgb="FF000000"/>
      <name val="Symbol"/>
      <family val="1"/>
      <charset val="2"/>
    </font>
    <font>
      <sz val="7"/>
      <color rgb="FF000000"/>
      <name val="Times New Roman"/>
      <family val="1"/>
    </font>
    <font>
      <sz val="11"/>
      <color rgb="FF993300"/>
      <name val="Arial"/>
      <family val="2"/>
    </font>
    <font>
      <b/>
      <i/>
      <sz val="11"/>
      <color rgb="FF000000"/>
      <name val="Arial"/>
      <family val="2"/>
    </font>
    <font>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E4E4E4"/>
        <bgColor indexed="64"/>
      </patternFill>
    </fill>
    <fill>
      <patternFill patternType="lightUp">
        <fgColor theme="0" tint="-0.499984740745262"/>
        <bgColor rgb="FFE4E4E4"/>
      </patternFill>
    </fill>
    <fill>
      <patternFill patternType="darkGray">
        <fgColor theme="0" tint="-0.499984740745262"/>
        <bgColor rgb="FFE4E4E4"/>
      </patternFill>
    </fill>
    <fill>
      <patternFill patternType="solid">
        <fgColor rgb="FFFFFFFF"/>
        <bgColor indexed="64"/>
      </patternFill>
    </fill>
  </fills>
  <borders count="47">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style="thick">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thin">
        <color indexed="64"/>
      </left>
      <right/>
      <top style="thin">
        <color indexed="64"/>
      </top>
      <bottom style="hair">
        <color indexed="64"/>
      </bottom>
      <diagonal/>
    </border>
  </borders>
  <cellStyleXfs count="7">
    <xf numFmtId="0" fontId="0" fillId="0" borderId="0"/>
    <xf numFmtId="43" fontId="8"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91">
    <xf numFmtId="0" fontId="0" fillId="0" borderId="0" xfId="0"/>
    <xf numFmtId="0" fontId="10" fillId="2" borderId="0" xfId="0" applyFont="1" applyFill="1"/>
    <xf numFmtId="0" fontId="11" fillId="2" borderId="0" xfId="0" applyFont="1" applyFill="1" applyBorder="1" applyAlignment="1"/>
    <xf numFmtId="0" fontId="11" fillId="2" borderId="0" xfId="0" applyFont="1" applyFill="1" applyBorder="1" applyAlignment="1">
      <alignment horizontal="right"/>
    </xf>
    <xf numFmtId="0" fontId="10" fillId="2" borderId="0" xfId="0" applyFont="1" applyFill="1" applyBorder="1" applyAlignment="1">
      <alignment horizontal="right"/>
    </xf>
    <xf numFmtId="0" fontId="10" fillId="2" borderId="0" xfId="0" applyFont="1" applyFill="1" applyAlignment="1">
      <alignment horizontal="right"/>
    </xf>
    <xf numFmtId="0" fontId="11" fillId="2" borderId="0" xfId="0" applyFont="1" applyFill="1" applyBorder="1" applyAlignment="1">
      <alignment horizontal="left"/>
    </xf>
    <xf numFmtId="0" fontId="10" fillId="2" borderId="0" xfId="0" applyFont="1" applyFill="1" applyBorder="1"/>
    <xf numFmtId="0" fontId="11" fillId="2" borderId="0" xfId="0" applyFont="1" applyFill="1"/>
    <xf numFmtId="0" fontId="12" fillId="2" borderId="0" xfId="0" applyFont="1" applyFill="1" applyBorder="1"/>
    <xf numFmtId="0" fontId="11" fillId="2" borderId="4" xfId="0" applyFont="1" applyFill="1" applyBorder="1" applyAlignment="1">
      <alignment horizontal="center" wrapText="1"/>
    </xf>
    <xf numFmtId="0" fontId="10" fillId="2" borderId="5" xfId="0" applyFont="1" applyFill="1" applyBorder="1"/>
    <xf numFmtId="0" fontId="11" fillId="2" borderId="6" xfId="0" applyFont="1" applyFill="1" applyBorder="1" applyAlignment="1">
      <alignment horizontal="right"/>
    </xf>
    <xf numFmtId="0" fontId="11" fillId="2" borderId="0" xfId="0" applyFont="1" applyFill="1" applyBorder="1"/>
    <xf numFmtId="165" fontId="11" fillId="2" borderId="0" xfId="0" applyNumberFormat="1" applyFont="1" applyFill="1" applyBorder="1" applyAlignment="1">
      <alignment horizontal="center"/>
    </xf>
    <xf numFmtId="165" fontId="11" fillId="2" borderId="0" xfId="1" applyNumberFormat="1" applyFont="1" applyFill="1" applyBorder="1" applyAlignment="1">
      <alignment horizontal="center"/>
    </xf>
    <xf numFmtId="0" fontId="10" fillId="2" borderId="0" xfId="0" applyFont="1" applyFill="1" applyAlignment="1">
      <alignment vertical="top"/>
    </xf>
    <xf numFmtId="165" fontId="11" fillId="3" borderId="11" xfId="0" applyNumberFormat="1" applyFont="1" applyFill="1" applyBorder="1" applyAlignment="1">
      <alignment horizontal="center"/>
    </xf>
    <xf numFmtId="0" fontId="1" fillId="2" borderId="12" xfId="0" applyFont="1" applyFill="1" applyBorder="1" applyAlignment="1" applyProtection="1">
      <alignment horizontal="right"/>
    </xf>
    <xf numFmtId="0" fontId="10" fillId="2" borderId="12" xfId="0" applyFont="1" applyFill="1" applyBorder="1" applyAlignment="1">
      <alignment horizontal="right"/>
    </xf>
    <xf numFmtId="0" fontId="11" fillId="2" borderId="13" xfId="0" applyFont="1" applyFill="1" applyBorder="1"/>
    <xf numFmtId="0" fontId="23" fillId="2" borderId="0" xfId="0" applyFont="1" applyFill="1" applyBorder="1" applyAlignment="1"/>
    <xf numFmtId="0" fontId="10" fillId="2" borderId="0" xfId="0" applyFont="1" applyFill="1" applyAlignment="1">
      <alignment horizontal="left"/>
    </xf>
    <xf numFmtId="0" fontId="1" fillId="2" borderId="0" xfId="0" applyFont="1" applyFill="1" applyAlignment="1">
      <alignment horizontal="right"/>
    </xf>
    <xf numFmtId="165" fontId="18" fillId="3" borderId="20" xfId="0" applyNumberFormat="1" applyFont="1" applyFill="1" applyBorder="1"/>
    <xf numFmtId="165" fontId="18" fillId="3" borderId="19" xfId="0" applyNumberFormat="1" applyFont="1" applyFill="1" applyBorder="1"/>
    <xf numFmtId="165" fontId="18" fillId="3" borderId="14" xfId="0" applyNumberFormat="1" applyFont="1" applyFill="1" applyBorder="1"/>
    <xf numFmtId="165" fontId="18" fillId="3" borderId="15" xfId="0" applyNumberFormat="1" applyFont="1" applyFill="1" applyBorder="1"/>
    <xf numFmtId="0" fontId="11" fillId="2" borderId="10" xfId="0" applyFont="1" applyFill="1" applyBorder="1" applyAlignment="1">
      <alignment horizontal="center" wrapText="1"/>
    </xf>
    <xf numFmtId="0" fontId="11" fillId="2" borderId="38" xfId="0" applyFont="1" applyFill="1" applyBorder="1" applyAlignment="1">
      <alignment horizontal="center" wrapText="1"/>
    </xf>
    <xf numFmtId="165" fontId="11" fillId="5" borderId="11" xfId="1" applyNumberFormat="1" applyFont="1" applyFill="1" applyBorder="1" applyAlignment="1">
      <alignment horizontal="right"/>
    </xf>
    <xf numFmtId="165" fontId="11" fillId="5" borderId="2" xfId="1" applyNumberFormat="1" applyFont="1" applyFill="1" applyBorder="1" applyAlignment="1">
      <alignment horizontal="right"/>
    </xf>
    <xf numFmtId="165" fontId="11" fillId="5" borderId="18" xfId="1" applyNumberFormat="1" applyFont="1" applyFill="1" applyBorder="1" applyAlignment="1">
      <alignment horizontal="right"/>
    </xf>
    <xf numFmtId="165" fontId="10" fillId="5" borderId="6" xfId="1" applyNumberFormat="1" applyFont="1" applyFill="1" applyBorder="1" applyAlignment="1">
      <alignment horizontal="center"/>
    </xf>
    <xf numFmtId="165" fontId="10" fillId="5" borderId="6" xfId="0" applyNumberFormat="1" applyFont="1" applyFill="1" applyBorder="1" applyAlignment="1">
      <alignment horizontal="center"/>
    </xf>
    <xf numFmtId="0" fontId="11" fillId="5" borderId="12" xfId="0" applyFont="1" applyFill="1" applyBorder="1"/>
    <xf numFmtId="0" fontId="11" fillId="5" borderId="12" xfId="0" applyFont="1" applyFill="1" applyBorder="1" applyAlignment="1">
      <alignment vertical="center" wrapText="1"/>
    </xf>
    <xf numFmtId="0" fontId="11" fillId="2" borderId="0" xfId="0" applyFont="1" applyFill="1" applyAlignment="1">
      <alignment horizontal="center"/>
    </xf>
    <xf numFmtId="0" fontId="10" fillId="0" borderId="40" xfId="0" applyFont="1" applyBorder="1" applyAlignment="1"/>
    <xf numFmtId="0" fontId="3" fillId="2" borderId="40" xfId="0" applyFont="1" applyFill="1" applyBorder="1" applyAlignment="1">
      <alignment horizontal="center"/>
    </xf>
    <xf numFmtId="164" fontId="10" fillId="7" borderId="27" xfId="0" applyNumberFormat="1" applyFont="1" applyFill="1" applyBorder="1" applyAlignment="1">
      <alignment horizontal="center"/>
    </xf>
    <xf numFmtId="164" fontId="10" fillId="7" borderId="28" xfId="0" applyNumberFormat="1" applyFont="1" applyFill="1" applyBorder="1" applyAlignment="1">
      <alignment horizontal="center"/>
    </xf>
    <xf numFmtId="169" fontId="10" fillId="5" borderId="24" xfId="1" applyNumberFormat="1" applyFont="1" applyFill="1" applyBorder="1" applyAlignment="1">
      <alignment horizontal="right"/>
    </xf>
    <xf numFmtId="169" fontId="10" fillId="2" borderId="0" xfId="0" applyNumberFormat="1" applyFont="1" applyFill="1" applyAlignment="1">
      <alignment horizontal="right"/>
    </xf>
    <xf numFmtId="169" fontId="11" fillId="3" borderId="2" xfId="1" applyNumberFormat="1" applyFont="1" applyFill="1" applyBorder="1" applyAlignment="1">
      <alignment horizontal="right"/>
    </xf>
    <xf numFmtId="0" fontId="26" fillId="0" borderId="41" xfId="0" applyFont="1" applyBorder="1" applyAlignment="1">
      <alignment vertical="center" wrapText="1"/>
    </xf>
    <xf numFmtId="0" fontId="26" fillId="0" borderId="42" xfId="0" applyFont="1" applyBorder="1" applyAlignment="1">
      <alignment vertical="center" wrapText="1"/>
    </xf>
    <xf numFmtId="0" fontId="20" fillId="0" borderId="42" xfId="0" applyFont="1" applyBorder="1" applyAlignment="1">
      <alignment vertical="center" wrapText="1"/>
    </xf>
    <xf numFmtId="0" fontId="20" fillId="0" borderId="43" xfId="0" applyFont="1" applyBorder="1" applyAlignment="1">
      <alignment vertical="center" wrapText="1"/>
    </xf>
    <xf numFmtId="0" fontId="28" fillId="8" borderId="44" xfId="0" applyFont="1" applyFill="1" applyBorder="1" applyAlignment="1">
      <alignment vertical="center"/>
    </xf>
    <xf numFmtId="0" fontId="28" fillId="8" borderId="45" xfId="0" applyFont="1" applyFill="1" applyBorder="1" applyAlignment="1">
      <alignment vertical="center"/>
    </xf>
    <xf numFmtId="0" fontId="30" fillId="8" borderId="42" xfId="0" applyFont="1" applyFill="1" applyBorder="1" applyAlignment="1">
      <alignment vertical="center" wrapText="1"/>
    </xf>
    <xf numFmtId="0" fontId="30" fillId="8" borderId="45" xfId="0" applyFont="1" applyFill="1" applyBorder="1" applyAlignment="1">
      <alignment vertical="center" wrapText="1"/>
    </xf>
    <xf numFmtId="0" fontId="28" fillId="8" borderId="42" xfId="0" applyFont="1" applyFill="1" applyBorder="1" applyAlignment="1">
      <alignment vertical="center" wrapText="1"/>
    </xf>
    <xf numFmtId="0" fontId="30" fillId="8" borderId="45" xfId="0" applyFont="1" applyFill="1" applyBorder="1" applyAlignment="1">
      <alignment vertical="center"/>
    </xf>
    <xf numFmtId="0" fontId="28" fillId="8" borderId="45" xfId="0" applyFont="1" applyFill="1" applyBorder="1" applyAlignment="1">
      <alignment vertical="center" wrapText="1"/>
    </xf>
    <xf numFmtId="0" fontId="26" fillId="8" borderId="45" xfId="0" applyFont="1" applyFill="1" applyBorder="1" applyAlignment="1">
      <alignment vertical="center"/>
    </xf>
    <xf numFmtId="0" fontId="28" fillId="8" borderId="42" xfId="0" applyFont="1" applyFill="1" applyBorder="1" applyAlignment="1">
      <alignment horizontal="left" vertical="center" wrapText="1" indent="5"/>
    </xf>
    <xf numFmtId="0" fontId="28" fillId="8" borderId="45" xfId="0" applyFont="1" applyFill="1" applyBorder="1" applyAlignment="1">
      <alignment horizontal="left" vertical="center" wrapText="1" indent="5"/>
    </xf>
    <xf numFmtId="0" fontId="30" fillId="8" borderId="42" xfId="0" applyFont="1" applyFill="1" applyBorder="1" applyAlignment="1">
      <alignment vertical="center"/>
    </xf>
    <xf numFmtId="0" fontId="32" fillId="8" borderId="42" xfId="0" applyFont="1" applyFill="1" applyBorder="1" applyAlignment="1">
      <alignment horizontal="left" vertical="center" wrapText="1" indent="5"/>
    </xf>
    <xf numFmtId="0" fontId="32" fillId="8" borderId="45" xfId="0" applyFont="1" applyFill="1" applyBorder="1" applyAlignment="1">
      <alignment horizontal="left" vertical="center" indent="5"/>
    </xf>
    <xf numFmtId="0" fontId="0" fillId="8" borderId="42" xfId="0" applyFill="1" applyBorder="1" applyAlignment="1">
      <alignment vertical="center" wrapText="1"/>
    </xf>
    <xf numFmtId="0" fontId="32" fillId="8" borderId="45" xfId="0" applyFont="1" applyFill="1" applyBorder="1" applyAlignment="1">
      <alignment horizontal="left" vertical="center" wrapText="1" indent="5"/>
    </xf>
    <xf numFmtId="0" fontId="31" fillId="8" borderId="45" xfId="0" applyFont="1" applyFill="1" applyBorder="1" applyAlignment="1">
      <alignment vertical="center" wrapText="1"/>
    </xf>
    <xf numFmtId="0" fontId="30" fillId="8" borderId="43" xfId="0" applyFont="1" applyFill="1" applyBorder="1" applyAlignment="1">
      <alignment vertical="center"/>
    </xf>
    <xf numFmtId="0" fontId="0" fillId="0" borderId="0" xfId="0" applyNumberFormat="1"/>
    <xf numFmtId="168" fontId="35" fillId="8" borderId="45" xfId="0" applyNumberFormat="1" applyFont="1" applyFill="1" applyBorder="1" applyAlignment="1">
      <alignment horizontal="left" vertical="center"/>
    </xf>
    <xf numFmtId="0" fontId="7" fillId="2" borderId="0" xfId="3" applyNumberFormat="1" applyFont="1" applyFill="1" applyBorder="1" applyAlignment="1"/>
    <xf numFmtId="0" fontId="10" fillId="2" borderId="0" xfId="3" applyFont="1" applyFill="1" applyBorder="1"/>
    <xf numFmtId="0" fontId="20" fillId="2" borderId="0" xfId="3" applyFont="1" applyFill="1" applyBorder="1"/>
    <xf numFmtId="0" fontId="20" fillId="2" borderId="0" xfId="3" applyFont="1" applyFill="1" applyAlignment="1">
      <alignment horizontal="right"/>
    </xf>
    <xf numFmtId="0" fontId="10" fillId="2" borderId="0" xfId="3" applyFont="1" applyFill="1" applyBorder="1" applyAlignment="1"/>
    <xf numFmtId="0" fontId="10" fillId="2" borderId="0" xfId="3" applyFont="1" applyFill="1"/>
    <xf numFmtId="0" fontId="20" fillId="2" borderId="0" xfId="3" applyFont="1" applyFill="1"/>
    <xf numFmtId="0" fontId="20" fillId="2" borderId="29" xfId="3" applyFont="1" applyFill="1" applyBorder="1" applyAlignment="1">
      <alignment horizontal="right"/>
    </xf>
    <xf numFmtId="0" fontId="11" fillId="2" borderId="0" xfId="3" applyFont="1" applyFill="1" applyBorder="1" applyAlignment="1">
      <alignment horizontal="right"/>
    </xf>
    <xf numFmtId="0" fontId="10" fillId="2" borderId="33" xfId="3" applyFont="1" applyFill="1" applyBorder="1"/>
    <xf numFmtId="0" fontId="1" fillId="2" borderId="0" xfId="3" applyFont="1" applyFill="1" applyBorder="1" applyAlignment="1">
      <alignment horizontal="right"/>
    </xf>
    <xf numFmtId="0" fontId="10" fillId="4" borderId="12" xfId="3" applyNumberFormat="1" applyFont="1" applyFill="1" applyBorder="1" applyAlignment="1">
      <alignment horizontal="center"/>
    </xf>
    <xf numFmtId="0" fontId="10" fillId="2" borderId="0" xfId="3" applyFont="1" applyFill="1" applyBorder="1" applyAlignment="1">
      <alignment horizontal="right"/>
    </xf>
    <xf numFmtId="0" fontId="10" fillId="4" borderId="12" xfId="3" applyFont="1" applyFill="1" applyBorder="1" applyAlignment="1">
      <alignment horizontal="center"/>
    </xf>
    <xf numFmtId="0" fontId="20" fillId="2" borderId="30" xfId="3" applyFont="1" applyFill="1" applyBorder="1" applyAlignment="1">
      <alignment horizontal="right"/>
    </xf>
    <xf numFmtId="0" fontId="10" fillId="2" borderId="0" xfId="3" applyFont="1" applyFill="1" applyAlignment="1">
      <alignment horizontal="right"/>
    </xf>
    <xf numFmtId="0" fontId="10" fillId="3" borderId="36" xfId="3" applyNumberFormat="1" applyFont="1" applyFill="1" applyBorder="1" applyAlignment="1">
      <alignment horizontal="center"/>
    </xf>
    <xf numFmtId="9" fontId="1" fillId="3" borderId="36" xfId="3" applyNumberFormat="1" applyFont="1" applyFill="1" applyBorder="1" applyAlignment="1">
      <alignment horizontal="center"/>
    </xf>
    <xf numFmtId="0" fontId="10" fillId="2" borderId="33" xfId="3" applyFont="1" applyFill="1" applyBorder="1" applyAlignment="1"/>
    <xf numFmtId="0" fontId="10" fillId="2" borderId="0" xfId="3" applyFont="1" applyFill="1" applyBorder="1" applyAlignment="1">
      <alignment horizontal="left"/>
    </xf>
    <xf numFmtId="0" fontId="10" fillId="2" borderId="37" xfId="3" applyFont="1" applyFill="1" applyBorder="1"/>
    <xf numFmtId="0" fontId="10" fillId="2" borderId="32" xfId="3" applyFont="1" applyFill="1" applyBorder="1"/>
    <xf numFmtId="0" fontId="1" fillId="2" borderId="32" xfId="3" applyFont="1" applyFill="1" applyBorder="1" applyAlignment="1">
      <alignment horizontal="right"/>
    </xf>
    <xf numFmtId="0" fontId="10" fillId="3" borderId="13" xfId="3" applyNumberFormat="1" applyFont="1" applyFill="1" applyBorder="1" applyAlignment="1">
      <alignment horizontal="center"/>
    </xf>
    <xf numFmtId="0" fontId="11" fillId="2" borderId="0" xfId="3" applyFont="1" applyFill="1" applyBorder="1" applyAlignment="1">
      <alignment horizontal="center"/>
    </xf>
    <xf numFmtId="0" fontId="21" fillId="2" borderId="0" xfId="3" applyFont="1" applyFill="1" applyBorder="1" applyAlignment="1"/>
    <xf numFmtId="0" fontId="21" fillId="2" borderId="0" xfId="3" applyFont="1" applyFill="1"/>
    <xf numFmtId="0" fontId="21" fillId="2" borderId="0" xfId="3" applyFont="1" applyFill="1" applyBorder="1"/>
    <xf numFmtId="169" fontId="10" fillId="4" borderId="12" xfId="3" applyNumberFormat="1" applyFont="1" applyFill="1" applyBorder="1" applyAlignment="1"/>
    <xf numFmtId="0" fontId="25" fillId="2" borderId="0" xfId="3" applyFont="1" applyFill="1" applyBorder="1" applyAlignment="1">
      <alignment vertical="top" wrapText="1"/>
    </xf>
    <xf numFmtId="0" fontId="25" fillId="2" borderId="37" xfId="3" applyFont="1" applyFill="1" applyBorder="1" applyAlignment="1">
      <alignment vertical="top"/>
    </xf>
    <xf numFmtId="0" fontId="25" fillId="2" borderId="32" xfId="3" applyFont="1" applyFill="1" applyBorder="1" applyAlignment="1">
      <alignment vertical="top" wrapText="1"/>
    </xf>
    <xf numFmtId="167" fontId="10" fillId="3" borderId="13" xfId="4" applyNumberFormat="1" applyFont="1" applyFill="1" applyBorder="1" applyAlignment="1">
      <alignment horizontal="center"/>
    </xf>
    <xf numFmtId="166" fontId="10" fillId="2" borderId="0" xfId="5" applyNumberFormat="1" applyFont="1" applyFill="1" applyBorder="1" applyAlignment="1">
      <alignment horizontal="right"/>
    </xf>
    <xf numFmtId="0" fontId="10" fillId="2" borderId="0" xfId="3" applyFont="1" applyFill="1" applyAlignment="1"/>
    <xf numFmtId="0" fontId="13" fillId="2" borderId="9"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11" fillId="2" borderId="0" xfId="3" applyFont="1" applyFill="1" applyAlignment="1">
      <alignment horizontal="right"/>
    </xf>
    <xf numFmtId="0" fontId="14" fillId="2" borderId="0" xfId="3" applyFont="1" applyFill="1" applyBorder="1" applyAlignment="1">
      <alignment horizontal="center" vertical="center" wrapText="1"/>
    </xf>
    <xf numFmtId="0" fontId="13" fillId="2" borderId="0" xfId="3" applyFont="1" applyFill="1" applyAlignment="1">
      <alignment horizontal="center" vertical="center"/>
    </xf>
    <xf numFmtId="165" fontId="10" fillId="3" borderId="1" xfId="6" applyNumberFormat="1" applyFont="1" applyFill="1" applyBorder="1"/>
    <xf numFmtId="164" fontId="10" fillId="6" borderId="27" xfId="3" applyNumberFormat="1" applyFont="1" applyFill="1" applyBorder="1" applyAlignment="1">
      <alignment horizontal="center"/>
    </xf>
    <xf numFmtId="167" fontId="10" fillId="2" borderId="0" xfId="4" applyNumberFormat="1" applyFont="1" applyFill="1" applyBorder="1" applyAlignment="1">
      <alignment horizontal="right"/>
    </xf>
    <xf numFmtId="0" fontId="1" fillId="2" borderId="0" xfId="3" applyFont="1" applyFill="1" applyBorder="1" applyAlignment="1">
      <alignment horizontal="right" wrapText="1"/>
    </xf>
    <xf numFmtId="165" fontId="10" fillId="3" borderId="2" xfId="6" applyNumberFormat="1" applyFont="1" applyFill="1" applyBorder="1"/>
    <xf numFmtId="166" fontId="10" fillId="2" borderId="0" xfId="3" applyNumberFormat="1" applyFont="1" applyFill="1" applyBorder="1"/>
    <xf numFmtId="165" fontId="10" fillId="3" borderId="3" xfId="6" applyNumberFormat="1" applyFont="1" applyFill="1" applyBorder="1"/>
    <xf numFmtId="0" fontId="11" fillId="2" borderId="0" xfId="3" applyFont="1" applyFill="1"/>
    <xf numFmtId="0" fontId="11" fillId="2" borderId="0" xfId="3" applyFont="1" applyFill="1" applyBorder="1" applyAlignment="1">
      <alignment horizontal="left"/>
    </xf>
    <xf numFmtId="0" fontId="10" fillId="2" borderId="0" xfId="3" applyFont="1" applyFill="1" applyBorder="1" applyAlignment="1">
      <alignment horizontal="center"/>
    </xf>
    <xf numFmtId="0" fontId="15" fillId="0" borderId="0" xfId="3" applyFont="1" applyAlignment="1">
      <alignment wrapText="1"/>
    </xf>
    <xf numFmtId="0" fontId="15" fillId="2" borderId="0" xfId="3" applyFont="1" applyFill="1"/>
    <xf numFmtId="0" fontId="10" fillId="2" borderId="0" xfId="3" applyFont="1" applyFill="1" applyAlignment="1">
      <alignment wrapText="1"/>
    </xf>
    <xf numFmtId="0" fontId="3" fillId="2" borderId="0" xfId="3" applyFont="1" applyFill="1" applyAlignment="1">
      <alignment horizontal="center"/>
    </xf>
    <xf numFmtId="0" fontId="1" fillId="4" borderId="20" xfId="3" applyFont="1" applyFill="1" applyBorder="1" applyAlignment="1">
      <alignment horizontal="right"/>
    </xf>
    <xf numFmtId="0" fontId="1" fillId="4" borderId="46" xfId="3" applyFont="1" applyFill="1" applyBorder="1" applyAlignment="1">
      <alignment horizontal="right"/>
    </xf>
    <xf numFmtId="165" fontId="10" fillId="4" borderId="22" xfId="6" applyNumberFormat="1" applyFont="1" applyFill="1" applyBorder="1"/>
    <xf numFmtId="165" fontId="10" fillId="4" borderId="1" xfId="6" applyNumberFormat="1" applyFont="1" applyFill="1" applyBorder="1"/>
    <xf numFmtId="0" fontId="1" fillId="4" borderId="14" xfId="3" applyFont="1" applyFill="1" applyBorder="1" applyAlignment="1">
      <alignment horizontal="right"/>
    </xf>
    <xf numFmtId="165" fontId="10" fillId="4" borderId="23" xfId="6" applyNumberFormat="1" applyFont="1" applyFill="1" applyBorder="1"/>
    <xf numFmtId="165" fontId="10" fillId="4" borderId="24" xfId="6" applyNumberFormat="1" applyFont="1" applyFill="1" applyBorder="1"/>
    <xf numFmtId="0" fontId="1" fillId="4" borderId="14" xfId="3" applyFont="1" applyFill="1" applyBorder="1" applyAlignment="1">
      <alignment horizontal="right" wrapText="1"/>
    </xf>
    <xf numFmtId="0" fontId="3" fillId="4" borderId="14" xfId="3" applyFont="1" applyFill="1" applyBorder="1" applyAlignment="1">
      <alignment horizontal="right"/>
    </xf>
    <xf numFmtId="0" fontId="11" fillId="4" borderId="14" xfId="3" applyFont="1" applyFill="1" applyBorder="1"/>
    <xf numFmtId="0" fontId="11" fillId="4" borderId="12" xfId="3" applyFont="1" applyFill="1" applyBorder="1"/>
    <xf numFmtId="0" fontId="11" fillId="4" borderId="16" xfId="3" applyFont="1" applyFill="1" applyBorder="1"/>
    <xf numFmtId="0" fontId="11" fillId="4" borderId="15" xfId="3" applyFont="1" applyFill="1" applyBorder="1"/>
    <xf numFmtId="165" fontId="10" fillId="4" borderId="26" xfId="6" applyNumberFormat="1" applyFont="1" applyFill="1" applyBorder="1"/>
    <xf numFmtId="165" fontId="10" fillId="4" borderId="2" xfId="6" applyNumberFormat="1" applyFont="1" applyFill="1" applyBorder="1"/>
    <xf numFmtId="0" fontId="10" fillId="2" borderId="0" xfId="3" applyFont="1" applyFill="1" applyAlignment="1">
      <alignment horizontal="center"/>
    </xf>
    <xf numFmtId="0" fontId="10" fillId="2" borderId="7" xfId="3" applyFont="1" applyFill="1" applyBorder="1"/>
    <xf numFmtId="0" fontId="3" fillId="2" borderId="0" xfId="3" applyFont="1" applyFill="1" applyAlignment="1">
      <alignment horizontal="right"/>
    </xf>
    <xf numFmtId="0" fontId="16" fillId="4" borderId="12" xfId="3" applyFont="1" applyFill="1" applyBorder="1"/>
    <xf numFmtId="165" fontId="17" fillId="4" borderId="10" xfId="6" applyNumberFormat="1" applyFont="1" applyFill="1" applyBorder="1" applyAlignment="1">
      <alignment horizontal="center"/>
    </xf>
    <xf numFmtId="165" fontId="10" fillId="4" borderId="17" xfId="6" applyNumberFormat="1" applyFont="1" applyFill="1" applyBorder="1"/>
    <xf numFmtId="165" fontId="17" fillId="4" borderId="6" xfId="6" applyNumberFormat="1" applyFont="1" applyFill="1" applyBorder="1" applyAlignment="1">
      <alignment horizontal="center"/>
    </xf>
    <xf numFmtId="165" fontId="10" fillId="4" borderId="25" xfId="6" applyNumberFormat="1" applyFont="1" applyFill="1" applyBorder="1"/>
    <xf numFmtId="165" fontId="10" fillId="4" borderId="6" xfId="6" applyNumberFormat="1" applyFont="1" applyFill="1" applyBorder="1"/>
    <xf numFmtId="0" fontId="11" fillId="4" borderId="21" xfId="3" applyFont="1" applyFill="1" applyBorder="1"/>
    <xf numFmtId="165" fontId="10" fillId="4" borderId="11" xfId="6" applyNumberFormat="1" applyFont="1" applyFill="1" applyBorder="1"/>
    <xf numFmtId="165" fontId="10" fillId="4" borderId="18" xfId="6" applyNumberFormat="1" applyFont="1" applyFill="1" applyBorder="1"/>
    <xf numFmtId="0" fontId="11" fillId="2" borderId="0" xfId="3" applyFont="1" applyFill="1" applyBorder="1" applyAlignment="1"/>
    <xf numFmtId="0" fontId="11" fillId="2" borderId="31" xfId="0" applyFont="1" applyFill="1" applyBorder="1" applyAlignment="1"/>
    <xf numFmtId="0" fontId="11" fillId="2" borderId="32" xfId="0" applyFont="1" applyFill="1" applyBorder="1" applyAlignment="1">
      <alignment horizontal="center"/>
    </xf>
    <xf numFmtId="0" fontId="11" fillId="5" borderId="20" xfId="0" applyFont="1" applyFill="1" applyBorder="1" applyAlignment="1">
      <alignment horizontal="center"/>
    </xf>
    <xf numFmtId="0" fontId="11" fillId="2" borderId="39" xfId="0" applyFont="1" applyFill="1" applyBorder="1" applyAlignment="1">
      <alignment horizontal="center"/>
    </xf>
    <xf numFmtId="168" fontId="12" fillId="5" borderId="14" xfId="0" applyNumberFormat="1" applyFont="1" applyFill="1" applyBorder="1" applyAlignment="1">
      <alignment horizontal="left"/>
    </xf>
    <xf numFmtId="168" fontId="10" fillId="5" borderId="14" xfId="0" applyNumberFormat="1" applyFont="1" applyFill="1" applyBorder="1" applyAlignment="1">
      <alignment horizontal="left"/>
    </xf>
    <xf numFmtId="0" fontId="11" fillId="5" borderId="14" xfId="0" applyFont="1" applyFill="1" applyBorder="1" applyAlignment="1">
      <alignment horizontal="left"/>
    </xf>
    <xf numFmtId="0" fontId="10" fillId="5" borderId="14" xfId="0" applyFont="1" applyFill="1" applyBorder="1" applyAlignment="1">
      <alignment horizontal="left"/>
    </xf>
    <xf numFmtId="0" fontId="9" fillId="5" borderId="15" xfId="2" applyFill="1" applyBorder="1" applyAlignment="1" applyProtection="1">
      <alignment horizontal="left"/>
    </xf>
    <xf numFmtId="0" fontId="10" fillId="5" borderId="15" xfId="0" applyFont="1" applyFill="1" applyBorder="1" applyAlignment="1">
      <alignment horizontal="left"/>
    </xf>
    <xf numFmtId="0" fontId="10" fillId="2" borderId="0" xfId="0" applyFont="1" applyFill="1" applyBorder="1" applyAlignment="1">
      <alignment horizontal="right" wrapText="1"/>
    </xf>
    <xf numFmtId="0" fontId="10" fillId="2" borderId="36" xfId="0" applyFont="1" applyFill="1" applyBorder="1" applyAlignment="1">
      <alignment horizontal="right" wrapText="1"/>
    </xf>
    <xf numFmtId="0" fontId="11" fillId="3" borderId="19" xfId="0" applyFont="1" applyFill="1" applyBorder="1" applyAlignment="1">
      <alignment horizontal="center"/>
    </xf>
    <xf numFmtId="0" fontId="11" fillId="2" borderId="0" xfId="0" applyFont="1" applyFill="1" applyBorder="1" applyAlignment="1">
      <alignment vertical="top" wrapText="1"/>
    </xf>
    <xf numFmtId="0" fontId="10" fillId="2" borderId="0" xfId="0" applyFont="1" applyFill="1" applyBorder="1" applyAlignment="1">
      <alignment vertical="top" wrapText="1"/>
    </xf>
    <xf numFmtId="0" fontId="10" fillId="2" borderId="31" xfId="0" applyFont="1" applyFill="1" applyBorder="1" applyAlignment="1"/>
    <xf numFmtId="0" fontId="10" fillId="2" borderId="0" xfId="0" applyFont="1" applyFill="1" applyBorder="1" applyAlignment="1"/>
    <xf numFmtId="0" fontId="11" fillId="2" borderId="0" xfId="0" applyFont="1" applyFill="1" applyBorder="1" applyAlignment="1">
      <alignment horizontal="center"/>
    </xf>
    <xf numFmtId="0" fontId="11" fillId="3" borderId="10" xfId="3" applyFont="1" applyFill="1" applyBorder="1" applyAlignment="1">
      <alignment horizontal="center"/>
    </xf>
    <xf numFmtId="0" fontId="10" fillId="0" borderId="1" xfId="3" applyFont="1" applyBorder="1" applyAlignment="1"/>
    <xf numFmtId="0" fontId="10" fillId="0" borderId="17" xfId="3" applyFont="1" applyBorder="1" applyAlignment="1"/>
    <xf numFmtId="0" fontId="11" fillId="2" borderId="11" xfId="3" applyFont="1" applyFill="1" applyBorder="1" applyAlignment="1">
      <alignment horizontal="center"/>
    </xf>
    <xf numFmtId="0" fontId="10" fillId="2" borderId="2" xfId="3" applyFont="1" applyFill="1" applyBorder="1" applyAlignment="1">
      <alignment horizontal="center"/>
    </xf>
    <xf numFmtId="0" fontId="10" fillId="2" borderId="18" xfId="3" applyFont="1" applyFill="1" applyBorder="1" applyAlignment="1">
      <alignment horizontal="center"/>
    </xf>
    <xf numFmtId="0" fontId="11" fillId="2" borderId="34" xfId="3" applyFont="1" applyFill="1" applyBorder="1" applyAlignment="1">
      <alignment horizontal="center"/>
    </xf>
    <xf numFmtId="0" fontId="11" fillId="2" borderId="7" xfId="3" applyFont="1" applyFill="1" applyBorder="1" applyAlignment="1">
      <alignment horizontal="center"/>
    </xf>
    <xf numFmtId="0" fontId="11" fillId="2" borderId="35" xfId="3" applyFont="1" applyFill="1" applyBorder="1" applyAlignment="1">
      <alignment horizontal="center"/>
    </xf>
    <xf numFmtId="0" fontId="1" fillId="2" borderId="0" xfId="3" applyFont="1" applyFill="1" applyBorder="1" applyAlignment="1">
      <alignment horizontal="right" wrapText="1"/>
    </xf>
    <xf numFmtId="0" fontId="2" fillId="2" borderId="0" xfId="3" applyFont="1" applyFill="1" applyAlignment="1">
      <alignment horizontal="left" vertical="center" wrapText="1"/>
    </xf>
    <xf numFmtId="0" fontId="19" fillId="2" borderId="0" xfId="3" applyFont="1" applyFill="1" applyAlignment="1">
      <alignment horizontal="left" vertical="center" wrapText="1"/>
    </xf>
    <xf numFmtId="0" fontId="1" fillId="2" borderId="0" xfId="3" applyFill="1" applyAlignment="1">
      <alignment wrapText="1"/>
    </xf>
    <xf numFmtId="0" fontId="3" fillId="2" borderId="32" xfId="3" applyFont="1" applyFill="1" applyBorder="1" applyAlignment="1">
      <alignment horizontal="left"/>
    </xf>
    <xf numFmtId="0" fontId="9" fillId="4" borderId="15" xfId="2" applyFill="1" applyBorder="1" applyAlignment="1" applyProtection="1">
      <alignment horizontal="center"/>
    </xf>
    <xf numFmtId="0" fontId="10" fillId="4" borderId="15" xfId="3" applyFont="1" applyFill="1" applyBorder="1" applyAlignment="1">
      <alignment horizontal="center"/>
    </xf>
    <xf numFmtId="0" fontId="11" fillId="0" borderId="34" xfId="3" applyFont="1" applyBorder="1" applyAlignment="1">
      <alignment horizontal="center" wrapText="1"/>
    </xf>
    <xf numFmtId="0" fontId="11" fillId="0" borderId="7" xfId="3" applyFont="1" applyBorder="1" applyAlignment="1">
      <alignment horizontal="center" wrapText="1"/>
    </xf>
    <xf numFmtId="0" fontId="11" fillId="0" borderId="35" xfId="3" applyFont="1" applyBorder="1" applyAlignment="1">
      <alignment horizontal="center" wrapText="1"/>
    </xf>
    <xf numFmtId="0" fontId="11" fillId="4" borderId="20" xfId="3" applyFont="1" applyFill="1" applyBorder="1" applyAlignment="1">
      <alignment horizontal="center"/>
    </xf>
    <xf numFmtId="168" fontId="10" fillId="4" borderId="14" xfId="3" applyNumberFormat="1" applyFont="1" applyFill="1" applyBorder="1" applyAlignment="1">
      <alignment horizontal="center"/>
    </xf>
    <xf numFmtId="0" fontId="10" fillId="4" borderId="14" xfId="3" applyFont="1" applyFill="1" applyBorder="1" applyAlignment="1">
      <alignment horizontal="center"/>
    </xf>
  </cellXfs>
  <cellStyles count="7">
    <cellStyle name="Comma" xfId="1" builtinId="3"/>
    <cellStyle name="Comma 2" xfId="6"/>
    <cellStyle name="Currency 2" xfId="5"/>
    <cellStyle name="Hyperlink" xfId="2" builtinId="8"/>
    <cellStyle name="Normal" xfId="0" builtinId="0"/>
    <cellStyle name="Normal 2" xfId="3"/>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9525</xdr:colOff>
      <xdr:row>33</xdr:row>
      <xdr:rowOff>31750</xdr:rowOff>
    </xdr:from>
    <xdr:to>
      <xdr:col>9</xdr:col>
      <xdr:colOff>638175</xdr:colOff>
      <xdr:row>49</xdr:row>
      <xdr:rowOff>167639</xdr:rowOff>
    </xdr:to>
    <xdr:sp macro="" textlink="">
      <xdr:nvSpPr>
        <xdr:cNvPr id="2" name="TextBox 1"/>
        <xdr:cNvSpPr txBox="1"/>
      </xdr:nvSpPr>
      <xdr:spPr>
        <a:xfrm>
          <a:off x="222885" y="7217410"/>
          <a:ext cx="8378190" cy="3092449"/>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The Company’s energy efficiency acquisition targets for the 2012-2013 Biennium were based upon a Conservation Potential Assessment (CPA) completed as part of Avista’s 2011 Electric Integrated Resource Plan (IRP) by a third-party consultant applying methodologies consistent with the Northwest Power and Conservation Council’s (NWPCC) Sixth Power Plan.  </a:t>
          </a:r>
          <a:endParaRPr lang="en-US"/>
        </a:p>
        <a:p>
          <a:endParaRPr lang="en-US" sz="1100">
            <a:solidFill>
              <a:schemeClr val="dk1"/>
            </a:solidFill>
            <a:latin typeface="+mn-lt"/>
            <a:ea typeface="+mn-ea"/>
            <a:cs typeface="+mn-cs"/>
          </a:endParaRPr>
        </a:p>
        <a:p>
          <a:r>
            <a:rPr lang="en-US" sz="1100">
              <a:solidFill>
                <a:schemeClr val="dk1"/>
              </a:solidFill>
              <a:latin typeface="+mn-lt"/>
              <a:ea typeface="+mn-ea"/>
              <a:cs typeface="+mn-cs"/>
            </a:rPr>
            <a:t>Avista's 2012-2013 targets were approved in Order No. 01, Docket No. UE-111882, by the Washington Utilities and Transportation Commission (UTC) on February 10, 2012.  The Commission Order provides procedural and substantive background and detail, the web link to the documents is as follows: </a:t>
          </a:r>
          <a:r>
            <a:rPr lang="en-US" sz="1100" u="sng">
              <a:solidFill>
                <a:schemeClr val="dk1"/>
              </a:solidFill>
              <a:latin typeface="+mn-lt"/>
              <a:ea typeface="+mn-ea"/>
              <a:cs typeface="+mn-cs"/>
            </a:rPr>
            <a:t>http://www.utc.wa.gov/docs/Pages/DocketLookup.aspx?FilingID=111882</a:t>
          </a:r>
          <a:r>
            <a:rPr lang="en-US" sz="1100">
              <a:solidFill>
                <a:schemeClr val="dk1"/>
              </a:solidFill>
              <a:latin typeface="+mn-lt"/>
              <a:ea typeface="+mn-ea"/>
              <a:cs typeface="+mn-cs"/>
            </a:rPr>
            <a:t>. </a:t>
          </a:r>
          <a:endParaRPr lang="en-US"/>
        </a:p>
        <a:p>
          <a:endParaRPr lang="en-US" sz="1100">
            <a:solidFill>
              <a:schemeClr val="dk1"/>
            </a:solidFill>
            <a:latin typeface="+mn-lt"/>
            <a:ea typeface="+mn-ea"/>
            <a:cs typeface="+mn-cs"/>
          </a:endParaRPr>
        </a:p>
        <a:p>
          <a:r>
            <a:rPr lang="en-US" sz="1100">
              <a:solidFill>
                <a:schemeClr val="dk1"/>
              </a:solidFill>
              <a:latin typeface="+mn-lt"/>
              <a:ea typeface="+mn-ea"/>
              <a:cs typeface="+mn-cs"/>
            </a:rPr>
            <a:t>The Company committed to a range of acquisition rather than a point estimate (for 2012-2013) in recognition of the uncertainties inherent in the estimation process;</a:t>
          </a:r>
          <a:r>
            <a:rPr lang="en-US" sz="1100" baseline="0">
              <a:solidFill>
                <a:schemeClr val="dk1"/>
              </a:solidFill>
              <a:latin typeface="+mn-lt"/>
              <a:ea typeface="+mn-ea"/>
              <a:cs typeface="+mn-cs"/>
            </a:rPr>
            <a:t> particularly with the inclusion of substantial distribution efficiency savings. </a:t>
          </a:r>
          <a:r>
            <a:rPr lang="en-US" sz="1100">
              <a:solidFill>
                <a:schemeClr val="dk1"/>
              </a:solidFill>
              <a:latin typeface="+mn-lt"/>
              <a:ea typeface="+mn-ea"/>
              <a:cs typeface="+mn-cs"/>
            </a:rPr>
            <a:t> Avista is reporting the target's low-range number herein,</a:t>
          </a:r>
          <a:r>
            <a:rPr lang="en-US" sz="1100" baseline="0">
              <a:solidFill>
                <a:schemeClr val="dk1"/>
              </a:solidFill>
              <a:latin typeface="+mn-lt"/>
              <a:ea typeface="+mn-ea"/>
              <a:cs typeface="+mn-cs"/>
            </a:rPr>
            <a:t> </a:t>
          </a:r>
          <a:r>
            <a:rPr lang="en-US" sz="1100">
              <a:solidFill>
                <a:schemeClr val="dk1"/>
              </a:solidFill>
              <a:latin typeface="+mn-lt"/>
              <a:ea typeface="+mn-ea"/>
              <a:cs typeface="+mn-cs"/>
            </a:rPr>
            <a:t>consistent with RCW 19.285 and WAC 480-109.</a:t>
          </a:r>
        </a:p>
        <a:p>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The Company’s energy efficiency acquisition targets for the 2014-2015 Biennium were based upon a Conservation Potential Assessment (CPA) completed as part of Avista’s 2013 Electric Integrated Resource Plan (IRP) by a third-party consultant applying methodologies consistent with the Northwest Power and Conservation Council’s (NWPCC) Sixth Power Plan. </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 Avista's 2014-2015 targets were approved in Order No. 01, Docket No. UE-132045, by the Washington Utilities and Transportation Commission (UTC) on December 19, 2013.  </a:t>
          </a:r>
          <a:r>
            <a:rPr lang="en-US" sz="1100" u="sng">
              <a:solidFill>
                <a:schemeClr val="dk1"/>
              </a:solidFill>
              <a:latin typeface="+mn-lt"/>
              <a:ea typeface="+mn-ea"/>
              <a:cs typeface="+mn-cs"/>
            </a:rPr>
            <a:t>http://www.utc.wa.gov/docs/Pages/DocketLookup.aspx?FilingID=132045</a:t>
          </a:r>
          <a:endParaRPr lang="en-US" sz="1100">
            <a:solidFill>
              <a:schemeClr val="dk1"/>
            </a:solidFill>
            <a:latin typeface="+mn-lt"/>
            <a:ea typeface="+mn-ea"/>
            <a:cs typeface="+mn-cs"/>
          </a:endParaRPr>
        </a:p>
        <a:p>
          <a:endParaRPr lang="en-US" sz="1100">
            <a:solidFill>
              <a:schemeClr val="dk1"/>
            </a:solidFill>
            <a:latin typeface="+mn-lt"/>
            <a:ea typeface="+mn-ea"/>
            <a:cs typeface="+mn-cs"/>
          </a:endParaRPr>
        </a:p>
        <a:p>
          <a:endParaRPr lang="en-US" sz="1100"/>
        </a:p>
      </xdr:txBody>
    </xdr:sp>
    <xdr:clientData/>
  </xdr:twoCellAnchor>
  <xdr:twoCellAnchor>
    <xdr:from>
      <xdr:col>1</xdr:col>
      <xdr:colOff>0</xdr:colOff>
      <xdr:row>51</xdr:row>
      <xdr:rowOff>68579</xdr:rowOff>
    </xdr:from>
    <xdr:to>
      <xdr:col>9</xdr:col>
      <xdr:colOff>638175</xdr:colOff>
      <xdr:row>65</xdr:row>
      <xdr:rowOff>142874</xdr:rowOff>
    </xdr:to>
    <xdr:sp macro="" textlink="">
      <xdr:nvSpPr>
        <xdr:cNvPr id="3" name="TextBox 2"/>
        <xdr:cNvSpPr txBox="1"/>
      </xdr:nvSpPr>
      <xdr:spPr>
        <a:xfrm>
          <a:off x="209550" y="10517504"/>
          <a:ext cx="8172450" cy="2341245"/>
        </a:xfrm>
        <a:prstGeom prst="rect">
          <a:avLst/>
        </a:prstGeom>
        <a:solidFill>
          <a:srgbClr val="E4E4E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Energy</a:t>
          </a:r>
          <a:r>
            <a:rPr lang="en-US" sz="1100" baseline="0">
              <a:solidFill>
                <a:schemeClr val="dk1"/>
              </a:solidFill>
              <a:latin typeface="+mn-lt"/>
              <a:ea typeface="+mn-ea"/>
              <a:cs typeface="+mn-cs"/>
            </a:rPr>
            <a:t> savings were evaluated on a 2012-2013 biennial basis by a third party and therefore, are being reported on a biennial basis in 2013, as well as NEEA being reported on a biennial basis. Savings numbers are for I-937 and do not include fuel switching of 4,642 MWh.</a:t>
          </a:r>
        </a:p>
        <a:p>
          <a:endParaRPr lang="en-US" sz="1100">
            <a:solidFill>
              <a:schemeClr val="dk1"/>
            </a:solidFill>
            <a:latin typeface="+mn-lt"/>
            <a:ea typeface="+mn-ea"/>
            <a:cs typeface="+mn-cs"/>
          </a:endParaRPr>
        </a:p>
        <a:p>
          <a:r>
            <a:rPr lang="en-US" sz="1100">
              <a:solidFill>
                <a:schemeClr val="dk1"/>
              </a:solidFill>
              <a:latin typeface="+mn-lt"/>
              <a:ea typeface="+mn-ea"/>
              <a:cs typeface="+mn-cs"/>
            </a:rPr>
            <a:t>Commercial and Industrial customers are not tracked separately and are therefore listed under "Commercial." </a:t>
          </a:r>
          <a:endParaRPr lang="en-US"/>
        </a:p>
        <a:p>
          <a:endParaRPr lang="en-US" sz="1100">
            <a:solidFill>
              <a:schemeClr val="dk1"/>
            </a:solidFill>
            <a:latin typeface="+mn-lt"/>
            <a:ea typeface="+mn-ea"/>
            <a:cs typeface="+mn-cs"/>
          </a:endParaRPr>
        </a:p>
        <a:p>
          <a:r>
            <a:rPr lang="en-US" sz="1100">
              <a:solidFill>
                <a:schemeClr val="dk1"/>
              </a:solidFill>
              <a:latin typeface="+mn-lt"/>
              <a:ea typeface="+mn-ea"/>
              <a:cs typeface="+mn-cs"/>
            </a:rPr>
            <a:t>General expenditures are not</a:t>
          </a:r>
          <a:r>
            <a:rPr lang="en-US" sz="1100" baseline="0">
              <a:solidFill>
                <a:schemeClr val="dk1"/>
              </a:solidFill>
              <a:latin typeface="+mn-lt"/>
              <a:ea typeface="+mn-ea"/>
              <a:cs typeface="+mn-cs"/>
            </a:rPr>
            <a:t> </a:t>
          </a:r>
          <a:r>
            <a:rPr lang="en-US" sz="1100">
              <a:solidFill>
                <a:schemeClr val="dk1"/>
              </a:solidFill>
              <a:latin typeface="+mn-lt"/>
              <a:ea typeface="+mn-ea"/>
              <a:cs typeface="+mn-cs"/>
            </a:rPr>
            <a:t>applied to a specific</a:t>
          </a:r>
          <a:r>
            <a:rPr lang="en-US" sz="1100" baseline="0">
              <a:solidFill>
                <a:schemeClr val="dk1"/>
              </a:solidFill>
              <a:latin typeface="+mn-lt"/>
              <a:ea typeface="+mn-ea"/>
              <a:cs typeface="+mn-cs"/>
            </a:rPr>
            <a:t> sector</a:t>
          </a:r>
          <a:r>
            <a:rPr lang="en-US" sz="1100">
              <a:solidFill>
                <a:schemeClr val="dk1"/>
              </a:solidFill>
              <a:latin typeface="+mn-lt"/>
              <a:ea typeface="+mn-ea"/>
              <a:cs typeface="+mn-cs"/>
            </a:rPr>
            <a:t>. </a:t>
          </a:r>
          <a:endParaRPr lang="en-US"/>
        </a:p>
        <a:p>
          <a:endParaRPr lang="en-US" sz="1100">
            <a:solidFill>
              <a:schemeClr val="dk1"/>
            </a:solidFill>
            <a:latin typeface="+mn-lt"/>
            <a:ea typeface="+mn-ea"/>
            <a:cs typeface="+mn-cs"/>
          </a:endParaRPr>
        </a:p>
        <a:p>
          <a:r>
            <a:rPr lang="en-US" sz="1100">
              <a:solidFill>
                <a:schemeClr val="dk1"/>
              </a:solidFill>
              <a:latin typeface="+mn-lt"/>
              <a:ea typeface="+mn-ea"/>
              <a:cs typeface="+mn-cs"/>
            </a:rPr>
            <a:t>Avista's evaluation, measurement and verification (EM&amp;V) was performed by a contracted third party to calculate the verified energy savings in accordance with the Commission’s Order.  The Company’s 2012 Annual Demand Side Management (DSM) Report and 2013 Annual</a:t>
          </a:r>
          <a:r>
            <a:rPr lang="en-US" sz="1100" baseline="0">
              <a:solidFill>
                <a:schemeClr val="dk1"/>
              </a:solidFill>
              <a:latin typeface="+mn-lt"/>
              <a:ea typeface="+mn-ea"/>
              <a:cs typeface="+mn-cs"/>
            </a:rPr>
            <a:t> Demand Side Management (DSM) Report </a:t>
          </a:r>
          <a:r>
            <a:rPr lang="en-US" sz="1100">
              <a:solidFill>
                <a:schemeClr val="dk1"/>
              </a:solidFill>
              <a:latin typeface="+mn-lt"/>
              <a:ea typeface="+mn-ea"/>
              <a:cs typeface="+mn-cs"/>
            </a:rPr>
            <a:t>(provided under separate covers) provide more data regarding Avista's 2012 and 2013 </a:t>
          </a:r>
        </a:p>
        <a:p>
          <a:r>
            <a:rPr lang="en-US" sz="1100">
              <a:solidFill>
                <a:schemeClr val="dk1"/>
              </a:solidFill>
              <a:latin typeface="+mn-lt"/>
              <a:ea typeface="+mn-ea"/>
              <a:cs typeface="+mn-cs"/>
            </a:rPr>
            <a:t>programs and results.</a:t>
          </a:r>
          <a:endParaRPr lang="en-US"/>
        </a:p>
        <a:p>
          <a:endParaRPr lang="en-US" sz="1100">
            <a:solidFill>
              <a:schemeClr val="dk1"/>
            </a:solidFill>
            <a:latin typeface="+mn-lt"/>
            <a:ea typeface="+mn-ea"/>
            <a:cs typeface="+mn-cs"/>
          </a:endParaRPr>
        </a:p>
        <a:p>
          <a:r>
            <a:rPr lang="en-US" sz="1100" b="1"/>
            <a:t>Note: Revision includes updated megawatt-hour savings per Commission Order 02 in Docket</a:t>
          </a:r>
          <a:r>
            <a:rPr lang="en-US" sz="1100" b="1" baseline="0"/>
            <a:t> No. UE-111882</a:t>
          </a:r>
          <a:endParaRPr lang="en-US" sz="1100" b="1"/>
        </a:p>
      </xdr:txBody>
    </xdr:sp>
    <xdr:clientData/>
  </xdr:twoCellAnchor>
  <xdr:twoCellAnchor>
    <xdr:from>
      <xdr:col>8</xdr:col>
      <xdr:colOff>247650</xdr:colOff>
      <xdr:row>15</xdr:row>
      <xdr:rowOff>361950</xdr:rowOff>
    </xdr:from>
    <xdr:to>
      <xdr:col>9</xdr:col>
      <xdr:colOff>552450</xdr:colOff>
      <xdr:row>22</xdr:row>
      <xdr:rowOff>133350</xdr:rowOff>
    </xdr:to>
    <xdr:sp macro="" textlink="">
      <xdr:nvSpPr>
        <xdr:cNvPr id="4" name="TextBox 3"/>
        <xdr:cNvSpPr txBox="1"/>
      </xdr:nvSpPr>
      <xdr:spPr>
        <a:xfrm>
          <a:off x="7364730" y="3669030"/>
          <a:ext cx="1150620" cy="1303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180974</xdr:colOff>
      <xdr:row>100</xdr:row>
      <xdr:rowOff>0</xdr:rowOff>
    </xdr:from>
    <xdr:to>
      <xdr:col>14</xdr:col>
      <xdr:colOff>609599</xdr:colOff>
      <xdr:row>112</xdr:row>
      <xdr:rowOff>152400</xdr:rowOff>
    </xdr:to>
    <xdr:sp macro="" textlink="">
      <xdr:nvSpPr>
        <xdr:cNvPr id="2" name="TextBox 1"/>
        <xdr:cNvSpPr txBox="1"/>
      </xdr:nvSpPr>
      <xdr:spPr>
        <a:xfrm>
          <a:off x="180974" y="19221450"/>
          <a:ext cx="11229975" cy="22098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t>Please refer to Appendix B for documentation of the inputs for the</a:t>
          </a:r>
          <a:r>
            <a:rPr lang="en-US" baseline="0"/>
            <a:t> percentage of revenue requirement invested in renewables.</a:t>
          </a:r>
          <a:endParaRPr lang="en-US"/>
        </a:p>
      </xdr:txBody>
    </xdr:sp>
    <xdr:clientData/>
  </xdr:twoCellAnchor>
  <xdr:twoCellAnchor>
    <xdr:from>
      <xdr:col>0</xdr:col>
      <xdr:colOff>161925</xdr:colOff>
      <xdr:row>115</xdr:row>
      <xdr:rowOff>123825</xdr:rowOff>
    </xdr:from>
    <xdr:to>
      <xdr:col>14</xdr:col>
      <xdr:colOff>647701</xdr:colOff>
      <xdr:row>135</xdr:row>
      <xdr:rowOff>38100</xdr:rowOff>
    </xdr:to>
    <xdr:sp macro="" textlink="">
      <xdr:nvSpPr>
        <xdr:cNvPr id="3" name="TextBox 2"/>
        <xdr:cNvSpPr txBox="1"/>
      </xdr:nvSpPr>
      <xdr:spPr>
        <a:xfrm>
          <a:off x="161925" y="21888450"/>
          <a:ext cx="11287126" cy="31527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In 2008, Avista purchased 50,000 renewable energy certificates per year generated from the Stateline Wind Project for the 2012 through 2015 period to comply with RCW Chapter 19.285 requirements. Avista sold the renewable energy certificates for 2012 through 2014 because they became surplus of the Company’s needs in 2011 with the acquisition of the Palouse Wind Power Purchase Agreement and decisions concerning the need for reserves for qualifying hydroelectric upgrades. Avista retained the 2015 renewable energy certificates since they are eligible for 2016 compliance obligations.  The 50,000 renewable</a:t>
          </a:r>
          <a:r>
            <a:rPr lang="en-US" sz="1100" baseline="0">
              <a:solidFill>
                <a:schemeClr val="dk1"/>
              </a:solidFill>
              <a:latin typeface="+mn-lt"/>
              <a:ea typeface="+mn-ea"/>
              <a:cs typeface="+mn-cs"/>
            </a:rPr>
            <a:t> energy certificates purchased from the Stateline Wind Project for 2014 are not included in this filing because they have already been sold and are not being submitted for compliance.</a:t>
          </a:r>
          <a:endParaRPr lang="en-US"/>
        </a:p>
      </xdr:txBody>
    </xdr:sp>
    <xdr:clientData/>
  </xdr:twoCellAnchor>
  <xdr:twoCellAnchor>
    <xdr:from>
      <xdr:col>1</xdr:col>
      <xdr:colOff>19051</xdr:colOff>
      <xdr:row>20</xdr:row>
      <xdr:rowOff>152401</xdr:rowOff>
    </xdr:from>
    <xdr:to>
      <xdr:col>14</xdr:col>
      <xdr:colOff>514350</xdr:colOff>
      <xdr:row>33</xdr:row>
      <xdr:rowOff>66675</xdr:rowOff>
    </xdr:to>
    <xdr:sp macro="" textlink="">
      <xdr:nvSpPr>
        <xdr:cNvPr id="4" name="TextBox 3"/>
        <xdr:cNvSpPr txBox="1"/>
      </xdr:nvSpPr>
      <xdr:spPr>
        <a:xfrm>
          <a:off x="200026" y="4152901"/>
          <a:ext cx="111156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2014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2014 for the purpose of meeting its Energy Independence Act (EIA) renewables target for 2014. The actual resources and RECs used to comply with the 2014 EIA target may vary from those reported here. Utilities will report in June of 2016 on the actual results for 2014.</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2014 is 3%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2014 target year. Utilities that elect to use a compliance method based on renewable investments must provide additional information demonstrating compliance with that method.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2</xdr:col>
          <xdr:colOff>19050</xdr:colOff>
          <xdr:row>8</xdr:row>
          <xdr:rowOff>9525</xdr:rowOff>
        </xdr:from>
        <xdr:to>
          <xdr:col>4</xdr:col>
          <xdr:colOff>571500</xdr:colOff>
          <xdr:row>9</xdr:row>
          <xdr:rowOff>19050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9</xdr:row>
          <xdr:rowOff>28575</xdr:rowOff>
        </xdr:from>
        <xdr:to>
          <xdr:col>5</xdr:col>
          <xdr:colOff>0</xdr:colOff>
          <xdr:row>10</xdr:row>
          <xdr:rowOff>28575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10</xdr:row>
          <xdr:rowOff>66675</xdr:rowOff>
        </xdr:from>
        <xdr:to>
          <xdr:col>5</xdr:col>
          <xdr:colOff>114300</xdr:colOff>
          <xdr:row>11</xdr:row>
          <xdr:rowOff>9525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bb5719/AppData/Local/Microsoft/Windows/Temporary%20Internet%20Files/Content.Outlook/DHU6SESL/Appendix%20A%20and%20F%20RCW%2019%20285%20Compliance%205-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z8p74/AppData/Local/Microsoft/Windows/Temporary%20Internet%20Files/Content.Outlook/W8BPNYNZ/EIA-2014-ReportWorkbook-3-31-2014%20Avis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bz4j93/AppData/Local/Microsoft/Windows/Temporary%20Internet%20Files/Content.Outlook/L5LDHLFP/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row r="29">
          <cell r="D29">
            <v>0</v>
          </cell>
          <cell r="G29">
            <v>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acility Detail"/>
      <sheetName val="Instructions"/>
      <sheetName val="Generation Rollup"/>
      <sheetName val="Appendix F"/>
      <sheetName val="New Appendix F"/>
    </sheetNames>
    <sheetDataSet>
      <sheetData sheetId="0">
        <row r="7">
          <cell r="C7">
            <v>5513396</v>
          </cell>
          <cell r="D7">
            <v>5678868</v>
          </cell>
        </row>
      </sheetData>
      <sheetData sheetId="1">
        <row r="2">
          <cell r="B2" t="str">
            <v>Long Lake #3</v>
          </cell>
          <cell r="C2" t="str">
            <v>W2103</v>
          </cell>
        </row>
        <row r="3">
          <cell r="B3" t="str">
            <v>Little Falls #4</v>
          </cell>
          <cell r="C3" t="str">
            <v>W2102</v>
          </cell>
        </row>
        <row r="4">
          <cell r="B4" t="str">
            <v>Cabinet Gorge #2</v>
          </cell>
          <cell r="C4" t="str">
            <v>W1560</v>
          </cell>
        </row>
        <row r="5">
          <cell r="B5" t="str">
            <v>Cabinet Gorge #3</v>
          </cell>
          <cell r="C5" t="str">
            <v>W1561</v>
          </cell>
        </row>
        <row r="6">
          <cell r="B6" t="str">
            <v>Cabinet Gorge #4</v>
          </cell>
          <cell r="C6" t="str">
            <v>W1562</v>
          </cell>
        </row>
        <row r="7">
          <cell r="B7" t="str">
            <v>Noxon Rapids #1</v>
          </cell>
          <cell r="C7" t="str">
            <v>W1530</v>
          </cell>
        </row>
        <row r="8">
          <cell r="B8" t="str">
            <v>Noxon Rapids #2</v>
          </cell>
          <cell r="C8" t="str">
            <v>W1552</v>
          </cell>
        </row>
        <row r="9">
          <cell r="B9" t="str">
            <v>Noxon Rapids #3</v>
          </cell>
          <cell r="C9" t="str">
            <v>W1554</v>
          </cell>
        </row>
        <row r="10">
          <cell r="B10" t="str">
            <v>Noxon Rapids #4</v>
          </cell>
          <cell r="C10" t="str">
            <v>W1555</v>
          </cell>
        </row>
        <row r="11">
          <cell r="B11" t="str">
            <v>Wanapum Fish Bypass</v>
          </cell>
          <cell r="C11" t="str">
            <v>N/A</v>
          </cell>
        </row>
        <row r="12">
          <cell r="B12" t="str">
            <v>Palouse Wind</v>
          </cell>
          <cell r="C12" t="str">
            <v>W2906</v>
          </cell>
        </row>
        <row r="64">
          <cell r="F64">
            <v>14197.425619726186</v>
          </cell>
        </row>
        <row r="97">
          <cell r="F97">
            <v>4862.043486025068</v>
          </cell>
        </row>
        <row r="130">
          <cell r="F130">
            <v>29008.28461994743</v>
          </cell>
        </row>
        <row r="163">
          <cell r="F163">
            <v>45807.517793306077</v>
          </cell>
        </row>
        <row r="196">
          <cell r="F196">
            <v>20517</v>
          </cell>
        </row>
        <row r="229">
          <cell r="F229">
            <v>21435</v>
          </cell>
        </row>
        <row r="262">
          <cell r="F262">
            <v>7709.3339427714673</v>
          </cell>
        </row>
        <row r="295">
          <cell r="F295">
            <v>14528.592942067989</v>
          </cell>
        </row>
        <row r="328">
          <cell r="F328">
            <v>12024</v>
          </cell>
        </row>
        <row r="361">
          <cell r="F361">
            <v>21146</v>
          </cell>
        </row>
        <row r="372">
          <cell r="F372">
            <v>349726</v>
          </cell>
        </row>
        <row r="377">
          <cell r="F377">
            <v>69945.2</v>
          </cell>
        </row>
        <row r="401">
          <cell r="B401" t="str">
            <v>Eligible</v>
          </cell>
        </row>
        <row r="402">
          <cell r="B402" t="str">
            <v>Not Eligible</v>
          </cell>
        </row>
        <row r="403">
          <cell r="B403" t="str">
            <v>---</v>
          </cell>
        </row>
        <row r="413">
          <cell r="B413" t="str">
            <v>Wind</v>
          </cell>
        </row>
        <row r="414">
          <cell r="B414" t="str">
            <v>Solar</v>
          </cell>
        </row>
        <row r="415">
          <cell r="B415" t="str">
            <v>Water (Incremental Hydro)</v>
          </cell>
        </row>
        <row r="416">
          <cell r="B416" t="str">
            <v>Biomass</v>
          </cell>
        </row>
        <row r="417">
          <cell r="B417" t="str">
            <v>Geothermal</v>
          </cell>
        </row>
        <row r="418">
          <cell r="B418" t="str">
            <v>Landfill Gas</v>
          </cell>
        </row>
        <row r="419">
          <cell r="B419" t="str">
            <v>Sewage Treatment Gas</v>
          </cell>
        </row>
        <row r="420">
          <cell r="B420" t="str">
            <v>Wave, Ocean, Tidal</v>
          </cell>
        </row>
        <row r="421">
          <cell r="B421" t="str">
            <v>Biodiesel Fuel</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2014"/>
      <sheetName val="Instructions - Revise 2012"/>
      <sheetName val="Conservation Report old"/>
      <sheetName val="Renewables Report"/>
      <sheetName val="Data"/>
    </sheetNames>
    <sheetDataSet>
      <sheetData sheetId="0"/>
      <sheetData sheetId="1"/>
      <sheetData sheetId="2"/>
      <sheetData sheetId="3">
        <row r="8">
          <cell r="N8">
            <v>0</v>
          </cell>
        </row>
        <row r="13">
          <cell r="N13" t="str">
            <v/>
          </cell>
        </row>
        <row r="18">
          <cell r="C18">
            <v>0</v>
          </cell>
          <cell r="D18">
            <v>0</v>
          </cell>
          <cell r="E18">
            <v>0</v>
          </cell>
          <cell r="F18">
            <v>0</v>
          </cell>
          <cell r="G18">
            <v>0</v>
          </cell>
          <cell r="H18">
            <v>0</v>
          </cell>
          <cell r="I18">
            <v>0</v>
          </cell>
          <cell r="J18">
            <v>0</v>
          </cell>
          <cell r="K18">
            <v>0</v>
          </cell>
          <cell r="L18">
            <v>0</v>
          </cell>
        </row>
        <row r="19">
          <cell r="D19">
            <v>0</v>
          </cell>
          <cell r="E19">
            <v>0</v>
          </cell>
          <cell r="F19">
            <v>0</v>
          </cell>
          <cell r="G19">
            <v>0</v>
          </cell>
          <cell r="H19">
            <v>0</v>
          </cell>
          <cell r="I19">
            <v>0</v>
          </cell>
          <cell r="J19">
            <v>0</v>
          </cell>
          <cell r="K19">
            <v>0</v>
          </cell>
          <cell r="L19">
            <v>0</v>
          </cell>
          <cell r="M19">
            <v>0</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mark.baker@avistacorp.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4.bin"/><Relationship Id="rId1" Type="http://schemas.openxmlformats.org/officeDocument/2006/relationships/hyperlink" Target="mailto:John.Lyons@avistacorp.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66"/>
  <sheetViews>
    <sheetView topLeftCell="A43" workbookViewId="0"/>
  </sheetViews>
  <sheetFormatPr defaultRowHeight="15" x14ac:dyDescent="0.25"/>
  <cols>
    <col min="1" max="1" width="135.140625" customWidth="1"/>
    <col min="14" max="14" width="11.7109375" customWidth="1"/>
  </cols>
  <sheetData>
    <row r="1" spans="1:14" ht="18.75" x14ac:dyDescent="0.25">
      <c r="A1" s="49" t="s">
        <v>178</v>
      </c>
    </row>
    <row r="2" spans="1:14" x14ac:dyDescent="0.25">
      <c r="A2" s="67" t="s">
        <v>219</v>
      </c>
    </row>
    <row r="3" spans="1:14" x14ac:dyDescent="0.25">
      <c r="A3" s="50"/>
      <c r="N3" s="66"/>
    </row>
    <row r="4" spans="1:14" x14ac:dyDescent="0.25">
      <c r="A4" s="51" t="s">
        <v>179</v>
      </c>
    </row>
    <row r="5" spans="1:14" x14ac:dyDescent="0.25">
      <c r="A5" s="51" t="s">
        <v>180</v>
      </c>
      <c r="N5" t="e">
        <f>IF(REN_Load_2012+REN_Load_2013&gt;0,AVERAGE(REN_Load_2012,REN_Load_2013),0)</f>
        <v>#REF!</v>
      </c>
    </row>
    <row r="6" spans="1:14" x14ac:dyDescent="0.25">
      <c r="A6" s="52" t="s">
        <v>181</v>
      </c>
    </row>
    <row r="7" spans="1:14" x14ac:dyDescent="0.25">
      <c r="A7" s="50"/>
    </row>
    <row r="8" spans="1:14" ht="28.5" x14ac:dyDescent="0.25">
      <c r="A8" s="53" t="s">
        <v>182</v>
      </c>
    </row>
    <row r="9" spans="1:14" ht="28.5" x14ac:dyDescent="0.25">
      <c r="A9" s="53" t="s">
        <v>183</v>
      </c>
    </row>
    <row r="10" spans="1:14" x14ac:dyDescent="0.25">
      <c r="A10" s="53"/>
    </row>
    <row r="11" spans="1:14" x14ac:dyDescent="0.25">
      <c r="A11" s="54" t="s">
        <v>184</v>
      </c>
    </row>
    <row r="12" spans="1:14" x14ac:dyDescent="0.25">
      <c r="A12" s="50"/>
    </row>
    <row r="13" spans="1:14" ht="72.75" x14ac:dyDescent="0.25">
      <c r="A13" s="55" t="s">
        <v>185</v>
      </c>
    </row>
    <row r="14" spans="1:14" x14ac:dyDescent="0.25">
      <c r="A14" s="50"/>
    </row>
    <row r="15" spans="1:14" ht="29.25" x14ac:dyDescent="0.25">
      <c r="A15" s="52" t="s">
        <v>186</v>
      </c>
    </row>
    <row r="16" spans="1:14" x14ac:dyDescent="0.25">
      <c r="A16" s="55"/>
    </row>
    <row r="17" spans="1:1" x14ac:dyDescent="0.25">
      <c r="A17" s="50"/>
    </row>
    <row r="18" spans="1:1" ht="18.75" x14ac:dyDescent="0.25">
      <c r="A18" s="56" t="s">
        <v>187</v>
      </c>
    </row>
    <row r="19" spans="1:1" x14ac:dyDescent="0.25">
      <c r="A19" s="51" t="s">
        <v>188</v>
      </c>
    </row>
    <row r="20" spans="1:1" ht="28.5" x14ac:dyDescent="0.25">
      <c r="A20" s="57" t="s">
        <v>189</v>
      </c>
    </row>
    <row r="21" spans="1:1" x14ac:dyDescent="0.25">
      <c r="A21" s="58" t="s">
        <v>190</v>
      </c>
    </row>
    <row r="22" spans="1:1" x14ac:dyDescent="0.25">
      <c r="A22" s="50"/>
    </row>
    <row r="23" spans="1:1" x14ac:dyDescent="0.25">
      <c r="A23" s="59" t="s">
        <v>191</v>
      </c>
    </row>
    <row r="24" spans="1:1" ht="29.25" x14ac:dyDescent="0.25">
      <c r="A24" s="60" t="s">
        <v>192</v>
      </c>
    </row>
    <row r="25" spans="1:1" x14ac:dyDescent="0.25">
      <c r="A25" s="61" t="s">
        <v>193</v>
      </c>
    </row>
    <row r="26" spans="1:1" x14ac:dyDescent="0.25">
      <c r="A26" s="50"/>
    </row>
    <row r="27" spans="1:1" ht="43.5" x14ac:dyDescent="0.25">
      <c r="A27" s="51" t="s">
        <v>194</v>
      </c>
    </row>
    <row r="28" spans="1:1" x14ac:dyDescent="0.25">
      <c r="A28" s="62"/>
    </row>
    <row r="29" spans="1:1" ht="42.75" x14ac:dyDescent="0.25">
      <c r="A29" s="55" t="s">
        <v>195</v>
      </c>
    </row>
    <row r="30" spans="1:1" x14ac:dyDescent="0.25">
      <c r="A30" s="50"/>
    </row>
    <row r="31" spans="1:1" ht="43.5" x14ac:dyDescent="0.25">
      <c r="A31" s="52" t="s">
        <v>196</v>
      </c>
    </row>
    <row r="32" spans="1:1" x14ac:dyDescent="0.25">
      <c r="A32" s="50"/>
    </row>
    <row r="33" spans="1:1" ht="57.75" x14ac:dyDescent="0.25">
      <c r="A33" s="51" t="s">
        <v>197</v>
      </c>
    </row>
    <row r="34" spans="1:1" x14ac:dyDescent="0.25">
      <c r="A34" s="53"/>
    </row>
    <row r="35" spans="1:1" ht="28.5" x14ac:dyDescent="0.25">
      <c r="A35" s="53" t="s">
        <v>198</v>
      </c>
    </row>
    <row r="36" spans="1:1" x14ac:dyDescent="0.25">
      <c r="A36" s="60" t="s">
        <v>199</v>
      </c>
    </row>
    <row r="37" spans="1:1" x14ac:dyDescent="0.25">
      <c r="A37" s="60" t="s">
        <v>200</v>
      </c>
    </row>
    <row r="38" spans="1:1" x14ac:dyDescent="0.25">
      <c r="A38" s="63" t="s">
        <v>201</v>
      </c>
    </row>
    <row r="39" spans="1:1" x14ac:dyDescent="0.25">
      <c r="A39" s="50"/>
    </row>
    <row r="40" spans="1:1" ht="29.25" x14ac:dyDescent="0.25">
      <c r="A40" s="52" t="s">
        <v>202</v>
      </c>
    </row>
    <row r="41" spans="1:1" x14ac:dyDescent="0.25">
      <c r="A41" s="50"/>
    </row>
    <row r="42" spans="1:1" ht="18.75" x14ac:dyDescent="0.25">
      <c r="A42" s="56" t="s">
        <v>203</v>
      </c>
    </row>
    <row r="43" spans="1:1" ht="42.75" x14ac:dyDescent="0.25">
      <c r="A43" s="55" t="s">
        <v>204</v>
      </c>
    </row>
    <row r="44" spans="1:1" x14ac:dyDescent="0.25">
      <c r="A44" s="50"/>
    </row>
    <row r="45" spans="1:1" ht="43.5" x14ac:dyDescent="0.25">
      <c r="A45" s="52" t="s">
        <v>205</v>
      </c>
    </row>
    <row r="46" spans="1:1" x14ac:dyDescent="0.25">
      <c r="A46" s="50"/>
    </row>
    <row r="47" spans="1:1" ht="43.5" x14ac:dyDescent="0.25">
      <c r="A47" s="52" t="s">
        <v>206</v>
      </c>
    </row>
    <row r="48" spans="1:1" x14ac:dyDescent="0.25">
      <c r="A48" s="50"/>
    </row>
    <row r="49" spans="1:1" ht="43.5" x14ac:dyDescent="0.25">
      <c r="A49" s="52" t="s">
        <v>207</v>
      </c>
    </row>
    <row r="50" spans="1:1" x14ac:dyDescent="0.25">
      <c r="A50" s="50"/>
    </row>
    <row r="51" spans="1:1" x14ac:dyDescent="0.25">
      <c r="A51" s="51" t="s">
        <v>208</v>
      </c>
    </row>
    <row r="52" spans="1:1" ht="42.75" x14ac:dyDescent="0.25">
      <c r="A52" s="55" t="s">
        <v>209</v>
      </c>
    </row>
    <row r="53" spans="1:1" x14ac:dyDescent="0.25">
      <c r="A53" s="50"/>
    </row>
    <row r="54" spans="1:1" ht="57.75" x14ac:dyDescent="0.25">
      <c r="A54" s="64" t="s">
        <v>210</v>
      </c>
    </row>
    <row r="55" spans="1:1" x14ac:dyDescent="0.25">
      <c r="A55" s="50"/>
    </row>
    <row r="56" spans="1:1" ht="72" x14ac:dyDescent="0.25">
      <c r="A56" s="52" t="s">
        <v>211</v>
      </c>
    </row>
    <row r="57" spans="1:1" x14ac:dyDescent="0.25">
      <c r="A57" s="50"/>
    </row>
    <row r="58" spans="1:1" ht="57.75" x14ac:dyDescent="0.25">
      <c r="A58" s="52" t="s">
        <v>212</v>
      </c>
    </row>
    <row r="59" spans="1:1" x14ac:dyDescent="0.25">
      <c r="A59" s="50"/>
    </row>
    <row r="60" spans="1:1" x14ac:dyDescent="0.25">
      <c r="A60" s="51" t="s">
        <v>213</v>
      </c>
    </row>
    <row r="61" spans="1:1" ht="42.75" x14ac:dyDescent="0.25">
      <c r="A61" s="55" t="s">
        <v>214</v>
      </c>
    </row>
    <row r="62" spans="1:1" x14ac:dyDescent="0.25">
      <c r="A62" s="50"/>
    </row>
    <row r="63" spans="1:1" x14ac:dyDescent="0.25">
      <c r="A63" s="51" t="s">
        <v>215</v>
      </c>
    </row>
    <row r="64" spans="1:1" ht="42.75" x14ac:dyDescent="0.25">
      <c r="A64" s="55" t="s">
        <v>216</v>
      </c>
    </row>
    <row r="65" spans="1:1" x14ac:dyDescent="0.25">
      <c r="A65" s="50"/>
    </row>
    <row r="66" spans="1:1" ht="15.75" thickBot="1" x14ac:dyDescent="0.3">
      <c r="A66" s="65" t="s">
        <v>217</v>
      </c>
    </row>
  </sheetData>
  <pageMargins left="0.7" right="0.7" top="0.75" bottom="0.75" header="0.3" footer="0.3"/>
  <pageSetup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5"/>
  <sheetViews>
    <sheetView workbookViewId="0">
      <selection activeCell="N16" sqref="N16"/>
    </sheetView>
  </sheetViews>
  <sheetFormatPr defaultRowHeight="15" x14ac:dyDescent="0.25"/>
  <cols>
    <col min="1" max="1" width="107" customWidth="1"/>
    <col min="14" max="14" width="11.7109375" customWidth="1"/>
  </cols>
  <sheetData>
    <row r="1" spans="1:14" ht="18.75" x14ac:dyDescent="0.25">
      <c r="A1" s="45" t="s">
        <v>176</v>
      </c>
    </row>
    <row r="2" spans="1:14" ht="18.75" x14ac:dyDescent="0.25">
      <c r="A2" s="46"/>
    </row>
    <row r="3" spans="1:14" ht="57" x14ac:dyDescent="0.25">
      <c r="A3" s="47" t="s">
        <v>218</v>
      </c>
      <c r="N3" s="66"/>
    </row>
    <row r="4" spans="1:14" x14ac:dyDescent="0.25">
      <c r="A4" s="47"/>
    </row>
    <row r="5" spans="1:14" ht="29.25" thickBot="1" x14ac:dyDescent="0.3">
      <c r="A5" s="48" t="s">
        <v>177</v>
      </c>
      <c r="N5" t="e">
        <f>IF(REN_Load_2012+REN_Load_2013&gt;0,AVERAGE(REN_Load_2012,REN_Load_2013),0)</f>
        <v>#REF!</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J51"/>
  <sheetViews>
    <sheetView tabSelected="1" topLeftCell="A7" zoomScaleNormal="100" workbookViewId="0">
      <selection activeCell="J11" sqref="J11"/>
    </sheetView>
  </sheetViews>
  <sheetFormatPr defaultColWidth="9.140625" defaultRowHeight="12.75" x14ac:dyDescent="0.2"/>
  <cols>
    <col min="1" max="1" width="3.140625" style="1" customWidth="1"/>
    <col min="2" max="3" width="16.7109375" style="1" customWidth="1"/>
    <col min="4" max="4" width="17.140625" style="1" customWidth="1"/>
    <col min="5" max="5" width="16" style="1" customWidth="1"/>
    <col min="6" max="6" width="4.42578125" style="1" customWidth="1"/>
    <col min="7" max="7" width="14.42578125" style="1" customWidth="1"/>
    <col min="8" max="8" width="15.28515625" style="1" customWidth="1"/>
    <col min="9" max="9" width="12.28515625" style="1" customWidth="1"/>
    <col min="10" max="10" width="11.140625" style="1" customWidth="1"/>
    <col min="11" max="16384" width="9.140625" style="1"/>
  </cols>
  <sheetData>
    <row r="1" spans="1:10" s="7" customFormat="1" ht="19.5" x14ac:dyDescent="0.4">
      <c r="B1" s="21" t="s">
        <v>77</v>
      </c>
    </row>
    <row r="2" spans="1:10" ht="15" customHeight="1" x14ac:dyDescent="0.2">
      <c r="B2" s="2"/>
    </row>
    <row r="3" spans="1:10" ht="14.25" customHeight="1" thickBot="1" x14ac:dyDescent="0.25">
      <c r="B3" s="3" t="s">
        <v>4</v>
      </c>
      <c r="C3" s="153" t="s">
        <v>220</v>
      </c>
      <c r="D3" s="153"/>
      <c r="E3" s="153"/>
      <c r="G3" s="154" t="s">
        <v>85</v>
      </c>
      <c r="H3" s="154"/>
      <c r="I3" s="154"/>
      <c r="J3" s="154"/>
    </row>
    <row r="4" spans="1:10" ht="15" customHeight="1" x14ac:dyDescent="0.2">
      <c r="B4" s="4" t="s">
        <v>84</v>
      </c>
      <c r="C4" s="155" t="s">
        <v>230</v>
      </c>
      <c r="D4" s="156"/>
      <c r="E4" s="156"/>
      <c r="F4" s="9"/>
      <c r="H4" s="39" t="s">
        <v>81</v>
      </c>
      <c r="I4" s="38"/>
      <c r="J4" s="39" t="s">
        <v>82</v>
      </c>
    </row>
    <row r="5" spans="1:10" ht="15" customHeight="1" x14ac:dyDescent="0.2">
      <c r="B5" s="5" t="s">
        <v>83</v>
      </c>
      <c r="C5" s="157" t="s">
        <v>221</v>
      </c>
      <c r="D5" s="158"/>
      <c r="E5" s="158"/>
      <c r="F5" s="7"/>
      <c r="H5" s="37" t="s">
        <v>80</v>
      </c>
      <c r="J5" s="37" t="s">
        <v>80</v>
      </c>
    </row>
    <row r="6" spans="1:10" ht="15" customHeight="1" x14ac:dyDescent="0.2">
      <c r="B6" s="5" t="s">
        <v>1</v>
      </c>
      <c r="C6" s="158" t="s">
        <v>222</v>
      </c>
      <c r="D6" s="158"/>
      <c r="E6" s="158"/>
      <c r="F6" s="7"/>
      <c r="G6" s="23" t="s">
        <v>66</v>
      </c>
      <c r="H6" s="24">
        <f>CON_Target_2012_2013</f>
        <v>108589</v>
      </c>
      <c r="I6" s="23" t="s">
        <v>66</v>
      </c>
      <c r="J6" s="25">
        <f>CON_Target_2014_2015</f>
        <v>76086</v>
      </c>
    </row>
    <row r="7" spans="1:10" ht="15" customHeight="1" x14ac:dyDescent="0.2">
      <c r="B7" s="5" t="s">
        <v>2</v>
      </c>
      <c r="C7" s="159" t="s">
        <v>223</v>
      </c>
      <c r="D7" s="160"/>
      <c r="E7" s="160"/>
      <c r="F7" s="7"/>
      <c r="G7" s="23" t="s">
        <v>67</v>
      </c>
      <c r="H7" s="26">
        <v>171570</v>
      </c>
    </row>
    <row r="8" spans="1:10" ht="15" customHeight="1" thickBot="1" x14ac:dyDescent="0.25">
      <c r="B8" s="5"/>
      <c r="C8" s="22"/>
      <c r="D8" s="7"/>
      <c r="E8" s="7"/>
      <c r="F8" s="7"/>
      <c r="G8" s="23" t="s">
        <v>68</v>
      </c>
      <c r="H8" s="27">
        <f>H6-H7</f>
        <v>-62981</v>
      </c>
    </row>
    <row r="9" spans="1:10" s="7" customFormat="1" ht="13.5" thickTop="1" x14ac:dyDescent="0.2">
      <c r="B9" s="166" t="s">
        <v>69</v>
      </c>
      <c r="C9" s="166"/>
      <c r="D9" s="166"/>
      <c r="E9" s="166"/>
      <c r="F9" s="167"/>
    </row>
    <row r="10" spans="1:10" s="7" customFormat="1" x14ac:dyDescent="0.2">
      <c r="B10" s="168" t="s">
        <v>36</v>
      </c>
      <c r="C10" s="152"/>
      <c r="D10" s="152" t="s">
        <v>72</v>
      </c>
      <c r="E10" s="152"/>
    </row>
    <row r="11" spans="1:10" ht="52.5" customHeight="1" x14ac:dyDescent="0.2">
      <c r="B11" s="28" t="s">
        <v>75</v>
      </c>
      <c r="C11" s="10" t="s">
        <v>51</v>
      </c>
      <c r="D11" s="10" t="s">
        <v>74</v>
      </c>
      <c r="E11" s="29" t="s">
        <v>73</v>
      </c>
    </row>
    <row r="12" spans="1:10" ht="15" customHeight="1" x14ac:dyDescent="0.2">
      <c r="B12" s="30">
        <v>600653</v>
      </c>
      <c r="C12" s="31">
        <v>108589</v>
      </c>
      <c r="D12" s="31">
        <v>394200</v>
      </c>
      <c r="E12" s="32">
        <f>64956+11130</f>
        <v>76086</v>
      </c>
    </row>
    <row r="13" spans="1:10" ht="15" customHeight="1" thickBot="1" x14ac:dyDescent="0.25">
      <c r="B13" s="7"/>
      <c r="C13" s="7"/>
      <c r="D13" s="7"/>
      <c r="E13" s="7"/>
      <c r="F13" s="7"/>
      <c r="G13" s="7"/>
      <c r="H13" s="7"/>
    </row>
    <row r="14" spans="1:10" ht="13.5" thickTop="1" x14ac:dyDescent="0.2">
      <c r="B14" s="151" t="s">
        <v>3</v>
      </c>
      <c r="C14" s="151"/>
      <c r="D14" s="151"/>
      <c r="E14" s="151"/>
      <c r="F14" s="151"/>
      <c r="G14" s="151"/>
      <c r="H14" s="151"/>
    </row>
    <row r="15" spans="1:10" ht="15" customHeight="1" x14ac:dyDescent="0.2">
      <c r="A15" s="7"/>
      <c r="B15" s="11"/>
      <c r="D15" s="152" t="s">
        <v>49</v>
      </c>
      <c r="E15" s="152"/>
      <c r="G15" s="152" t="s">
        <v>71</v>
      </c>
      <c r="H15" s="152"/>
    </row>
    <row r="16" spans="1:10" ht="30.75" customHeight="1" x14ac:dyDescent="0.2">
      <c r="A16" s="7"/>
      <c r="C16" s="12" t="s">
        <v>43</v>
      </c>
      <c r="D16" s="10" t="s">
        <v>7</v>
      </c>
      <c r="E16" s="10" t="s">
        <v>8</v>
      </c>
      <c r="G16" s="10" t="s">
        <v>7</v>
      </c>
      <c r="H16" s="10" t="s">
        <v>8</v>
      </c>
    </row>
    <row r="17" spans="1:8" ht="15" customHeight="1" x14ac:dyDescent="0.2">
      <c r="A17" s="7"/>
      <c r="C17" s="18" t="s">
        <v>9</v>
      </c>
      <c r="D17" s="33" t="s">
        <v>225</v>
      </c>
      <c r="E17" s="42">
        <f>1811169+1092495</f>
        <v>2903664</v>
      </c>
      <c r="G17" s="33">
        <f>450+44586</f>
        <v>45036</v>
      </c>
      <c r="H17" s="42">
        <f>2698788+1124522</f>
        <v>3823310</v>
      </c>
    </row>
    <row r="18" spans="1:8" ht="15" customHeight="1" x14ac:dyDescent="0.2">
      <c r="A18" s="7"/>
      <c r="C18" s="18" t="s">
        <v>10</v>
      </c>
      <c r="D18" s="33" t="s">
        <v>225</v>
      </c>
      <c r="E18" s="42">
        <v>9977917</v>
      </c>
      <c r="G18" s="33">
        <v>70994</v>
      </c>
      <c r="H18" s="42">
        <v>6896851</v>
      </c>
    </row>
    <row r="19" spans="1:8" ht="15" customHeight="1" x14ac:dyDescent="0.2">
      <c r="A19" s="7"/>
      <c r="C19" s="18" t="s">
        <v>11</v>
      </c>
      <c r="D19" s="33"/>
      <c r="E19" s="42"/>
      <c r="G19" s="33"/>
      <c r="H19" s="42"/>
    </row>
    <row r="20" spans="1:8" ht="15" customHeight="1" x14ac:dyDescent="0.2">
      <c r="A20" s="7"/>
      <c r="C20" s="18" t="s">
        <v>12</v>
      </c>
      <c r="D20" s="33"/>
      <c r="E20" s="42"/>
      <c r="G20" s="33"/>
      <c r="H20" s="42"/>
    </row>
    <row r="21" spans="1:8" ht="15" customHeight="1" x14ac:dyDescent="0.2">
      <c r="A21" s="7"/>
      <c r="C21" s="18" t="s">
        <v>38</v>
      </c>
      <c r="D21" s="33" t="s">
        <v>225</v>
      </c>
      <c r="E21" s="42">
        <v>4031731</v>
      </c>
      <c r="G21" s="33">
        <v>42292</v>
      </c>
      <c r="H21" s="42"/>
    </row>
    <row r="22" spans="1:8" ht="15" customHeight="1" x14ac:dyDescent="0.2">
      <c r="A22" s="7"/>
      <c r="C22" s="19" t="s">
        <v>39</v>
      </c>
      <c r="D22" s="33"/>
      <c r="E22" s="42"/>
      <c r="G22" s="33"/>
      <c r="H22" s="42"/>
    </row>
    <row r="23" spans="1:8" ht="15" customHeight="1" x14ac:dyDescent="0.2">
      <c r="A23" s="7"/>
      <c r="C23" s="19" t="s">
        <v>5</v>
      </c>
      <c r="D23" s="34"/>
      <c r="E23" s="42">
        <v>1519456</v>
      </c>
      <c r="G23" s="34">
        <v>34427</v>
      </c>
      <c r="H23" s="42">
        <v>1458093</v>
      </c>
    </row>
    <row r="24" spans="1:8" ht="15" customHeight="1" x14ac:dyDescent="0.2">
      <c r="A24" s="7"/>
      <c r="C24" s="35"/>
      <c r="D24" s="34"/>
      <c r="E24" s="42"/>
      <c r="G24" s="34"/>
      <c r="H24" s="42"/>
    </row>
    <row r="25" spans="1:8" ht="15" customHeight="1" x14ac:dyDescent="0.2">
      <c r="A25" s="7"/>
      <c r="C25" s="35"/>
      <c r="D25" s="34"/>
      <c r="E25" s="42"/>
      <c r="G25" s="34"/>
      <c r="H25" s="42"/>
    </row>
    <row r="26" spans="1:8" ht="30.75" customHeight="1" x14ac:dyDescent="0.2">
      <c r="A26" s="7"/>
      <c r="B26" s="161" t="s">
        <v>70</v>
      </c>
      <c r="C26" s="162"/>
      <c r="E26" s="43"/>
      <c r="H26" s="43"/>
    </row>
    <row r="27" spans="1:8" ht="15" customHeight="1" x14ac:dyDescent="0.2">
      <c r="A27" s="7"/>
      <c r="C27" s="36" t="s">
        <v>224</v>
      </c>
      <c r="D27" s="40"/>
      <c r="E27" s="42">
        <f>(1574102-1519456)+2184992</f>
        <v>2239638</v>
      </c>
      <c r="G27" s="40"/>
      <c r="H27" s="42">
        <f>(1939478-1458093)+2244796-1</f>
        <v>2726180</v>
      </c>
    </row>
    <row r="28" spans="1:8" ht="15" customHeight="1" x14ac:dyDescent="0.2">
      <c r="A28" s="7"/>
      <c r="C28" s="36"/>
      <c r="D28" s="41"/>
      <c r="E28" s="42"/>
      <c r="G28" s="41"/>
      <c r="H28" s="42"/>
    </row>
    <row r="29" spans="1:8" ht="15" customHeight="1" x14ac:dyDescent="0.2">
      <c r="C29" s="20" t="s">
        <v>6</v>
      </c>
      <c r="D29" s="17">
        <f>SUM(D17:D25)</f>
        <v>0</v>
      </c>
      <c r="E29" s="44">
        <f>SUM(E17:E28)</f>
        <v>20672406</v>
      </c>
      <c r="G29" s="17">
        <f>SUM(G17:G25)</f>
        <v>192749</v>
      </c>
      <c r="H29" s="44">
        <f>SUM(H17:H28)</f>
        <v>14904434</v>
      </c>
    </row>
    <row r="30" spans="1:8" ht="15" customHeight="1" x14ac:dyDescent="0.2">
      <c r="B30" s="13"/>
      <c r="C30" s="14"/>
      <c r="D30" s="15"/>
      <c r="E30" s="14"/>
      <c r="F30" s="15"/>
    </row>
    <row r="31" spans="1:8" s="7" customFormat="1" ht="15" customHeight="1" x14ac:dyDescent="0.2">
      <c r="B31" s="3" t="s">
        <v>4</v>
      </c>
      <c r="C31" s="163" t="str">
        <f>CON_Utility_Name</f>
        <v>Avista Corp.</v>
      </c>
      <c r="D31" s="163"/>
      <c r="E31" s="163"/>
      <c r="F31" s="163"/>
    </row>
    <row r="32" spans="1:8" s="7" customFormat="1" ht="21" customHeight="1" x14ac:dyDescent="0.2">
      <c r="B32" s="3"/>
      <c r="C32" s="6"/>
      <c r="D32" s="6"/>
      <c r="E32" s="6"/>
      <c r="F32" s="6"/>
    </row>
    <row r="33" spans="2:6" s="16" customFormat="1" x14ac:dyDescent="0.25">
      <c r="B33" s="164" t="s">
        <v>76</v>
      </c>
      <c r="C33" s="165"/>
      <c r="D33" s="165"/>
      <c r="E33" s="165"/>
      <c r="F33" s="165"/>
    </row>
    <row r="34" spans="2:6" ht="15" customHeight="1" x14ac:dyDescent="0.2"/>
    <row r="35" spans="2:6" ht="15" customHeight="1" x14ac:dyDescent="0.2"/>
    <row r="36" spans="2:6" ht="15" customHeight="1" x14ac:dyDescent="0.2"/>
    <row r="37" spans="2:6" ht="15" customHeight="1" x14ac:dyDescent="0.2"/>
    <row r="38" spans="2:6" ht="15" customHeight="1" x14ac:dyDescent="0.2"/>
    <row r="39" spans="2:6" ht="15" customHeight="1" x14ac:dyDescent="0.2"/>
    <row r="40" spans="2:6" ht="15" customHeight="1" x14ac:dyDescent="0.2"/>
    <row r="41" spans="2:6" ht="15" customHeight="1" x14ac:dyDescent="0.2"/>
    <row r="42" spans="2:6" ht="15" customHeight="1" x14ac:dyDescent="0.2"/>
    <row r="43" spans="2:6" ht="15" customHeight="1" x14ac:dyDescent="0.2"/>
    <row r="44" spans="2:6" ht="15" customHeight="1" x14ac:dyDescent="0.2"/>
    <row r="45" spans="2:6" ht="15" customHeight="1" x14ac:dyDescent="0.2"/>
    <row r="51" spans="2:2" x14ac:dyDescent="0.2">
      <c r="B51" s="8" t="s">
        <v>37</v>
      </c>
    </row>
  </sheetData>
  <mergeCells count="16">
    <mergeCell ref="B26:C26"/>
    <mergeCell ref="C31:F31"/>
    <mergeCell ref="B33:F33"/>
    <mergeCell ref="B9:F9"/>
    <mergeCell ref="B10:C10"/>
    <mergeCell ref="D10:E10"/>
    <mergeCell ref="B14:F14"/>
    <mergeCell ref="G14:H14"/>
    <mergeCell ref="D15:E15"/>
    <mergeCell ref="G15:H15"/>
    <mergeCell ref="C3:E3"/>
    <mergeCell ref="G3:J3"/>
    <mergeCell ref="C4:E4"/>
    <mergeCell ref="C5:E5"/>
    <mergeCell ref="C6:E6"/>
    <mergeCell ref="C7:E7"/>
  </mergeCells>
  <hyperlinks>
    <hyperlink ref="C7" r:id="rId1"/>
  </hyperlinks>
  <pageMargins left="0.7" right="0.7" top="0.75" bottom="0.75" header="0.3" footer="0.3"/>
  <pageSetup scale="96" fitToHeight="2" orientation="landscape" r:id="rId2"/>
  <headerFooter>
    <oddFooter>&amp;L&amp;F  &amp;A&amp;R&amp;D</oddFooter>
  </headerFooter>
  <rowBreaks count="1" manualBreakCount="1">
    <brk id="29" max="16383"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6"/>
  <sheetViews>
    <sheetView workbookViewId="0">
      <selection activeCell="R22" sqref="R22"/>
    </sheetView>
  </sheetViews>
  <sheetFormatPr defaultColWidth="9.140625" defaultRowHeight="12.75" x14ac:dyDescent="0.2"/>
  <cols>
    <col min="1" max="1" width="2.7109375" style="73" customWidth="1"/>
    <col min="2" max="2" width="30.140625" style="73" customWidth="1"/>
    <col min="3" max="4" width="10.28515625" style="73" customWidth="1"/>
    <col min="5" max="13" width="10.7109375" style="73" customWidth="1"/>
    <col min="14" max="14" width="12.140625" style="73" bestFit="1" customWidth="1"/>
    <col min="15" max="15" width="10.7109375" style="73" customWidth="1"/>
    <col min="16" max="16" width="10.5703125" style="73" customWidth="1"/>
    <col min="17" max="17" width="10.7109375" style="73" customWidth="1"/>
    <col min="18" max="16384" width="9.140625" style="73"/>
  </cols>
  <sheetData>
    <row r="1" spans="2:34" s="69" customFormat="1" ht="19.5" x14ac:dyDescent="0.4">
      <c r="B1" s="68" t="s">
        <v>60</v>
      </c>
      <c r="C1" s="68"/>
      <c r="D1" s="68"/>
      <c r="AC1" s="70" t="s">
        <v>52</v>
      </c>
      <c r="AH1" s="71"/>
    </row>
    <row r="2" spans="2:34" ht="14.25" x14ac:dyDescent="0.2">
      <c r="B2" s="72"/>
      <c r="C2" s="72"/>
      <c r="D2" s="72"/>
      <c r="I2" s="185" t="s">
        <v>48</v>
      </c>
      <c r="J2" s="186"/>
      <c r="K2" s="186"/>
      <c r="L2" s="186"/>
      <c r="M2" s="186"/>
      <c r="N2" s="187"/>
      <c r="AC2" s="74" t="s">
        <v>53</v>
      </c>
      <c r="AH2" s="75"/>
    </row>
    <row r="3" spans="2:34" ht="15" customHeight="1" x14ac:dyDescent="0.2">
      <c r="B3" s="76" t="s">
        <v>4</v>
      </c>
      <c r="C3" s="188" t="s">
        <v>226</v>
      </c>
      <c r="D3" s="188"/>
      <c r="E3" s="188"/>
      <c r="I3" s="77"/>
      <c r="J3" s="69"/>
      <c r="K3" s="69"/>
      <c r="L3" s="69"/>
      <c r="M3" s="78" t="s">
        <v>44</v>
      </c>
      <c r="N3" s="79">
        <f>[2]Summary!C7</f>
        <v>5513396</v>
      </c>
      <c r="AC3" s="74" t="s">
        <v>54</v>
      </c>
      <c r="AH3" s="75"/>
    </row>
    <row r="4" spans="2:34" ht="15" customHeight="1" thickBot="1" x14ac:dyDescent="0.25">
      <c r="B4" s="80" t="s">
        <v>84</v>
      </c>
      <c r="C4" s="189">
        <v>41789</v>
      </c>
      <c r="D4" s="189"/>
      <c r="E4" s="189"/>
      <c r="I4" s="77"/>
      <c r="J4" s="69"/>
      <c r="K4" s="69"/>
      <c r="L4" s="69"/>
      <c r="M4" s="78" t="s">
        <v>57</v>
      </c>
      <c r="N4" s="81">
        <f>[2]Summary!D7</f>
        <v>5678868</v>
      </c>
      <c r="AC4" s="74" t="s">
        <v>55</v>
      </c>
      <c r="AH4" s="82"/>
    </row>
    <row r="5" spans="2:34" ht="15" customHeight="1" x14ac:dyDescent="0.2">
      <c r="B5" s="83" t="s">
        <v>0</v>
      </c>
      <c r="C5" s="190" t="s">
        <v>227</v>
      </c>
      <c r="D5" s="190"/>
      <c r="E5" s="190"/>
      <c r="I5" s="77"/>
      <c r="J5" s="69"/>
      <c r="K5" s="69"/>
      <c r="L5" s="69"/>
      <c r="M5" s="78" t="s">
        <v>58</v>
      </c>
      <c r="N5" s="84">
        <f>IF(REN_Load_2012+REN_Load_2013&gt;0,AVERAGE(REN_Load_2012,REN_Load_2013),0)</f>
        <v>5596132</v>
      </c>
    </row>
    <row r="6" spans="2:34" ht="15" customHeight="1" x14ac:dyDescent="0.2">
      <c r="B6" s="83" t="s">
        <v>1</v>
      </c>
      <c r="C6" s="190" t="s">
        <v>228</v>
      </c>
      <c r="D6" s="190"/>
      <c r="E6" s="190"/>
      <c r="I6" s="77"/>
      <c r="J6" s="69"/>
      <c r="K6" s="69"/>
      <c r="L6" s="69"/>
      <c r="M6" s="78" t="s">
        <v>59</v>
      </c>
      <c r="N6" s="85">
        <v>0.03</v>
      </c>
    </row>
    <row r="7" spans="2:34" ht="15" customHeight="1" x14ac:dyDescent="0.2">
      <c r="B7" s="83" t="s">
        <v>2</v>
      </c>
      <c r="C7" s="183" t="s">
        <v>229</v>
      </c>
      <c r="D7" s="184"/>
      <c r="E7" s="184"/>
      <c r="I7" s="86"/>
      <c r="J7" s="69"/>
      <c r="K7" s="69"/>
      <c r="L7" s="69"/>
      <c r="M7" s="78" t="s">
        <v>65</v>
      </c>
      <c r="N7" s="84">
        <f>N5*N6</f>
        <v>167883.96</v>
      </c>
    </row>
    <row r="8" spans="2:34" ht="15" customHeight="1" x14ac:dyDescent="0.2">
      <c r="B8" s="83"/>
      <c r="C8" s="83"/>
      <c r="D8" s="83"/>
      <c r="E8" s="87"/>
      <c r="I8" s="88"/>
      <c r="J8" s="89"/>
      <c r="K8" s="89"/>
      <c r="L8" s="89"/>
      <c r="M8" s="90" t="s">
        <v>56</v>
      </c>
      <c r="N8" s="91">
        <f>SUM(C20:M20)</f>
        <v>610906.39840384421</v>
      </c>
    </row>
    <row r="9" spans="2:34" ht="15" customHeight="1" x14ac:dyDescent="0.2">
      <c r="B9" s="76" t="s">
        <v>61</v>
      </c>
      <c r="C9" s="92"/>
      <c r="D9" s="92"/>
    </row>
    <row r="10" spans="2:34" ht="15" customHeight="1" x14ac:dyDescent="0.2">
      <c r="C10" s="72"/>
      <c r="D10" s="72"/>
      <c r="G10" s="175" t="s">
        <v>168</v>
      </c>
      <c r="H10" s="176"/>
      <c r="I10" s="176"/>
      <c r="J10" s="176"/>
      <c r="K10" s="176"/>
      <c r="L10" s="176"/>
      <c r="M10" s="176"/>
      <c r="N10" s="177"/>
    </row>
    <row r="11" spans="2:34" s="94" customFormat="1" ht="14.25" customHeight="1" x14ac:dyDescent="0.25">
      <c r="B11" s="73"/>
      <c r="C11" s="93"/>
      <c r="D11" s="93"/>
      <c r="G11" s="77" t="s">
        <v>167</v>
      </c>
      <c r="H11" s="95"/>
      <c r="I11" s="95"/>
      <c r="J11" s="95"/>
      <c r="K11" s="95"/>
      <c r="L11" s="95"/>
      <c r="M11" s="69"/>
      <c r="N11" s="96">
        <v>5652247</v>
      </c>
    </row>
    <row r="12" spans="2:34" x14ac:dyDescent="0.2">
      <c r="C12" s="72"/>
      <c r="D12" s="72"/>
      <c r="G12" s="77" t="s">
        <v>175</v>
      </c>
      <c r="H12" s="97"/>
      <c r="I12" s="97"/>
      <c r="J12" s="97"/>
      <c r="K12" s="97"/>
      <c r="L12" s="69"/>
      <c r="M12" s="69"/>
      <c r="N12" s="96">
        <v>463237753</v>
      </c>
    </row>
    <row r="13" spans="2:34" x14ac:dyDescent="0.2">
      <c r="G13" s="98" t="s">
        <v>169</v>
      </c>
      <c r="H13" s="99"/>
      <c r="I13" s="99"/>
      <c r="J13" s="99"/>
      <c r="K13" s="99"/>
      <c r="L13" s="89"/>
      <c r="M13" s="89"/>
      <c r="N13" s="100">
        <f>IF(REN_RetailRevenueRequirement_2014&gt;0,REN_Expenditure_Amount_2014/REN_RetailRevenueRequirement_2014,"")</f>
        <v>1.2201611296564595E-2</v>
      </c>
    </row>
    <row r="14" spans="2:34" ht="17.45" customHeight="1" x14ac:dyDescent="0.2">
      <c r="I14" s="178"/>
      <c r="J14" s="178"/>
      <c r="K14" s="178"/>
      <c r="L14" s="178"/>
      <c r="M14" s="178"/>
      <c r="N14" s="101"/>
      <c r="O14" s="102"/>
      <c r="P14" s="102"/>
    </row>
    <row r="15" spans="2:34" ht="16.899999999999999" customHeight="1" x14ac:dyDescent="0.2">
      <c r="B15" s="83"/>
      <c r="C15" s="103" t="s">
        <v>14</v>
      </c>
      <c r="D15" s="104" t="s">
        <v>15</v>
      </c>
      <c r="E15" s="104" t="s">
        <v>16</v>
      </c>
      <c r="F15" s="104" t="s">
        <v>17</v>
      </c>
      <c r="G15" s="104" t="s">
        <v>18</v>
      </c>
      <c r="H15" s="104" t="s">
        <v>19</v>
      </c>
      <c r="I15" s="104" t="s">
        <v>20</v>
      </c>
      <c r="J15" s="104" t="s">
        <v>21</v>
      </c>
      <c r="K15" s="105" t="s">
        <v>22</v>
      </c>
      <c r="L15" s="105" t="s">
        <v>86</v>
      </c>
      <c r="M15" s="105" t="s">
        <v>87</v>
      </c>
      <c r="N15" s="101"/>
      <c r="O15" s="102"/>
      <c r="P15" s="102"/>
    </row>
    <row r="16" spans="2:34" ht="21.75" customHeight="1" x14ac:dyDescent="0.2">
      <c r="B16" s="106"/>
      <c r="C16" s="107" t="s">
        <v>23</v>
      </c>
      <c r="D16" s="107" t="s">
        <v>24</v>
      </c>
      <c r="E16" s="107" t="s">
        <v>25</v>
      </c>
      <c r="F16" s="107" t="s">
        <v>26</v>
      </c>
      <c r="G16" s="107" t="s">
        <v>27</v>
      </c>
      <c r="H16" s="107" t="s">
        <v>42</v>
      </c>
      <c r="I16" s="107" t="s">
        <v>28</v>
      </c>
      <c r="J16" s="107" t="s">
        <v>29</v>
      </c>
      <c r="K16" s="107" t="s">
        <v>30</v>
      </c>
      <c r="L16" s="107" t="s">
        <v>34</v>
      </c>
      <c r="M16" s="107" t="s">
        <v>31</v>
      </c>
      <c r="N16" s="101"/>
      <c r="O16" s="102"/>
      <c r="P16" s="102"/>
    </row>
    <row r="17" spans="2:34" ht="18" customHeight="1" x14ac:dyDescent="0.2">
      <c r="B17" s="83"/>
      <c r="C17" s="108" t="s">
        <v>7</v>
      </c>
      <c r="D17" s="108" t="s">
        <v>7</v>
      </c>
      <c r="E17" s="108" t="s">
        <v>7</v>
      </c>
      <c r="F17" s="108" t="s">
        <v>7</v>
      </c>
      <c r="G17" s="108" t="s">
        <v>7</v>
      </c>
      <c r="H17" s="108" t="s">
        <v>7</v>
      </c>
      <c r="I17" s="108" t="s">
        <v>7</v>
      </c>
      <c r="J17" s="108" t="s">
        <v>7</v>
      </c>
      <c r="K17" s="108" t="s">
        <v>7</v>
      </c>
      <c r="L17" s="108" t="s">
        <v>64</v>
      </c>
      <c r="M17" s="108" t="s">
        <v>64</v>
      </c>
      <c r="N17" s="101"/>
      <c r="O17" s="102"/>
      <c r="P17" s="102"/>
    </row>
    <row r="18" spans="2:34" ht="15" customHeight="1" x14ac:dyDescent="0.2">
      <c r="B18" s="80" t="s">
        <v>45</v>
      </c>
      <c r="C18" s="109">
        <f t="shared" ref="C18:L18" si="0">SUM(E44:E64)</f>
        <v>191235.19840384426</v>
      </c>
      <c r="D18" s="109">
        <f t="shared" si="0"/>
        <v>349726</v>
      </c>
      <c r="E18" s="109">
        <f t="shared" si="0"/>
        <v>0</v>
      </c>
      <c r="F18" s="109">
        <f t="shared" si="0"/>
        <v>0</v>
      </c>
      <c r="G18" s="109">
        <f t="shared" si="0"/>
        <v>0</v>
      </c>
      <c r="H18" s="109">
        <f t="shared" si="0"/>
        <v>0</v>
      </c>
      <c r="I18" s="109">
        <f t="shared" si="0"/>
        <v>0</v>
      </c>
      <c r="J18" s="109">
        <f t="shared" si="0"/>
        <v>0</v>
      </c>
      <c r="K18" s="109">
        <f t="shared" si="0"/>
        <v>0</v>
      </c>
      <c r="L18" s="109">
        <f t="shared" si="0"/>
        <v>69945.2</v>
      </c>
      <c r="M18" s="110"/>
      <c r="N18" s="111"/>
      <c r="O18" s="112"/>
      <c r="P18" s="112"/>
    </row>
    <row r="19" spans="2:34" ht="16.5" customHeight="1" x14ac:dyDescent="0.2">
      <c r="B19" s="80" t="s">
        <v>46</v>
      </c>
      <c r="C19" s="110"/>
      <c r="D19" s="113">
        <f t="shared" ref="D19:M19" si="1">SUM(F72:F96)</f>
        <v>0</v>
      </c>
      <c r="E19" s="113">
        <f t="shared" si="1"/>
        <v>0</v>
      </c>
      <c r="F19" s="113">
        <f t="shared" si="1"/>
        <v>0</v>
      </c>
      <c r="G19" s="113">
        <f t="shared" si="1"/>
        <v>0</v>
      </c>
      <c r="H19" s="113">
        <f t="shared" si="1"/>
        <v>0</v>
      </c>
      <c r="I19" s="113">
        <f t="shared" si="1"/>
        <v>0</v>
      </c>
      <c r="J19" s="113">
        <f t="shared" si="1"/>
        <v>0</v>
      </c>
      <c r="K19" s="113">
        <f t="shared" si="1"/>
        <v>0</v>
      </c>
      <c r="L19" s="113">
        <f t="shared" si="1"/>
        <v>0</v>
      </c>
      <c r="M19" s="113">
        <f t="shared" si="1"/>
        <v>0</v>
      </c>
      <c r="N19" s="114"/>
      <c r="O19" s="102"/>
      <c r="P19" s="102"/>
    </row>
    <row r="20" spans="2:34" ht="16.5" customHeight="1" x14ac:dyDescent="0.2">
      <c r="B20" s="83" t="s">
        <v>47</v>
      </c>
      <c r="C20" s="115">
        <f t="shared" ref="C20:L20" si="2">C18+C19</f>
        <v>191235.19840384426</v>
      </c>
      <c r="D20" s="115">
        <f t="shared" si="2"/>
        <v>349726</v>
      </c>
      <c r="E20" s="115">
        <f t="shared" si="2"/>
        <v>0</v>
      </c>
      <c r="F20" s="115">
        <f t="shared" si="2"/>
        <v>0</v>
      </c>
      <c r="G20" s="115">
        <f t="shared" si="2"/>
        <v>0</v>
      </c>
      <c r="H20" s="115">
        <f t="shared" si="2"/>
        <v>0</v>
      </c>
      <c r="I20" s="115">
        <f t="shared" si="2"/>
        <v>0</v>
      </c>
      <c r="J20" s="115">
        <f t="shared" si="2"/>
        <v>0</v>
      </c>
      <c r="K20" s="115">
        <f t="shared" si="2"/>
        <v>0</v>
      </c>
      <c r="L20" s="115">
        <f t="shared" si="2"/>
        <v>69945.2</v>
      </c>
      <c r="M20" s="113">
        <f>M19</f>
        <v>0</v>
      </c>
      <c r="N20" s="114"/>
      <c r="O20" s="102"/>
      <c r="P20" s="102"/>
    </row>
    <row r="21" spans="2:34" ht="16.5" customHeight="1" x14ac:dyDescent="0.2">
      <c r="L21" s="69"/>
      <c r="M21" s="80"/>
      <c r="N21" s="114"/>
      <c r="O21" s="102"/>
      <c r="P21" s="102"/>
    </row>
    <row r="22" spans="2:34" ht="21.75" customHeight="1" x14ac:dyDescent="0.2">
      <c r="L22" s="69"/>
      <c r="M22" s="80"/>
      <c r="N22" s="114"/>
      <c r="O22" s="102"/>
      <c r="P22" s="102"/>
    </row>
    <row r="23" spans="2:34" ht="15" customHeight="1" x14ac:dyDescent="0.2">
      <c r="B23" s="78"/>
      <c r="C23" s="78"/>
      <c r="D23" s="78"/>
      <c r="E23" s="78"/>
      <c r="F23" s="78"/>
      <c r="G23" s="78"/>
      <c r="I23" s="69"/>
      <c r="J23" s="69"/>
      <c r="K23" s="69"/>
      <c r="L23" s="69"/>
      <c r="M23" s="80"/>
      <c r="N23" s="114"/>
      <c r="O23" s="102"/>
      <c r="P23" s="102"/>
    </row>
    <row r="24" spans="2:34" ht="15" customHeight="1" x14ac:dyDescent="0.2"/>
    <row r="25" spans="2:34" s="116" customFormat="1" x14ac:dyDescent="0.2">
      <c r="AH25" s="73"/>
    </row>
    <row r="26" spans="2:34" ht="15" customHeight="1" x14ac:dyDescent="0.2">
      <c r="AH26" s="116"/>
    </row>
    <row r="27" spans="2:34" ht="15" customHeight="1" x14ac:dyDescent="0.2">
      <c r="AH27" s="116"/>
    </row>
    <row r="28" spans="2:34" ht="15" customHeight="1" x14ac:dyDescent="0.2">
      <c r="AH28" s="116"/>
    </row>
    <row r="29" spans="2:34" ht="15" customHeight="1" x14ac:dyDescent="0.2">
      <c r="AH29" s="116"/>
    </row>
    <row r="30" spans="2:34" ht="15" customHeight="1" x14ac:dyDescent="0.2">
      <c r="AH30" s="116"/>
    </row>
    <row r="31" spans="2:34" ht="15" customHeight="1" x14ac:dyDescent="0.2">
      <c r="AH31" s="116"/>
    </row>
    <row r="32" spans="2:34" ht="15" customHeight="1" x14ac:dyDescent="0.2">
      <c r="AH32" s="116"/>
    </row>
    <row r="33" spans="2:34" ht="15" customHeight="1" x14ac:dyDescent="0.2"/>
    <row r="34" spans="2:34" ht="15" customHeight="1" x14ac:dyDescent="0.2"/>
    <row r="35" spans="2:34" ht="15" customHeight="1" x14ac:dyDescent="0.2"/>
    <row r="36" spans="2:34" ht="16.5" customHeight="1" x14ac:dyDescent="0.2">
      <c r="B36" s="117" t="s">
        <v>40</v>
      </c>
      <c r="C36" s="117"/>
      <c r="D36" s="117"/>
      <c r="E36" s="106" t="s">
        <v>4</v>
      </c>
      <c r="F36" s="169" t="s">
        <v>226</v>
      </c>
      <c r="G36" s="170"/>
      <c r="H36" s="171"/>
    </row>
    <row r="37" spans="2:34" ht="15" customHeight="1" x14ac:dyDescent="0.2">
      <c r="E37" s="106" t="s">
        <v>13</v>
      </c>
      <c r="F37" s="172">
        <v>2014</v>
      </c>
      <c r="G37" s="173"/>
      <c r="H37" s="174"/>
    </row>
    <row r="38" spans="2:34" ht="15" customHeight="1" x14ac:dyDescent="0.2">
      <c r="E38" s="106"/>
      <c r="F38" s="92"/>
      <c r="G38" s="118"/>
      <c r="H38" s="118"/>
    </row>
    <row r="39" spans="2:34" s="120" customFormat="1" ht="27" customHeight="1" x14ac:dyDescent="0.2">
      <c r="B39" s="179" t="s">
        <v>173</v>
      </c>
      <c r="C39" s="180"/>
      <c r="D39" s="180"/>
      <c r="E39" s="181"/>
      <c r="F39" s="181"/>
      <c r="G39" s="181"/>
      <c r="H39" s="119"/>
      <c r="AH39" s="73"/>
    </row>
    <row r="40" spans="2:34" ht="15" customHeight="1" x14ac:dyDescent="0.2">
      <c r="E40" s="121"/>
      <c r="F40" s="121"/>
      <c r="G40" s="121"/>
      <c r="H40" s="121"/>
      <c r="I40" s="121"/>
      <c r="J40" s="121"/>
      <c r="K40" s="121"/>
      <c r="L40" s="121"/>
      <c r="M40" s="121"/>
      <c r="N40" s="121"/>
      <c r="P40" s="121"/>
      <c r="Q40" s="121"/>
      <c r="R40" s="121"/>
      <c r="S40" s="121"/>
      <c r="AH40" s="120"/>
    </row>
    <row r="41" spans="2:34" s="69" customFormat="1" ht="12.75" customHeight="1" x14ac:dyDescent="0.2">
      <c r="E41" s="103" t="s">
        <v>14</v>
      </c>
      <c r="F41" s="104" t="s">
        <v>15</v>
      </c>
      <c r="G41" s="104" t="s">
        <v>16</v>
      </c>
      <c r="H41" s="104" t="s">
        <v>17</v>
      </c>
      <c r="I41" s="104" t="s">
        <v>18</v>
      </c>
      <c r="J41" s="104" t="s">
        <v>19</v>
      </c>
      <c r="K41" s="104" t="s">
        <v>20</v>
      </c>
      <c r="L41" s="104" t="s">
        <v>21</v>
      </c>
      <c r="M41" s="105" t="s">
        <v>22</v>
      </c>
      <c r="N41" s="105" t="s">
        <v>86</v>
      </c>
      <c r="O41" s="73"/>
      <c r="AH41" s="73"/>
    </row>
    <row r="42" spans="2:34" s="116" customFormat="1" ht="43.5" customHeight="1" x14ac:dyDescent="0.2">
      <c r="E42" s="107" t="s">
        <v>33</v>
      </c>
      <c r="F42" s="107" t="s">
        <v>24</v>
      </c>
      <c r="G42" s="107" t="s">
        <v>25</v>
      </c>
      <c r="H42" s="107" t="s">
        <v>26</v>
      </c>
      <c r="I42" s="107" t="s">
        <v>27</v>
      </c>
      <c r="J42" s="107" t="s">
        <v>41</v>
      </c>
      <c r="K42" s="107" t="s">
        <v>28</v>
      </c>
      <c r="L42" s="107" t="s">
        <v>29</v>
      </c>
      <c r="M42" s="107" t="s">
        <v>30</v>
      </c>
      <c r="N42" s="107" t="s">
        <v>34</v>
      </c>
      <c r="O42" s="73"/>
      <c r="AH42" s="69"/>
    </row>
    <row r="43" spans="2:34" ht="15" customHeight="1" x14ac:dyDescent="0.2">
      <c r="B43" s="122" t="s">
        <v>35</v>
      </c>
      <c r="C43" s="182" t="s">
        <v>62</v>
      </c>
      <c r="D43" s="182"/>
      <c r="E43" s="108" t="s">
        <v>7</v>
      </c>
      <c r="F43" s="108" t="s">
        <v>7</v>
      </c>
      <c r="G43" s="108" t="s">
        <v>7</v>
      </c>
      <c r="H43" s="108" t="s">
        <v>7</v>
      </c>
      <c r="I43" s="108" t="s">
        <v>7</v>
      </c>
      <c r="J43" s="108" t="s">
        <v>7</v>
      </c>
      <c r="K43" s="108" t="s">
        <v>7</v>
      </c>
      <c r="L43" s="108" t="s">
        <v>7</v>
      </c>
      <c r="M43" s="108" t="s">
        <v>7</v>
      </c>
      <c r="N43" s="108" t="s">
        <v>64</v>
      </c>
      <c r="AH43" s="116"/>
    </row>
    <row r="44" spans="2:34" ht="15" customHeight="1" x14ac:dyDescent="0.2">
      <c r="B44" s="123" t="str">
        <f>'[2]Facility Detail'!B2</f>
        <v>Long Lake #3</v>
      </c>
      <c r="C44" s="124" t="str">
        <f>'[2]Facility Detail'!C2</f>
        <v>W2103</v>
      </c>
      <c r="D44" s="123"/>
      <c r="E44" s="125">
        <f>'[2]Facility Detail'!F64</f>
        <v>14197.425619726186</v>
      </c>
      <c r="F44" s="126"/>
      <c r="G44" s="126"/>
      <c r="H44" s="126"/>
      <c r="I44" s="126"/>
      <c r="J44" s="126"/>
      <c r="K44" s="126"/>
      <c r="L44" s="126"/>
      <c r="M44" s="126"/>
      <c r="N44" s="126"/>
    </row>
    <row r="45" spans="2:34" ht="15" customHeight="1" x14ac:dyDescent="0.2">
      <c r="B45" s="123" t="str">
        <f>'[2]Facility Detail'!B3</f>
        <v>Little Falls #4</v>
      </c>
      <c r="C45" s="124" t="str">
        <f>'[2]Facility Detail'!C3</f>
        <v>W2102</v>
      </c>
      <c r="D45" s="127"/>
      <c r="E45" s="128">
        <f>'[2]Facility Detail'!F97</f>
        <v>4862.043486025068</v>
      </c>
      <c r="F45" s="129"/>
      <c r="G45" s="129"/>
      <c r="H45" s="129"/>
      <c r="I45" s="129"/>
      <c r="J45" s="129"/>
      <c r="K45" s="129"/>
      <c r="L45" s="129"/>
      <c r="M45" s="129"/>
      <c r="N45" s="129"/>
    </row>
    <row r="46" spans="2:34" ht="15" customHeight="1" x14ac:dyDescent="0.2">
      <c r="B46" s="123" t="str">
        <f>'[2]Facility Detail'!B4</f>
        <v>Cabinet Gorge #2</v>
      </c>
      <c r="C46" s="124" t="str">
        <f>'[2]Facility Detail'!C4</f>
        <v>W1560</v>
      </c>
      <c r="D46" s="127"/>
      <c r="E46" s="128">
        <f>'[2]Facility Detail'!F130</f>
        <v>29008.28461994743</v>
      </c>
      <c r="F46" s="129"/>
      <c r="G46" s="129"/>
      <c r="H46" s="129"/>
      <c r="I46" s="129"/>
      <c r="J46" s="129"/>
      <c r="K46" s="129"/>
      <c r="L46" s="129"/>
      <c r="M46" s="129"/>
      <c r="N46" s="129"/>
    </row>
    <row r="47" spans="2:34" ht="15" customHeight="1" x14ac:dyDescent="0.2">
      <c r="B47" s="123" t="str">
        <f>'[2]Facility Detail'!B5</f>
        <v>Cabinet Gorge #3</v>
      </c>
      <c r="C47" s="124" t="str">
        <f>'[2]Facility Detail'!C5</f>
        <v>W1561</v>
      </c>
      <c r="D47" s="130"/>
      <c r="E47" s="128">
        <f>'[2]Facility Detail'!F163</f>
        <v>45807.517793306077</v>
      </c>
      <c r="F47" s="129"/>
      <c r="G47" s="129"/>
      <c r="H47" s="129"/>
      <c r="I47" s="129"/>
      <c r="J47" s="129"/>
      <c r="K47" s="129"/>
      <c r="L47" s="129"/>
      <c r="M47" s="129"/>
      <c r="N47" s="129"/>
    </row>
    <row r="48" spans="2:34" ht="15" customHeight="1" x14ac:dyDescent="0.2">
      <c r="B48" s="123" t="str">
        <f>'[2]Facility Detail'!B6</f>
        <v>Cabinet Gorge #4</v>
      </c>
      <c r="C48" s="124" t="str">
        <f>'[2]Facility Detail'!C6</f>
        <v>W1562</v>
      </c>
      <c r="D48" s="131"/>
      <c r="E48" s="128">
        <f>'[2]Facility Detail'!F196</f>
        <v>20517</v>
      </c>
      <c r="F48" s="129"/>
      <c r="G48" s="129"/>
      <c r="H48" s="129"/>
      <c r="I48" s="129"/>
      <c r="J48" s="129"/>
      <c r="K48" s="129"/>
      <c r="L48" s="129"/>
      <c r="M48" s="129"/>
      <c r="N48" s="129"/>
    </row>
    <row r="49" spans="2:14" x14ac:dyDescent="0.2">
      <c r="B49" s="123" t="str">
        <f>'[2]Facility Detail'!B7</f>
        <v>Noxon Rapids #1</v>
      </c>
      <c r="C49" s="124" t="str">
        <f>'[2]Facility Detail'!C7</f>
        <v>W1530</v>
      </c>
      <c r="D49" s="132"/>
      <c r="E49" s="128">
        <f>'[2]Facility Detail'!F229</f>
        <v>21435</v>
      </c>
      <c r="F49" s="129"/>
      <c r="G49" s="129"/>
      <c r="H49" s="129"/>
      <c r="I49" s="129"/>
      <c r="J49" s="129"/>
      <c r="K49" s="129"/>
      <c r="L49" s="129"/>
      <c r="M49" s="129"/>
      <c r="N49" s="129"/>
    </row>
    <row r="50" spans="2:14" x14ac:dyDescent="0.2">
      <c r="B50" s="123" t="str">
        <f>'[2]Facility Detail'!B8</f>
        <v>Noxon Rapids #2</v>
      </c>
      <c r="C50" s="124" t="str">
        <f>'[2]Facility Detail'!C8</f>
        <v>W1552</v>
      </c>
      <c r="D50" s="132"/>
      <c r="E50" s="128">
        <f>'[2]Facility Detail'!F262</f>
        <v>7709.3339427714673</v>
      </c>
      <c r="F50" s="129"/>
      <c r="G50" s="129"/>
      <c r="H50" s="129"/>
      <c r="I50" s="129"/>
      <c r="J50" s="129"/>
      <c r="K50" s="129"/>
      <c r="L50" s="129"/>
      <c r="M50" s="129"/>
      <c r="N50" s="129"/>
    </row>
    <row r="51" spans="2:14" x14ac:dyDescent="0.2">
      <c r="B51" s="123" t="str">
        <f>'[2]Facility Detail'!B9</f>
        <v>Noxon Rapids #3</v>
      </c>
      <c r="C51" s="124" t="str">
        <f>'[2]Facility Detail'!C9</f>
        <v>W1554</v>
      </c>
      <c r="D51" s="132"/>
      <c r="E51" s="128">
        <f>'[2]Facility Detail'!F295</f>
        <v>14528.592942067989</v>
      </c>
      <c r="F51" s="129"/>
      <c r="G51" s="129"/>
      <c r="H51" s="129"/>
      <c r="I51" s="129"/>
      <c r="J51" s="129"/>
      <c r="K51" s="129"/>
      <c r="L51" s="129"/>
      <c r="M51" s="129"/>
      <c r="N51" s="129"/>
    </row>
    <row r="52" spans="2:14" x14ac:dyDescent="0.2">
      <c r="B52" s="123" t="str">
        <f>'[2]Facility Detail'!B10</f>
        <v>Noxon Rapids #4</v>
      </c>
      <c r="C52" s="124" t="str">
        <f>'[2]Facility Detail'!C10</f>
        <v>W1555</v>
      </c>
      <c r="D52" s="132"/>
      <c r="E52" s="128">
        <f>'[2]Facility Detail'!F328</f>
        <v>12024</v>
      </c>
      <c r="F52" s="129"/>
      <c r="G52" s="129"/>
      <c r="H52" s="129"/>
      <c r="I52" s="129"/>
      <c r="J52" s="129"/>
      <c r="K52" s="129"/>
      <c r="L52" s="129"/>
      <c r="M52" s="129"/>
      <c r="N52" s="129"/>
    </row>
    <row r="53" spans="2:14" x14ac:dyDescent="0.2">
      <c r="B53" s="123" t="str">
        <f>'[2]Facility Detail'!B11</f>
        <v>Wanapum Fish Bypass</v>
      </c>
      <c r="C53" s="124" t="str">
        <f>'[2]Facility Detail'!C11</f>
        <v>N/A</v>
      </c>
      <c r="D53" s="132"/>
      <c r="E53" s="128">
        <f>'[2]Facility Detail'!F361</f>
        <v>21146</v>
      </c>
      <c r="F53" s="129"/>
      <c r="G53" s="129"/>
      <c r="H53" s="129"/>
      <c r="I53" s="129"/>
      <c r="J53" s="129"/>
      <c r="K53" s="129"/>
      <c r="L53" s="129"/>
      <c r="M53" s="129"/>
      <c r="N53" s="129"/>
    </row>
    <row r="54" spans="2:14" x14ac:dyDescent="0.2">
      <c r="B54" s="123" t="str">
        <f>'[2]Facility Detail'!B12</f>
        <v>Palouse Wind</v>
      </c>
      <c r="C54" s="124" t="str">
        <f>'[2]Facility Detail'!C12</f>
        <v>W2906</v>
      </c>
      <c r="D54" s="132"/>
      <c r="E54" s="128"/>
      <c r="F54" s="129">
        <f>'[2]Facility Detail'!F372</f>
        <v>349726</v>
      </c>
      <c r="G54" s="129"/>
      <c r="H54" s="129"/>
      <c r="I54" s="129"/>
      <c r="J54" s="129"/>
      <c r="K54" s="129"/>
      <c r="L54" s="129"/>
      <c r="M54" s="129"/>
      <c r="N54" s="129">
        <f>'[2]Facility Detail'!F377</f>
        <v>69945.2</v>
      </c>
    </row>
    <row r="55" spans="2:14" x14ac:dyDescent="0.2">
      <c r="B55" s="133"/>
      <c r="C55" s="132"/>
      <c r="D55" s="132"/>
      <c r="E55" s="128"/>
      <c r="F55" s="129"/>
      <c r="G55" s="129"/>
      <c r="H55" s="129"/>
      <c r="I55" s="129"/>
      <c r="J55" s="129"/>
      <c r="K55" s="129"/>
      <c r="L55" s="129"/>
      <c r="M55" s="129"/>
      <c r="N55" s="129"/>
    </row>
    <row r="56" spans="2:14" x14ac:dyDescent="0.2">
      <c r="B56" s="133"/>
      <c r="C56" s="132"/>
      <c r="D56" s="132"/>
      <c r="E56" s="128"/>
      <c r="F56" s="129"/>
      <c r="G56" s="129"/>
      <c r="H56" s="129"/>
      <c r="I56" s="129"/>
      <c r="J56" s="129"/>
      <c r="K56" s="129"/>
      <c r="L56" s="129"/>
      <c r="M56" s="129"/>
      <c r="N56" s="129"/>
    </row>
    <row r="57" spans="2:14" x14ac:dyDescent="0.2">
      <c r="B57" s="133"/>
      <c r="C57" s="132"/>
      <c r="D57" s="132"/>
      <c r="E57" s="128"/>
      <c r="F57" s="129"/>
      <c r="G57" s="129"/>
      <c r="H57" s="129"/>
      <c r="I57" s="129"/>
      <c r="J57" s="129"/>
      <c r="K57" s="129"/>
      <c r="L57" s="129"/>
      <c r="M57" s="129"/>
      <c r="N57" s="129"/>
    </row>
    <row r="58" spans="2:14" x14ac:dyDescent="0.2">
      <c r="B58" s="133"/>
      <c r="C58" s="132"/>
      <c r="D58" s="132"/>
      <c r="E58" s="128"/>
      <c r="F58" s="129"/>
      <c r="G58" s="129"/>
      <c r="H58" s="129"/>
      <c r="I58" s="129"/>
      <c r="J58" s="129"/>
      <c r="K58" s="129"/>
      <c r="L58" s="129"/>
      <c r="M58" s="129"/>
      <c r="N58" s="129"/>
    </row>
    <row r="59" spans="2:14" x14ac:dyDescent="0.2">
      <c r="B59" s="133"/>
      <c r="C59" s="132"/>
      <c r="D59" s="132"/>
      <c r="E59" s="128"/>
      <c r="F59" s="129"/>
      <c r="G59" s="129"/>
      <c r="H59" s="129"/>
      <c r="I59" s="129"/>
      <c r="J59" s="129"/>
      <c r="K59" s="129"/>
      <c r="L59" s="129"/>
      <c r="M59" s="129"/>
      <c r="N59" s="129"/>
    </row>
    <row r="60" spans="2:14" x14ac:dyDescent="0.2">
      <c r="B60" s="133"/>
      <c r="C60" s="132"/>
      <c r="D60" s="132"/>
      <c r="E60" s="128"/>
      <c r="F60" s="129"/>
      <c r="G60" s="129"/>
      <c r="H60" s="129"/>
      <c r="I60" s="129"/>
      <c r="J60" s="129"/>
      <c r="K60" s="129"/>
      <c r="L60" s="129"/>
      <c r="M60" s="129"/>
      <c r="N60" s="129"/>
    </row>
    <row r="61" spans="2:14" x14ac:dyDescent="0.2">
      <c r="B61" s="133"/>
      <c r="C61" s="132"/>
      <c r="D61" s="132"/>
      <c r="E61" s="128"/>
      <c r="F61" s="129"/>
      <c r="G61" s="129"/>
      <c r="H61" s="129"/>
      <c r="I61" s="129"/>
      <c r="J61" s="129"/>
      <c r="K61" s="129"/>
      <c r="L61" s="129"/>
      <c r="M61" s="129"/>
      <c r="N61" s="129"/>
    </row>
    <row r="62" spans="2:14" x14ac:dyDescent="0.2">
      <c r="B62" s="133"/>
      <c r="C62" s="132"/>
      <c r="D62" s="132"/>
      <c r="E62" s="128"/>
      <c r="F62" s="129"/>
      <c r="G62" s="129"/>
      <c r="H62" s="129"/>
      <c r="I62" s="129"/>
      <c r="J62" s="129"/>
      <c r="K62" s="129"/>
      <c r="L62" s="129"/>
      <c r="M62" s="129"/>
      <c r="N62" s="129"/>
    </row>
    <row r="63" spans="2:14" x14ac:dyDescent="0.2">
      <c r="B63" s="133"/>
      <c r="C63" s="132"/>
      <c r="D63" s="132"/>
      <c r="E63" s="128"/>
      <c r="F63" s="129"/>
      <c r="G63" s="129"/>
      <c r="H63" s="129"/>
      <c r="I63" s="129"/>
      <c r="J63" s="129"/>
      <c r="K63" s="129"/>
      <c r="L63" s="129"/>
      <c r="M63" s="129"/>
      <c r="N63" s="129"/>
    </row>
    <row r="64" spans="2:14" x14ac:dyDescent="0.2">
      <c r="B64" s="134"/>
      <c r="C64" s="135"/>
      <c r="D64" s="135"/>
      <c r="E64" s="136"/>
      <c r="F64" s="137"/>
      <c r="G64" s="137"/>
      <c r="H64" s="137"/>
      <c r="I64" s="137"/>
      <c r="J64" s="137"/>
      <c r="K64" s="137"/>
      <c r="L64" s="137"/>
      <c r="M64" s="137"/>
      <c r="N64" s="137"/>
    </row>
    <row r="65" spans="1:34" ht="15" customHeight="1" x14ac:dyDescent="0.2">
      <c r="E65" s="69"/>
      <c r="F65" s="69"/>
      <c r="G65" s="69"/>
      <c r="H65" s="69"/>
      <c r="I65" s="69"/>
      <c r="J65" s="69"/>
      <c r="K65" s="69"/>
      <c r="L65" s="69"/>
      <c r="M65" s="69"/>
      <c r="N65" s="69"/>
    </row>
    <row r="66" spans="1:34" ht="17.25" customHeight="1" x14ac:dyDescent="0.2">
      <c r="B66" s="117" t="s">
        <v>32</v>
      </c>
      <c r="C66" s="117"/>
      <c r="D66" s="117"/>
      <c r="E66" s="106" t="s">
        <v>4</v>
      </c>
      <c r="F66" s="169" t="str">
        <f>C3</f>
        <v>Avista Corporation</v>
      </c>
      <c r="G66" s="170"/>
      <c r="H66" s="171"/>
    </row>
    <row r="67" spans="1:34" ht="15" customHeight="1" x14ac:dyDescent="0.2">
      <c r="E67" s="106" t="s">
        <v>13</v>
      </c>
      <c r="F67" s="172">
        <v>2014</v>
      </c>
      <c r="G67" s="173"/>
      <c r="H67" s="174"/>
    </row>
    <row r="68" spans="1:34" ht="15" customHeight="1" x14ac:dyDescent="0.2">
      <c r="B68" s="106"/>
      <c r="C68" s="106"/>
      <c r="D68" s="106"/>
      <c r="E68" s="138"/>
      <c r="H68" s="139"/>
      <c r="I68" s="69"/>
    </row>
    <row r="69" spans="1:34" s="69" customFormat="1" ht="16.5" customHeight="1" x14ac:dyDescent="0.2">
      <c r="B69" s="117"/>
      <c r="C69" s="117"/>
      <c r="D69" s="117"/>
      <c r="E69" s="103" t="s">
        <v>14</v>
      </c>
      <c r="F69" s="104" t="s">
        <v>15</v>
      </c>
      <c r="G69" s="104" t="s">
        <v>16</v>
      </c>
      <c r="H69" s="104" t="s">
        <v>17</v>
      </c>
      <c r="I69" s="104" t="s">
        <v>18</v>
      </c>
      <c r="J69" s="104" t="s">
        <v>19</v>
      </c>
      <c r="K69" s="104" t="s">
        <v>20</v>
      </c>
      <c r="L69" s="104" t="s">
        <v>21</v>
      </c>
      <c r="M69" s="105" t="s">
        <v>22</v>
      </c>
      <c r="N69" s="105" t="s">
        <v>86</v>
      </c>
      <c r="O69" s="105" t="s">
        <v>87</v>
      </c>
      <c r="AH69" s="73"/>
    </row>
    <row r="70" spans="1:34" s="116" customFormat="1" ht="36" x14ac:dyDescent="0.2">
      <c r="B70" s="106"/>
      <c r="C70" s="106"/>
      <c r="D70" s="106"/>
      <c r="E70" s="107" t="s">
        <v>33</v>
      </c>
      <c r="F70" s="107" t="s">
        <v>24</v>
      </c>
      <c r="G70" s="107" t="s">
        <v>25</v>
      </c>
      <c r="H70" s="107" t="s">
        <v>26</v>
      </c>
      <c r="I70" s="107" t="s">
        <v>27</v>
      </c>
      <c r="J70" s="107" t="s">
        <v>42</v>
      </c>
      <c r="K70" s="107" t="s">
        <v>28</v>
      </c>
      <c r="L70" s="107" t="s">
        <v>29</v>
      </c>
      <c r="M70" s="107" t="s">
        <v>30</v>
      </c>
      <c r="N70" s="107" t="s">
        <v>34</v>
      </c>
      <c r="O70" s="107" t="s">
        <v>31</v>
      </c>
      <c r="AH70" s="69"/>
    </row>
    <row r="71" spans="1:34" ht="15" customHeight="1" x14ac:dyDescent="0.2">
      <c r="B71" s="122" t="s">
        <v>35</v>
      </c>
      <c r="C71" s="140" t="s">
        <v>62</v>
      </c>
      <c r="D71" s="140" t="s">
        <v>63</v>
      </c>
      <c r="E71" s="108" t="s">
        <v>7</v>
      </c>
      <c r="F71" s="108" t="s">
        <v>7</v>
      </c>
      <c r="G71" s="108" t="s">
        <v>7</v>
      </c>
      <c r="H71" s="108" t="s">
        <v>7</v>
      </c>
      <c r="I71" s="108" t="s">
        <v>7</v>
      </c>
      <c r="J71" s="108" t="s">
        <v>7</v>
      </c>
      <c r="K71" s="108" t="s">
        <v>7</v>
      </c>
      <c r="L71" s="108" t="s">
        <v>7</v>
      </c>
      <c r="M71" s="108" t="s">
        <v>7</v>
      </c>
      <c r="N71" s="108" t="s">
        <v>64</v>
      </c>
      <c r="O71" s="108" t="s">
        <v>64</v>
      </c>
      <c r="AH71" s="116"/>
    </row>
    <row r="72" spans="1:34" ht="15" customHeight="1" x14ac:dyDescent="0.2">
      <c r="A72" s="69"/>
      <c r="B72" s="141"/>
      <c r="C72" s="141"/>
      <c r="D72" s="141"/>
      <c r="E72" s="142"/>
      <c r="F72" s="126"/>
      <c r="G72" s="126"/>
      <c r="H72" s="126"/>
      <c r="I72" s="126"/>
      <c r="J72" s="126"/>
      <c r="K72" s="126"/>
      <c r="L72" s="126"/>
      <c r="M72" s="126"/>
      <c r="N72" s="126"/>
      <c r="O72" s="143"/>
    </row>
    <row r="73" spans="1:34" ht="15" customHeight="1" x14ac:dyDescent="0.2">
      <c r="A73" s="69"/>
      <c r="B73" s="141"/>
      <c r="C73" s="141"/>
      <c r="D73" s="141"/>
      <c r="E73" s="144"/>
      <c r="F73" s="129"/>
      <c r="G73" s="129"/>
      <c r="H73" s="129"/>
      <c r="I73" s="129"/>
      <c r="J73" s="129"/>
      <c r="K73" s="129"/>
      <c r="L73" s="129"/>
      <c r="M73" s="129"/>
      <c r="N73" s="129"/>
      <c r="O73" s="145"/>
    </row>
    <row r="74" spans="1:34" ht="15" customHeight="1" x14ac:dyDescent="0.2">
      <c r="A74" s="69"/>
      <c r="B74" s="141"/>
      <c r="C74" s="141"/>
      <c r="D74" s="141"/>
      <c r="E74" s="144"/>
      <c r="F74" s="129"/>
      <c r="G74" s="129"/>
      <c r="H74" s="129"/>
      <c r="I74" s="129"/>
      <c r="J74" s="129"/>
      <c r="K74" s="129"/>
      <c r="L74" s="129"/>
      <c r="M74" s="129"/>
      <c r="N74" s="129"/>
      <c r="O74" s="145"/>
    </row>
    <row r="75" spans="1:34" ht="15" customHeight="1" x14ac:dyDescent="0.2">
      <c r="A75" s="69"/>
      <c r="B75" s="141"/>
      <c r="C75" s="141"/>
      <c r="D75" s="141"/>
      <c r="E75" s="144"/>
      <c r="F75" s="129"/>
      <c r="G75" s="129"/>
      <c r="H75" s="129"/>
      <c r="I75" s="129"/>
      <c r="J75" s="129"/>
      <c r="K75" s="129"/>
      <c r="L75" s="129"/>
      <c r="M75" s="129"/>
      <c r="N75" s="129"/>
      <c r="O75" s="145"/>
    </row>
    <row r="76" spans="1:34" ht="15" customHeight="1" x14ac:dyDescent="0.2">
      <c r="A76" s="69"/>
      <c r="B76" s="133"/>
      <c r="C76" s="133"/>
      <c r="D76" s="133"/>
      <c r="E76" s="146"/>
      <c r="F76" s="129"/>
      <c r="G76" s="129"/>
      <c r="H76" s="129"/>
      <c r="I76" s="129"/>
      <c r="J76" s="129"/>
      <c r="K76" s="129"/>
      <c r="L76" s="129"/>
      <c r="M76" s="129"/>
      <c r="N76" s="129"/>
      <c r="O76" s="145"/>
    </row>
    <row r="77" spans="1:34" ht="15" customHeight="1" x14ac:dyDescent="0.2">
      <c r="A77" s="69"/>
      <c r="B77" s="133"/>
      <c r="C77" s="133"/>
      <c r="D77" s="133"/>
      <c r="E77" s="146"/>
      <c r="F77" s="129"/>
      <c r="G77" s="129"/>
      <c r="H77" s="129"/>
      <c r="I77" s="129"/>
      <c r="J77" s="129"/>
      <c r="K77" s="129"/>
      <c r="L77" s="129"/>
      <c r="M77" s="129"/>
      <c r="N77" s="129"/>
      <c r="O77" s="145"/>
    </row>
    <row r="78" spans="1:34" ht="15" customHeight="1" x14ac:dyDescent="0.2">
      <c r="A78" s="69"/>
      <c r="B78" s="133"/>
      <c r="C78" s="133"/>
      <c r="D78" s="133"/>
      <c r="E78" s="146"/>
      <c r="F78" s="129"/>
      <c r="G78" s="129"/>
      <c r="H78" s="129"/>
      <c r="I78" s="129"/>
      <c r="J78" s="129"/>
      <c r="K78" s="129"/>
      <c r="L78" s="129"/>
      <c r="M78" s="129"/>
      <c r="N78" s="129"/>
      <c r="O78" s="145"/>
    </row>
    <row r="79" spans="1:34" ht="15" customHeight="1" x14ac:dyDescent="0.2">
      <c r="B79" s="147"/>
      <c r="C79" s="147"/>
      <c r="D79" s="147"/>
      <c r="E79" s="146"/>
      <c r="F79" s="129"/>
      <c r="G79" s="129"/>
      <c r="H79" s="129"/>
      <c r="I79" s="129"/>
      <c r="J79" s="129"/>
      <c r="K79" s="129"/>
      <c r="L79" s="129"/>
      <c r="M79" s="129"/>
      <c r="N79" s="129"/>
      <c r="O79" s="145"/>
    </row>
    <row r="80" spans="1:34" ht="15" customHeight="1" x14ac:dyDescent="0.2">
      <c r="B80" s="133"/>
      <c r="C80" s="133"/>
      <c r="D80" s="133"/>
      <c r="E80" s="146"/>
      <c r="F80" s="129"/>
      <c r="G80" s="129"/>
      <c r="H80" s="129"/>
      <c r="I80" s="129"/>
      <c r="J80" s="129"/>
      <c r="K80" s="129"/>
      <c r="L80" s="129"/>
      <c r="M80" s="129"/>
      <c r="N80" s="129"/>
      <c r="O80" s="145"/>
    </row>
    <row r="81" spans="2:15" x14ac:dyDescent="0.2">
      <c r="B81" s="133"/>
      <c r="C81" s="133"/>
      <c r="D81" s="133"/>
      <c r="E81" s="146"/>
      <c r="F81" s="129"/>
      <c r="G81" s="129"/>
      <c r="H81" s="129"/>
      <c r="I81" s="129"/>
      <c r="J81" s="129"/>
      <c r="K81" s="129"/>
      <c r="L81" s="129"/>
      <c r="M81" s="129"/>
      <c r="N81" s="129"/>
      <c r="O81" s="145"/>
    </row>
    <row r="82" spans="2:15" x14ac:dyDescent="0.2">
      <c r="B82" s="133"/>
      <c r="C82" s="133"/>
      <c r="D82" s="133"/>
      <c r="E82" s="146"/>
      <c r="F82" s="129"/>
      <c r="G82" s="129"/>
      <c r="H82" s="129"/>
      <c r="I82" s="129"/>
      <c r="J82" s="129"/>
      <c r="K82" s="129"/>
      <c r="L82" s="129"/>
      <c r="M82" s="129"/>
      <c r="N82" s="129"/>
      <c r="O82" s="145"/>
    </row>
    <row r="83" spans="2:15" x14ac:dyDescent="0.2">
      <c r="B83" s="133"/>
      <c r="C83" s="133"/>
      <c r="D83" s="133"/>
      <c r="E83" s="146"/>
      <c r="F83" s="129"/>
      <c r="G83" s="129"/>
      <c r="H83" s="129"/>
      <c r="I83" s="129"/>
      <c r="J83" s="129"/>
      <c r="K83" s="129"/>
      <c r="L83" s="129"/>
      <c r="M83" s="129"/>
      <c r="N83" s="129"/>
      <c r="O83" s="145"/>
    </row>
    <row r="84" spans="2:15" x14ac:dyDescent="0.2">
      <c r="B84" s="133"/>
      <c r="C84" s="133"/>
      <c r="D84" s="133"/>
      <c r="E84" s="146"/>
      <c r="F84" s="129"/>
      <c r="G84" s="129"/>
      <c r="H84" s="129"/>
      <c r="I84" s="129"/>
      <c r="J84" s="129"/>
      <c r="K84" s="129"/>
      <c r="L84" s="129"/>
      <c r="M84" s="129"/>
      <c r="N84" s="129"/>
      <c r="O84" s="145"/>
    </row>
    <row r="85" spans="2:15" x14ac:dyDescent="0.2">
      <c r="B85" s="133"/>
      <c r="C85" s="133"/>
      <c r="D85" s="133"/>
      <c r="E85" s="146"/>
      <c r="F85" s="129"/>
      <c r="G85" s="129"/>
      <c r="H85" s="129"/>
      <c r="I85" s="129"/>
      <c r="J85" s="129"/>
      <c r="K85" s="129"/>
      <c r="L85" s="129"/>
      <c r="M85" s="129"/>
      <c r="N85" s="129"/>
      <c r="O85" s="145"/>
    </row>
    <row r="86" spans="2:15" x14ac:dyDescent="0.2">
      <c r="B86" s="133"/>
      <c r="C86" s="133"/>
      <c r="D86" s="133"/>
      <c r="E86" s="146"/>
      <c r="F86" s="129"/>
      <c r="G86" s="129"/>
      <c r="H86" s="129"/>
      <c r="I86" s="129"/>
      <c r="J86" s="129"/>
      <c r="K86" s="129"/>
      <c r="L86" s="129"/>
      <c r="M86" s="129"/>
      <c r="N86" s="129"/>
      <c r="O86" s="145"/>
    </row>
    <row r="87" spans="2:15" x14ac:dyDescent="0.2">
      <c r="B87" s="133"/>
      <c r="C87" s="133"/>
      <c r="D87" s="133"/>
      <c r="E87" s="146"/>
      <c r="F87" s="129"/>
      <c r="G87" s="129"/>
      <c r="H87" s="129"/>
      <c r="I87" s="129"/>
      <c r="J87" s="129"/>
      <c r="K87" s="129"/>
      <c r="L87" s="129"/>
      <c r="M87" s="129"/>
      <c r="N87" s="129"/>
      <c r="O87" s="145"/>
    </row>
    <row r="88" spans="2:15" x14ac:dyDescent="0.2">
      <c r="B88" s="133"/>
      <c r="C88" s="133"/>
      <c r="D88" s="133"/>
      <c r="E88" s="146"/>
      <c r="F88" s="129"/>
      <c r="G88" s="129"/>
      <c r="H88" s="129"/>
      <c r="I88" s="129"/>
      <c r="J88" s="129"/>
      <c r="K88" s="129"/>
      <c r="L88" s="129"/>
      <c r="M88" s="129"/>
      <c r="N88" s="129"/>
      <c r="O88" s="145"/>
    </row>
    <row r="89" spans="2:15" x14ac:dyDescent="0.2">
      <c r="B89" s="133"/>
      <c r="C89" s="133"/>
      <c r="D89" s="133"/>
      <c r="E89" s="146"/>
      <c r="F89" s="129"/>
      <c r="G89" s="129"/>
      <c r="H89" s="129"/>
      <c r="I89" s="129"/>
      <c r="J89" s="129"/>
      <c r="K89" s="129"/>
      <c r="L89" s="129"/>
      <c r="M89" s="129"/>
      <c r="N89" s="129"/>
      <c r="O89" s="145"/>
    </row>
    <row r="90" spans="2:15" x14ac:dyDescent="0.2">
      <c r="B90" s="133"/>
      <c r="C90" s="133"/>
      <c r="D90" s="133"/>
      <c r="E90" s="146"/>
      <c r="F90" s="129"/>
      <c r="G90" s="129"/>
      <c r="H90" s="129"/>
      <c r="I90" s="129"/>
      <c r="J90" s="129"/>
      <c r="K90" s="129"/>
      <c r="L90" s="129"/>
      <c r="M90" s="129"/>
      <c r="N90" s="129"/>
      <c r="O90" s="145"/>
    </row>
    <row r="91" spans="2:15" x14ac:dyDescent="0.2">
      <c r="B91" s="133"/>
      <c r="C91" s="133"/>
      <c r="D91" s="133"/>
      <c r="E91" s="146"/>
      <c r="F91" s="129"/>
      <c r="G91" s="129"/>
      <c r="H91" s="129"/>
      <c r="I91" s="129"/>
      <c r="J91" s="129"/>
      <c r="K91" s="129"/>
      <c r="L91" s="129"/>
      <c r="M91" s="129"/>
      <c r="N91" s="129"/>
      <c r="O91" s="145"/>
    </row>
    <row r="92" spans="2:15" x14ac:dyDescent="0.2">
      <c r="B92" s="133"/>
      <c r="C92" s="133"/>
      <c r="D92" s="133"/>
      <c r="E92" s="146"/>
      <c r="F92" s="129"/>
      <c r="G92" s="129"/>
      <c r="H92" s="129"/>
      <c r="I92" s="129"/>
      <c r="J92" s="129"/>
      <c r="K92" s="129"/>
      <c r="L92" s="129"/>
      <c r="M92" s="129"/>
      <c r="N92" s="129"/>
      <c r="O92" s="145"/>
    </row>
    <row r="93" spans="2:15" x14ac:dyDescent="0.2">
      <c r="B93" s="133"/>
      <c r="C93" s="133"/>
      <c r="D93" s="133"/>
      <c r="E93" s="146"/>
      <c r="F93" s="129"/>
      <c r="G93" s="129"/>
      <c r="H93" s="129"/>
      <c r="I93" s="129"/>
      <c r="J93" s="129"/>
      <c r="K93" s="129"/>
      <c r="L93" s="129"/>
      <c r="M93" s="129"/>
      <c r="N93" s="129"/>
      <c r="O93" s="145"/>
    </row>
    <row r="94" spans="2:15" x14ac:dyDescent="0.2">
      <c r="B94" s="133"/>
      <c r="C94" s="133"/>
      <c r="D94" s="133"/>
      <c r="E94" s="146"/>
      <c r="F94" s="129"/>
      <c r="G94" s="129"/>
      <c r="H94" s="129"/>
      <c r="I94" s="129"/>
      <c r="J94" s="129"/>
      <c r="K94" s="129"/>
      <c r="L94" s="129"/>
      <c r="M94" s="129"/>
      <c r="N94" s="129"/>
      <c r="O94" s="145"/>
    </row>
    <row r="95" spans="2:15" x14ac:dyDescent="0.2">
      <c r="B95" s="133"/>
      <c r="C95" s="133"/>
      <c r="D95" s="133"/>
      <c r="E95" s="146"/>
      <c r="F95" s="129"/>
      <c r="G95" s="129"/>
      <c r="H95" s="129"/>
      <c r="I95" s="129"/>
      <c r="J95" s="129"/>
      <c r="K95" s="129"/>
      <c r="L95" s="129"/>
      <c r="M95" s="129"/>
      <c r="N95" s="129"/>
      <c r="O95" s="145"/>
    </row>
    <row r="96" spans="2:15" x14ac:dyDescent="0.2">
      <c r="B96" s="134"/>
      <c r="C96" s="134"/>
      <c r="D96" s="134"/>
      <c r="E96" s="148"/>
      <c r="F96" s="137"/>
      <c r="G96" s="137"/>
      <c r="H96" s="137"/>
      <c r="I96" s="137"/>
      <c r="J96" s="137"/>
      <c r="K96" s="137"/>
      <c r="L96" s="137"/>
      <c r="M96" s="137"/>
      <c r="N96" s="137"/>
      <c r="O96" s="149"/>
    </row>
    <row r="97" spans="2:34" ht="15" customHeight="1" x14ac:dyDescent="0.2"/>
    <row r="98" spans="2:34" ht="15" customHeight="1" x14ac:dyDescent="0.2">
      <c r="B98" s="116"/>
      <c r="C98" s="116"/>
      <c r="D98" s="116"/>
      <c r="E98" s="106" t="s">
        <v>4</v>
      </c>
      <c r="F98" s="169" t="str">
        <f>C3</f>
        <v>Avista Corporation</v>
      </c>
      <c r="G98" s="170"/>
      <c r="H98" s="171"/>
    </row>
    <row r="99" spans="2:34" ht="15" customHeight="1" x14ac:dyDescent="0.2">
      <c r="E99" s="106" t="s">
        <v>50</v>
      </c>
      <c r="F99" s="172">
        <v>2014</v>
      </c>
      <c r="G99" s="173"/>
      <c r="H99" s="174"/>
    </row>
    <row r="100" spans="2:34" ht="15" customHeight="1" x14ac:dyDescent="0.2">
      <c r="B100" s="116" t="s">
        <v>78</v>
      </c>
      <c r="C100" s="116"/>
      <c r="D100" s="116"/>
      <c r="E100" s="106"/>
      <c r="F100" s="92"/>
    </row>
    <row r="101" spans="2:34" ht="15" customHeight="1" x14ac:dyDescent="0.2">
      <c r="B101" s="72"/>
      <c r="C101" s="72"/>
      <c r="D101" s="72"/>
      <c r="E101" s="72"/>
      <c r="F101" s="72"/>
      <c r="G101" s="72"/>
      <c r="H101" s="72"/>
      <c r="I101" s="72"/>
      <c r="J101" s="72"/>
      <c r="K101" s="72"/>
      <c r="L101" s="72"/>
      <c r="M101" s="72"/>
    </row>
    <row r="102" spans="2:34" ht="15" customHeight="1" x14ac:dyDescent="0.2">
      <c r="B102" s="72"/>
      <c r="C102" s="72"/>
      <c r="D102" s="72"/>
      <c r="E102" s="72"/>
      <c r="F102" s="72"/>
      <c r="G102" s="72"/>
      <c r="H102" s="72"/>
      <c r="I102" s="72"/>
      <c r="J102" s="72"/>
      <c r="K102" s="72"/>
      <c r="L102" s="72"/>
      <c r="M102" s="72"/>
    </row>
    <row r="103" spans="2:34" s="69" customFormat="1" ht="15" customHeight="1" x14ac:dyDescent="0.2">
      <c r="B103" s="72"/>
      <c r="C103" s="72"/>
      <c r="D103" s="72"/>
      <c r="E103" s="72"/>
      <c r="F103" s="72"/>
      <c r="G103" s="72"/>
      <c r="H103" s="72"/>
      <c r="I103" s="72"/>
      <c r="J103" s="72"/>
      <c r="K103" s="72"/>
      <c r="L103" s="72"/>
      <c r="M103" s="72"/>
      <c r="AH103" s="73"/>
    </row>
    <row r="104" spans="2:34" s="69" customFormat="1" ht="15" customHeight="1" x14ac:dyDescent="0.2">
      <c r="B104" s="72"/>
      <c r="C104" s="72"/>
      <c r="D104" s="72"/>
      <c r="E104" s="72"/>
      <c r="F104" s="72"/>
      <c r="G104" s="72"/>
      <c r="H104" s="72"/>
      <c r="I104" s="72"/>
      <c r="J104" s="72"/>
      <c r="K104" s="72"/>
      <c r="L104" s="72"/>
      <c r="M104" s="72"/>
    </row>
    <row r="105" spans="2:34" s="69" customFormat="1" x14ac:dyDescent="0.2">
      <c r="B105" s="72"/>
      <c r="C105" s="72"/>
      <c r="D105" s="72"/>
      <c r="E105" s="72"/>
      <c r="F105" s="72"/>
      <c r="G105" s="72"/>
      <c r="H105" s="72"/>
      <c r="I105" s="72"/>
      <c r="J105" s="72"/>
      <c r="K105" s="72"/>
      <c r="L105" s="72"/>
      <c r="M105" s="72"/>
    </row>
    <row r="106" spans="2:34" s="69" customFormat="1" x14ac:dyDescent="0.2">
      <c r="B106" s="72"/>
      <c r="C106" s="72"/>
      <c r="D106" s="72"/>
      <c r="E106" s="72"/>
      <c r="F106" s="72"/>
      <c r="G106" s="72"/>
      <c r="H106" s="72"/>
      <c r="I106" s="72"/>
      <c r="J106" s="72"/>
      <c r="K106" s="72"/>
      <c r="L106" s="72"/>
      <c r="M106" s="72"/>
    </row>
    <row r="107" spans="2:34" s="69" customFormat="1" x14ac:dyDescent="0.2">
      <c r="B107" s="72"/>
      <c r="C107" s="72"/>
      <c r="D107" s="72"/>
      <c r="E107" s="72"/>
      <c r="F107" s="72"/>
      <c r="G107" s="72"/>
      <c r="H107" s="72"/>
      <c r="I107" s="72"/>
      <c r="J107" s="72"/>
      <c r="K107" s="72"/>
      <c r="L107" s="72"/>
      <c r="M107" s="72"/>
    </row>
    <row r="108" spans="2:34" x14ac:dyDescent="0.2">
      <c r="B108" s="72"/>
      <c r="C108" s="72"/>
      <c r="D108" s="72"/>
      <c r="E108" s="72"/>
      <c r="F108" s="72"/>
      <c r="G108" s="72"/>
      <c r="H108" s="72"/>
      <c r="I108" s="72"/>
      <c r="J108" s="72"/>
      <c r="K108" s="72"/>
      <c r="L108" s="72"/>
      <c r="M108" s="72"/>
      <c r="AH108" s="69"/>
    </row>
    <row r="109" spans="2:34" x14ac:dyDescent="0.2">
      <c r="B109" s="72"/>
      <c r="C109" s="72"/>
      <c r="D109" s="72"/>
      <c r="E109" s="72"/>
      <c r="F109" s="72"/>
      <c r="G109" s="72"/>
      <c r="H109" s="72"/>
      <c r="I109" s="72"/>
      <c r="J109" s="72"/>
      <c r="K109" s="72"/>
      <c r="L109" s="72"/>
      <c r="M109" s="72"/>
    </row>
    <row r="110" spans="2:34" x14ac:dyDescent="0.2">
      <c r="B110" s="72"/>
      <c r="C110" s="72"/>
      <c r="D110" s="72"/>
      <c r="E110" s="72"/>
      <c r="F110" s="72"/>
      <c r="G110" s="72"/>
      <c r="H110" s="72"/>
      <c r="I110" s="72"/>
      <c r="J110" s="72"/>
      <c r="K110" s="72"/>
      <c r="L110" s="72"/>
      <c r="M110" s="72"/>
    </row>
    <row r="111" spans="2:34" x14ac:dyDescent="0.2">
      <c r="B111" s="72"/>
      <c r="C111" s="72"/>
      <c r="D111" s="72"/>
      <c r="E111" s="72"/>
      <c r="F111" s="72"/>
      <c r="G111" s="72"/>
      <c r="H111" s="72"/>
      <c r="I111" s="72"/>
      <c r="J111" s="72"/>
      <c r="K111" s="72"/>
      <c r="L111" s="72"/>
      <c r="M111" s="72"/>
    </row>
    <row r="112" spans="2:34" x14ac:dyDescent="0.2">
      <c r="B112" s="72"/>
      <c r="C112" s="72"/>
      <c r="D112" s="72"/>
      <c r="E112" s="72"/>
      <c r="F112" s="72"/>
      <c r="G112" s="72"/>
      <c r="H112" s="72"/>
      <c r="I112" s="72"/>
      <c r="J112" s="72"/>
      <c r="K112" s="72"/>
      <c r="L112" s="72"/>
      <c r="M112" s="72"/>
    </row>
    <row r="113" spans="2:13" x14ac:dyDescent="0.2">
      <c r="B113" s="72"/>
      <c r="C113" s="72"/>
      <c r="D113" s="72"/>
      <c r="E113" s="72"/>
      <c r="F113" s="72"/>
      <c r="G113" s="72"/>
      <c r="H113" s="72"/>
      <c r="I113" s="72"/>
      <c r="J113" s="72"/>
      <c r="K113" s="72"/>
      <c r="L113" s="72"/>
      <c r="M113" s="72"/>
    </row>
    <row r="114" spans="2:13" x14ac:dyDescent="0.2">
      <c r="B114" s="72"/>
      <c r="C114" s="72"/>
      <c r="D114" s="72"/>
      <c r="E114" s="72"/>
      <c r="F114" s="72"/>
      <c r="G114" s="72"/>
      <c r="H114" s="72"/>
      <c r="I114" s="72"/>
      <c r="J114" s="72"/>
      <c r="K114" s="72"/>
      <c r="L114" s="72"/>
      <c r="M114" s="72"/>
    </row>
    <row r="115" spans="2:13" x14ac:dyDescent="0.2">
      <c r="B115" s="150" t="s">
        <v>79</v>
      </c>
      <c r="C115" s="72"/>
      <c r="D115" s="72"/>
      <c r="E115" s="72"/>
      <c r="F115" s="72"/>
      <c r="G115" s="72"/>
      <c r="H115" s="72"/>
      <c r="I115" s="72"/>
      <c r="J115" s="72"/>
      <c r="K115" s="72"/>
      <c r="L115" s="72"/>
      <c r="M115" s="72"/>
    </row>
    <row r="116" spans="2:13" x14ac:dyDescent="0.2">
      <c r="B116" s="72"/>
      <c r="C116" s="72"/>
      <c r="D116" s="72"/>
      <c r="E116" s="72"/>
      <c r="F116" s="72"/>
      <c r="G116" s="72"/>
      <c r="H116" s="72"/>
      <c r="I116" s="72"/>
      <c r="J116" s="72"/>
      <c r="K116" s="72"/>
      <c r="L116" s="72"/>
      <c r="M116" s="72"/>
    </row>
    <row r="117" spans="2:13" x14ac:dyDescent="0.2">
      <c r="B117" s="72"/>
      <c r="C117" s="72"/>
      <c r="D117" s="72"/>
      <c r="E117" s="72"/>
      <c r="F117" s="72"/>
      <c r="G117" s="72"/>
      <c r="H117" s="72"/>
      <c r="I117" s="72"/>
      <c r="J117" s="72"/>
      <c r="K117" s="72"/>
      <c r="L117" s="72"/>
      <c r="M117" s="72"/>
    </row>
    <row r="118" spans="2:13" x14ac:dyDescent="0.2">
      <c r="B118" s="72"/>
      <c r="C118" s="72"/>
      <c r="D118" s="72"/>
      <c r="E118" s="72"/>
      <c r="F118" s="72"/>
      <c r="G118" s="72"/>
      <c r="H118" s="72"/>
      <c r="I118" s="72"/>
      <c r="J118" s="72"/>
      <c r="K118" s="72"/>
      <c r="L118" s="72"/>
      <c r="M118" s="72"/>
    </row>
    <row r="119" spans="2:13" x14ac:dyDescent="0.2">
      <c r="B119" s="72"/>
      <c r="C119" s="72"/>
      <c r="D119" s="72"/>
      <c r="E119" s="72"/>
      <c r="F119" s="72"/>
      <c r="G119" s="72"/>
      <c r="H119" s="72"/>
      <c r="I119" s="72"/>
      <c r="J119" s="72"/>
      <c r="K119" s="72"/>
      <c r="L119" s="72"/>
      <c r="M119" s="72"/>
    </row>
    <row r="120" spans="2:13" x14ac:dyDescent="0.2">
      <c r="B120" s="72"/>
      <c r="C120" s="72"/>
      <c r="D120" s="72"/>
      <c r="E120" s="72"/>
      <c r="F120" s="72"/>
      <c r="G120" s="72"/>
      <c r="H120" s="72"/>
      <c r="I120" s="72"/>
      <c r="J120" s="72"/>
      <c r="K120" s="72"/>
      <c r="L120" s="72"/>
      <c r="M120" s="72"/>
    </row>
    <row r="121" spans="2:13" x14ac:dyDescent="0.2">
      <c r="B121" s="72"/>
      <c r="C121" s="72"/>
      <c r="D121" s="72"/>
      <c r="E121" s="72"/>
      <c r="F121" s="72"/>
      <c r="G121" s="72"/>
      <c r="H121" s="72"/>
      <c r="I121" s="72"/>
      <c r="J121" s="72"/>
      <c r="K121" s="72"/>
      <c r="L121" s="72"/>
      <c r="M121" s="72"/>
    </row>
    <row r="122" spans="2:13" x14ac:dyDescent="0.2">
      <c r="B122" s="72"/>
      <c r="C122" s="72"/>
      <c r="D122" s="72"/>
      <c r="E122" s="72"/>
      <c r="F122" s="72"/>
      <c r="G122" s="72"/>
      <c r="H122" s="72"/>
      <c r="I122" s="72"/>
      <c r="J122" s="72"/>
      <c r="K122" s="72"/>
      <c r="L122" s="72"/>
      <c r="M122" s="72"/>
    </row>
    <row r="123" spans="2:13" x14ac:dyDescent="0.2">
      <c r="B123" s="72"/>
      <c r="C123" s="72"/>
      <c r="D123" s="72"/>
      <c r="E123" s="72"/>
      <c r="F123" s="72"/>
      <c r="G123" s="72"/>
      <c r="H123" s="72"/>
      <c r="I123" s="72"/>
      <c r="J123" s="72"/>
      <c r="K123" s="72"/>
      <c r="L123" s="72"/>
      <c r="M123" s="72"/>
    </row>
    <row r="124" spans="2:13" x14ac:dyDescent="0.2">
      <c r="B124" s="72"/>
      <c r="C124" s="72"/>
      <c r="D124" s="72"/>
      <c r="E124" s="72"/>
      <c r="F124" s="72"/>
      <c r="G124" s="72"/>
      <c r="H124" s="72"/>
      <c r="I124" s="72"/>
      <c r="J124" s="72"/>
      <c r="K124" s="72"/>
      <c r="L124" s="72"/>
      <c r="M124" s="72"/>
    </row>
    <row r="125" spans="2:13" x14ac:dyDescent="0.2">
      <c r="B125" s="72"/>
      <c r="C125" s="72"/>
      <c r="D125" s="72"/>
      <c r="E125" s="72"/>
      <c r="F125" s="72"/>
      <c r="G125" s="72"/>
      <c r="H125" s="72"/>
      <c r="I125" s="72"/>
      <c r="J125" s="72"/>
      <c r="K125" s="72"/>
      <c r="L125" s="72"/>
      <c r="M125" s="72"/>
    </row>
    <row r="126" spans="2:13" x14ac:dyDescent="0.2">
      <c r="B126" s="72"/>
      <c r="C126" s="72"/>
      <c r="D126" s="72"/>
      <c r="E126" s="72"/>
      <c r="F126" s="72"/>
      <c r="G126" s="72"/>
      <c r="H126" s="72"/>
      <c r="I126" s="72"/>
      <c r="J126" s="72"/>
      <c r="K126" s="72"/>
      <c r="L126" s="72"/>
      <c r="M126" s="72"/>
    </row>
    <row r="127" spans="2:13" x14ac:dyDescent="0.2">
      <c r="B127" s="72"/>
      <c r="C127" s="72"/>
      <c r="D127" s="72"/>
      <c r="E127" s="72"/>
      <c r="F127" s="72"/>
      <c r="G127" s="72"/>
      <c r="H127" s="72"/>
      <c r="I127" s="72"/>
      <c r="J127" s="72"/>
      <c r="K127" s="72"/>
      <c r="L127" s="72"/>
      <c r="M127" s="72"/>
    </row>
    <row r="128" spans="2:13" x14ac:dyDescent="0.2">
      <c r="B128" s="72"/>
      <c r="C128" s="72"/>
      <c r="D128" s="72"/>
      <c r="E128" s="72"/>
      <c r="F128" s="72"/>
      <c r="G128" s="72"/>
      <c r="H128" s="72"/>
      <c r="I128" s="72"/>
      <c r="J128" s="72"/>
      <c r="K128" s="72"/>
      <c r="L128" s="72"/>
      <c r="M128" s="72"/>
    </row>
    <row r="129" spans="2:13" x14ac:dyDescent="0.2">
      <c r="B129" s="72"/>
      <c r="C129" s="72"/>
      <c r="D129" s="72"/>
      <c r="E129" s="72"/>
      <c r="F129" s="72"/>
      <c r="G129" s="72"/>
      <c r="H129" s="72"/>
      <c r="I129" s="72"/>
      <c r="J129" s="72"/>
      <c r="K129" s="72"/>
      <c r="L129" s="72"/>
      <c r="M129" s="72"/>
    </row>
    <row r="130" spans="2:13" x14ac:dyDescent="0.2">
      <c r="B130" s="72"/>
      <c r="C130" s="72"/>
      <c r="D130" s="72"/>
      <c r="E130" s="72"/>
      <c r="F130" s="72"/>
      <c r="G130" s="72"/>
      <c r="H130" s="72"/>
      <c r="I130" s="72"/>
      <c r="J130" s="72"/>
      <c r="K130" s="72"/>
      <c r="L130" s="72"/>
      <c r="M130" s="72"/>
    </row>
    <row r="131" spans="2:13" x14ac:dyDescent="0.2">
      <c r="B131" s="72"/>
      <c r="C131" s="72"/>
      <c r="D131" s="72"/>
      <c r="E131" s="72"/>
      <c r="F131" s="72"/>
      <c r="G131" s="72"/>
      <c r="H131" s="72"/>
      <c r="I131" s="72"/>
      <c r="J131" s="72"/>
      <c r="K131" s="72"/>
      <c r="L131" s="72"/>
      <c r="M131" s="72"/>
    </row>
    <row r="132" spans="2:13" x14ac:dyDescent="0.2">
      <c r="B132" s="72"/>
      <c r="C132" s="72"/>
      <c r="D132" s="72"/>
      <c r="E132" s="72"/>
      <c r="F132" s="72"/>
      <c r="G132" s="72"/>
      <c r="H132" s="72"/>
      <c r="I132" s="72"/>
      <c r="J132" s="72"/>
      <c r="K132" s="72"/>
      <c r="L132" s="72"/>
      <c r="M132" s="72"/>
    </row>
    <row r="133" spans="2:13" x14ac:dyDescent="0.2">
      <c r="B133" s="72"/>
      <c r="C133" s="72"/>
      <c r="D133" s="72"/>
      <c r="E133" s="72"/>
      <c r="F133" s="72"/>
      <c r="G133" s="72"/>
      <c r="H133" s="72"/>
      <c r="I133" s="72"/>
      <c r="J133" s="72"/>
      <c r="K133" s="72"/>
      <c r="L133" s="72"/>
      <c r="M133" s="72"/>
    </row>
    <row r="134" spans="2:13" x14ac:dyDescent="0.2">
      <c r="B134" s="72"/>
      <c r="C134" s="72"/>
      <c r="D134" s="72"/>
      <c r="E134" s="72"/>
      <c r="F134" s="72"/>
      <c r="G134" s="72"/>
      <c r="H134" s="72"/>
      <c r="I134" s="72"/>
      <c r="J134" s="72"/>
      <c r="K134" s="72"/>
      <c r="L134" s="72"/>
      <c r="M134" s="72"/>
    </row>
    <row r="135" spans="2:13" x14ac:dyDescent="0.2">
      <c r="B135" s="72"/>
      <c r="C135" s="72"/>
      <c r="D135" s="72"/>
      <c r="E135" s="72"/>
      <c r="F135" s="72"/>
      <c r="G135" s="72"/>
      <c r="H135" s="72"/>
      <c r="I135" s="72"/>
      <c r="J135" s="72"/>
      <c r="K135" s="72"/>
      <c r="L135" s="72"/>
      <c r="M135" s="72"/>
    </row>
    <row r="136" spans="2:13" x14ac:dyDescent="0.2">
      <c r="B136" s="72"/>
      <c r="C136" s="72"/>
      <c r="D136" s="72"/>
      <c r="E136" s="72"/>
      <c r="F136" s="72"/>
      <c r="G136" s="72"/>
      <c r="H136" s="72"/>
      <c r="I136" s="72"/>
      <c r="J136" s="72"/>
      <c r="K136" s="72"/>
      <c r="L136" s="72"/>
      <c r="M136" s="72"/>
    </row>
  </sheetData>
  <mergeCells count="16">
    <mergeCell ref="C7:E7"/>
    <mergeCell ref="I2:N2"/>
    <mergeCell ref="C3:E3"/>
    <mergeCell ref="C4:E4"/>
    <mergeCell ref="C5:E5"/>
    <mergeCell ref="C6:E6"/>
    <mergeCell ref="F66:H66"/>
    <mergeCell ref="F67:H67"/>
    <mergeCell ref="F98:H98"/>
    <mergeCell ref="F99:H99"/>
    <mergeCell ref="G10:N10"/>
    <mergeCell ref="I14:M14"/>
    <mergeCell ref="F36:H36"/>
    <mergeCell ref="F37:H37"/>
    <mergeCell ref="B39:G39"/>
    <mergeCell ref="C43:D43"/>
  </mergeCells>
  <hyperlinks>
    <hyperlink ref="C7" r:id="rId1"/>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sizeWithCells="1">
                  <from>
                    <xdr:col>2</xdr:col>
                    <xdr:colOff>19050</xdr:colOff>
                    <xdr:row>8</xdr:row>
                    <xdr:rowOff>9525</xdr:rowOff>
                  </from>
                  <to>
                    <xdr:col>4</xdr:col>
                    <xdr:colOff>571500</xdr:colOff>
                    <xdr:row>9</xdr:row>
                    <xdr:rowOff>19050</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sizeWithCells="1">
                  <from>
                    <xdr:col>2</xdr:col>
                    <xdr:colOff>19050</xdr:colOff>
                    <xdr:row>9</xdr:row>
                    <xdr:rowOff>28575</xdr:rowOff>
                  </from>
                  <to>
                    <xdr:col>5</xdr:col>
                    <xdr:colOff>0</xdr:colOff>
                    <xdr:row>10</xdr:row>
                    <xdr:rowOff>28575</xdr:rowOff>
                  </to>
                </anchor>
              </controlPr>
            </control>
          </mc:Choice>
        </mc:AlternateContent>
        <mc:AlternateContent xmlns:mc="http://schemas.openxmlformats.org/markup-compatibility/2006">
          <mc:Choice Requires="x14">
            <control shapeId="8195" r:id="rId7" name="Check Box 3">
              <controlPr defaultSize="0" autoFill="0" autoLine="0" autoPict="0">
                <anchor moveWithCells="1" sizeWithCells="1">
                  <from>
                    <xdr:col>2</xdr:col>
                    <xdr:colOff>19050</xdr:colOff>
                    <xdr:row>10</xdr:row>
                    <xdr:rowOff>66675</xdr:rowOff>
                  </from>
                  <to>
                    <xdr:col>5</xdr:col>
                    <xdr:colOff>114300</xdr:colOff>
                    <xdr:row>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
  <sheetViews>
    <sheetView workbookViewId="0">
      <selection activeCell="B8" sqref="B8"/>
    </sheetView>
  </sheetViews>
  <sheetFormatPr defaultRowHeight="15" x14ac:dyDescent="0.25"/>
  <cols>
    <col min="1" max="1" width="36.140625" bestFit="1" customWidth="1"/>
  </cols>
  <sheetData>
    <row r="1" spans="1:84" x14ac:dyDescent="0.25">
      <c r="B1" t="s">
        <v>88</v>
      </c>
      <c r="C1" t="s">
        <v>89</v>
      </c>
      <c r="D1" t="s">
        <v>90</v>
      </c>
      <c r="E1" t="s">
        <v>91</v>
      </c>
      <c r="F1" t="s">
        <v>92</v>
      </c>
      <c r="G1" t="s">
        <v>93</v>
      </c>
      <c r="H1" t="s">
        <v>94</v>
      </c>
      <c r="I1" t="s">
        <v>95</v>
      </c>
      <c r="J1" t="s">
        <v>96</v>
      </c>
      <c r="K1" t="s">
        <v>97</v>
      </c>
      <c r="L1" t="s">
        <v>98</v>
      </c>
      <c r="M1" t="s">
        <v>99</v>
      </c>
      <c r="N1" t="s">
        <v>100</v>
      </c>
      <c r="O1" t="s">
        <v>101</v>
      </c>
      <c r="P1" t="s">
        <v>102</v>
      </c>
      <c r="Q1" t="s">
        <v>103</v>
      </c>
      <c r="R1" t="s">
        <v>104</v>
      </c>
      <c r="S1" t="s">
        <v>105</v>
      </c>
      <c r="T1" t="s">
        <v>106</v>
      </c>
      <c r="U1" t="s">
        <v>107</v>
      </c>
      <c r="V1" t="s">
        <v>108</v>
      </c>
      <c r="W1" t="s">
        <v>109</v>
      </c>
      <c r="X1" t="s">
        <v>110</v>
      </c>
      <c r="Y1" t="s">
        <v>111</v>
      </c>
      <c r="Z1" t="s">
        <v>112</v>
      </c>
      <c r="AA1" t="s">
        <v>113</v>
      </c>
      <c r="AB1" t="s">
        <v>114</v>
      </c>
      <c r="AC1" t="s">
        <v>115</v>
      </c>
      <c r="AD1" t="s">
        <v>116</v>
      </c>
      <c r="AE1" t="s">
        <v>117</v>
      </c>
      <c r="AF1" t="s">
        <v>118</v>
      </c>
      <c r="AG1" t="s">
        <v>119</v>
      </c>
      <c r="AH1" t="s">
        <v>120</v>
      </c>
      <c r="AI1" t="s">
        <v>121</v>
      </c>
      <c r="AJ1" t="s">
        <v>122</v>
      </c>
      <c r="AK1" t="s">
        <v>123</v>
      </c>
      <c r="AL1" t="s">
        <v>124</v>
      </c>
      <c r="AM1" t="s">
        <v>125</v>
      </c>
      <c r="AN1" t="s">
        <v>126</v>
      </c>
      <c r="AO1" t="s">
        <v>127</v>
      </c>
      <c r="AP1" t="s">
        <v>128</v>
      </c>
      <c r="AQ1" t="s">
        <v>129</v>
      </c>
      <c r="AR1" t="s">
        <v>130</v>
      </c>
      <c r="AS1" t="s">
        <v>131</v>
      </c>
      <c r="AT1" t="s">
        <v>132</v>
      </c>
      <c r="AU1" t="s">
        <v>133</v>
      </c>
      <c r="AV1" t="s">
        <v>134</v>
      </c>
      <c r="AW1" t="s">
        <v>141</v>
      </c>
      <c r="AX1" t="s">
        <v>142</v>
      </c>
      <c r="AY1" t="s">
        <v>135</v>
      </c>
      <c r="AZ1" t="s">
        <v>143</v>
      </c>
      <c r="BA1" t="s">
        <v>144</v>
      </c>
      <c r="BB1" t="s">
        <v>136</v>
      </c>
      <c r="BC1" t="s">
        <v>137</v>
      </c>
      <c r="BD1" t="s">
        <v>138</v>
      </c>
      <c r="BE1" t="s">
        <v>145</v>
      </c>
      <c r="BF1" t="s">
        <v>146</v>
      </c>
      <c r="BG1" t="s">
        <v>147</v>
      </c>
      <c r="BH1" t="s">
        <v>148</v>
      </c>
      <c r="BI1" t="s">
        <v>149</v>
      </c>
      <c r="BJ1" t="s">
        <v>150</v>
      </c>
      <c r="BK1" t="s">
        <v>151</v>
      </c>
      <c r="BL1" t="s">
        <v>152</v>
      </c>
      <c r="BM1" t="s">
        <v>153</v>
      </c>
      <c r="BN1" t="s">
        <v>154</v>
      </c>
      <c r="BO1" t="s">
        <v>170</v>
      </c>
      <c r="BP1" t="s">
        <v>171</v>
      </c>
      <c r="BQ1" t="s">
        <v>155</v>
      </c>
      <c r="BR1" t="s">
        <v>156</v>
      </c>
      <c r="BS1" t="s">
        <v>157</v>
      </c>
      <c r="BT1" t="s">
        <v>158</v>
      </c>
      <c r="BU1" t="s">
        <v>159</v>
      </c>
      <c r="BV1" t="s">
        <v>160</v>
      </c>
      <c r="BW1" t="s">
        <v>161</v>
      </c>
      <c r="BX1" t="s">
        <v>162</v>
      </c>
      <c r="BY1" t="s">
        <v>163</v>
      </c>
      <c r="BZ1" t="s">
        <v>164</v>
      </c>
      <c r="CA1" t="s">
        <v>165</v>
      </c>
      <c r="CB1" t="s">
        <v>166</v>
      </c>
      <c r="CC1" t="s">
        <v>172</v>
      </c>
      <c r="CD1" t="s">
        <v>139</v>
      </c>
      <c r="CE1" t="s">
        <v>174</v>
      </c>
      <c r="CF1" t="s">
        <v>140</v>
      </c>
    </row>
    <row r="2" spans="1:84" x14ac:dyDescent="0.25">
      <c r="A2" t="e">
        <f>REN_Utility_Name</f>
        <v>#REF!</v>
      </c>
      <c r="B2" t="e">
        <f>REN_Total_2014</f>
        <v>#REF!</v>
      </c>
      <c r="C2" t="e">
        <f>CON_2012_Agriculture_MWH</f>
        <v>#REF!</v>
      </c>
      <c r="D2" t="e">
        <f>CON_2012_Commercial_Expend</f>
        <v>#REF!</v>
      </c>
      <c r="E2" t="e">
        <f>CON_2012_Commercial_MWH</f>
        <v>#REF!</v>
      </c>
      <c r="F2" t="e">
        <f>CON_2012_Distribution_Expend</f>
        <v>#REF!</v>
      </c>
      <c r="G2" t="e">
        <f>CON_2012_Distribution_MWH</f>
        <v>#REF!</v>
      </c>
      <c r="H2" t="e">
        <f>CON_2012_Expenditures</f>
        <v>#REF!</v>
      </c>
      <c r="I2" t="e">
        <f>CON_2012_Industrial_Expend</f>
        <v>#REF!</v>
      </c>
      <c r="J2" t="e">
        <f>CON_2012_Industrial_MWH</f>
        <v>#REF!</v>
      </c>
      <c r="K2" t="e">
        <f>CON_2012_MWH</f>
        <v>#REF!</v>
      </c>
      <c r="L2" t="e">
        <f>CON_2012_NEEA_Expend</f>
        <v>#REF!</v>
      </c>
      <c r="M2" t="e">
        <f>CON_2012_NEEA_MWH</f>
        <v>#REF!</v>
      </c>
      <c r="N2" t="e">
        <f>CON_2012_OtherSector1_Expend</f>
        <v>#REF!</v>
      </c>
      <c r="O2" t="e">
        <f>CON_2012_OtherSector1_MWH</f>
        <v>#REF!</v>
      </c>
      <c r="P2" t="e">
        <f>CON_2012_OtherSector2_Expend</f>
        <v>#REF!</v>
      </c>
      <c r="Q2" t="e">
        <f>CON_2012_OtherSector2_MWH</f>
        <v>#REF!</v>
      </c>
      <c r="R2" t="e">
        <f>CON_2012_Production_Expend</f>
        <v>#REF!</v>
      </c>
      <c r="S2" t="e">
        <f>CON_2012_Production_MWH</f>
        <v>#REF!</v>
      </c>
      <c r="T2" t="e">
        <f>CON_2012_Program1_Expend</f>
        <v>#REF!</v>
      </c>
      <c r="U2" t="e">
        <f>CON_2012_Program2_Expend</f>
        <v>#REF!</v>
      </c>
      <c r="V2" t="e">
        <f>CON_2012_Residential_Expend</f>
        <v>#REF!</v>
      </c>
      <c r="W2" t="e">
        <f>CON_2012_Residential_MWH</f>
        <v>#REF!</v>
      </c>
      <c r="X2" t="e">
        <f>CON_2013_Agriculture_Expend</f>
        <v>#REF!</v>
      </c>
      <c r="Y2" t="e">
        <f>CON_2013_Agriculture_MWH</f>
        <v>#REF!</v>
      </c>
      <c r="Z2" t="e">
        <f>CON_2013_Commercial_Expend</f>
        <v>#REF!</v>
      </c>
      <c r="AA2" t="e">
        <f>CON_2013_Commercial_MWH</f>
        <v>#REF!</v>
      </c>
      <c r="AB2" t="e">
        <f>CON_2013_Distribution_Expend</f>
        <v>#REF!</v>
      </c>
      <c r="AC2" t="e">
        <f>CON_2013_Distribution_MWH</f>
        <v>#REF!</v>
      </c>
      <c r="AD2" t="e">
        <f>CON_2013_Expenditures</f>
        <v>#REF!</v>
      </c>
      <c r="AE2" t="e">
        <f>CON_2013_Industrial_Expend</f>
        <v>#REF!</v>
      </c>
      <c r="AF2" t="e">
        <f>CON_2013_Industrial_MWH</f>
        <v>#REF!</v>
      </c>
      <c r="AG2" t="e">
        <f>CON_2013_MWH</f>
        <v>#REF!</v>
      </c>
      <c r="AH2" t="e">
        <f>CON_2013_NEEA_Expend</f>
        <v>#REF!</v>
      </c>
      <c r="AI2" t="e">
        <f>CON_2013_NEEA_MWH</f>
        <v>#REF!</v>
      </c>
      <c r="AJ2" t="e">
        <f>CON_2013_OtherSector1_Expend</f>
        <v>#REF!</v>
      </c>
      <c r="AK2" t="e">
        <f>CON_2013_OtherSector1_MWH</f>
        <v>#REF!</v>
      </c>
      <c r="AL2" t="e">
        <f>CON_2013_OtherSector2_Expend</f>
        <v>#REF!</v>
      </c>
      <c r="AM2" t="e">
        <f>CON_2013_OtherSector2_MWH</f>
        <v>#REF!</v>
      </c>
      <c r="AN2" t="e">
        <f>CON_2013_Production_Expend</f>
        <v>#REF!</v>
      </c>
      <c r="AO2" t="e">
        <f>CON_2013_Production_MWH</f>
        <v>#REF!</v>
      </c>
      <c r="AP2" t="e">
        <f>CON_2013_Program1_Expend</f>
        <v>#REF!</v>
      </c>
      <c r="AQ2" t="e">
        <f>CON_2013_Program2_Expend</f>
        <v>#REF!</v>
      </c>
      <c r="AR2" t="e">
        <f>CON_2013_Residential_Expend</f>
        <v>#REF!</v>
      </c>
      <c r="AS2" t="e">
        <f>CON_2013_Residential_MWH</f>
        <v>#REF!</v>
      </c>
      <c r="AT2" t="e">
        <f>CON_Contact_Name</f>
        <v>#REF!</v>
      </c>
      <c r="AU2" t="e">
        <f>CON_Email</f>
        <v>#REF!</v>
      </c>
      <c r="AV2" t="e">
        <f>CON_Phone</f>
        <v>#REF!</v>
      </c>
      <c r="AW2" t="e">
        <f>CON_Potential_2012_2021</f>
        <v>#REF!</v>
      </c>
      <c r="AX2" t="e">
        <f>CON_Potential_2014_2023</f>
        <v>#REF!</v>
      </c>
      <c r="AY2" t="e">
        <f>CON_Report_Date</f>
        <v>#REF!</v>
      </c>
      <c r="AZ2" t="e">
        <f>CON_Target_2012_2013</f>
        <v>#REF!</v>
      </c>
      <c r="BA2" t="e">
        <f>CON_Target_2014_2015</f>
        <v>#REF!</v>
      </c>
      <c r="BB2" t="e">
        <f>CON_Utility_Name</f>
        <v>#REF!</v>
      </c>
      <c r="BC2" t="e">
        <f>REN_Contact_Name</f>
        <v>#REF!</v>
      </c>
      <c r="BD2" t="e">
        <f>REN_Email</f>
        <v>#REF!</v>
      </c>
      <c r="BE2" t="e">
        <f>REN_ERR_ApprenticeLabor</f>
        <v>#REF!</v>
      </c>
      <c r="BF2" t="e">
        <f>REN_ERR_Biodiesel</f>
        <v>#REF!</v>
      </c>
      <c r="BG2" t="e">
        <f>REN_ERR_Biomass</f>
        <v>#REF!</v>
      </c>
      <c r="BH2" t="e">
        <f>REN_ERR_Geothermal</f>
        <v>#REF!</v>
      </c>
      <c r="BI2" t="e">
        <f>REN_ERR_LandfillGas</f>
        <v>#REF!</v>
      </c>
      <c r="BJ2" t="e">
        <f>REN_ERR_SewageGas</f>
        <v>#REF!</v>
      </c>
      <c r="BK2" t="e">
        <f>REN_ERR_Solar</f>
        <v>#REF!</v>
      </c>
      <c r="BL2" t="e">
        <f>REN_ERR_Water</f>
        <v>#REF!</v>
      </c>
      <c r="BM2" t="e">
        <f>REN_ERR_Wind</f>
        <v>#REF!</v>
      </c>
      <c r="BN2" t="e">
        <f>REN_ERR_WOT</f>
        <v>#REF!</v>
      </c>
      <c r="BO2" t="e">
        <f>REN_Expenditure_Amount_2014</f>
        <v>#REF!</v>
      </c>
      <c r="BP2" t="e">
        <f>REN_Expenditure_Percent_2014</f>
        <v>#REF!</v>
      </c>
      <c r="BQ2" t="e">
        <f>REN_Load_2012</f>
        <v>#REF!</v>
      </c>
      <c r="BR2" t="e">
        <f>REN_Load_2013</f>
        <v>#REF!</v>
      </c>
      <c r="BS2" t="e">
        <f>REN_REC_ApprenticeLabor</f>
        <v>#REF!</v>
      </c>
      <c r="BT2" t="e">
        <f>REN_REC_Biodiesel</f>
        <v>#REF!</v>
      </c>
      <c r="BU2" t="e">
        <f>REN_REC_Biomass</f>
        <v>#REF!</v>
      </c>
      <c r="BV2" t="e">
        <f>REN_REC_DistributedGeneration</f>
        <v>#REF!</v>
      </c>
      <c r="BW2" t="e">
        <f>REN_REC_Geothermal</f>
        <v>#REF!</v>
      </c>
      <c r="BX2" t="e">
        <f>REN_REC_LandfillGas</f>
        <v>#REF!</v>
      </c>
      <c r="BY2" t="e">
        <f>REN_REC_SewageGas</f>
        <v>#REF!</v>
      </c>
      <c r="BZ2" t="e">
        <f>REN_REC_Solar</f>
        <v>#REF!</v>
      </c>
      <c r="CA2" t="e">
        <f>REN_REC_Wind</f>
        <v>#REF!</v>
      </c>
      <c r="CB2" t="e">
        <f>REN_REC_WOT</f>
        <v>#REF!</v>
      </c>
      <c r="CC2" t="e">
        <f>REN_RetailRevenueRequirement_2014</f>
        <v>#REF!</v>
      </c>
      <c r="CD2" t="e">
        <f>REN_Submittal_Date</f>
        <v>#REF!</v>
      </c>
      <c r="CE2" t="e">
        <f>REN_Total_2014</f>
        <v>#REF!</v>
      </c>
      <c r="CF2" t="e">
        <f>REN_Utility_Name</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45ABF30ED998744AAEDA5BCC9FB6841" ma:contentTypeVersion="143" ma:contentTypeDescription="" ma:contentTypeScope="" ma:versionID="e6b3b36a134d3894213a12b14eab8e9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2011-11-01T07:00:00+00:00</OpenedDate>
    <Date1 xmlns="dc463f71-b30c-4ab2-9473-d307f9d35888">2014-08-07T07:00:00+00:00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111882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834BD8-A0B7-4DAE-86EB-FDA3B69BD2C7}"/>
</file>

<file path=customXml/itemProps2.xml><?xml version="1.0" encoding="utf-8"?>
<ds:datastoreItem xmlns:ds="http://schemas.openxmlformats.org/officeDocument/2006/customXml" ds:itemID="{D74B3BAC-27D5-4056-8FF8-CEF5C3A21C63}"/>
</file>

<file path=customXml/itemProps3.xml><?xml version="1.0" encoding="utf-8"?>
<ds:datastoreItem xmlns:ds="http://schemas.openxmlformats.org/officeDocument/2006/customXml" ds:itemID="{B5134EF7-F04D-4218-953F-7A835D8EE7C1}"/>
</file>

<file path=customXml/itemProps4.xml><?xml version="1.0" encoding="utf-8"?>
<ds:datastoreItem xmlns:ds="http://schemas.openxmlformats.org/officeDocument/2006/customXml" ds:itemID="{2F4EF345-C7A3-4312-A2DA-7A75ECC155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58</vt:i4>
      </vt:variant>
    </vt:vector>
  </HeadingPairs>
  <TitlesOfParts>
    <vt:vector size="63" baseType="lpstr">
      <vt:lpstr>Instructions - 2014</vt:lpstr>
      <vt:lpstr>Instructions - Revise 2012</vt:lpstr>
      <vt:lpstr>Conservation Report</vt:lpstr>
      <vt:lpstr>Renewables Report</vt:lpstr>
      <vt:lpstr>Data</vt:lpstr>
      <vt:lpstr>'Conservation Report'!CON_2012_Agriculture_Expend</vt:lpstr>
      <vt:lpstr>'Conservation Report'!CON_2012_Agriculture_MWH</vt:lpstr>
      <vt:lpstr>'Conservation Report'!CON_2012_Commercial_Expend</vt:lpstr>
      <vt:lpstr>'Conservation Report'!CON_2012_Commercial_MWH</vt:lpstr>
      <vt:lpstr>'Conservation Report'!CON_2012_Distribution_Expend</vt:lpstr>
      <vt:lpstr>'Conservation Report'!CON_2012_Distribution_MWH</vt:lpstr>
      <vt:lpstr>'Conservation Report'!CON_2012_Expenditures</vt:lpstr>
      <vt:lpstr>'Conservation Report'!CON_2012_Industrial_Expend</vt:lpstr>
      <vt:lpstr>'Conservation Report'!CON_2012_Industrial_MWH</vt:lpstr>
      <vt:lpstr>'Conservation Report'!CON_2012_MWH</vt:lpstr>
      <vt:lpstr>'Conservation Report'!CON_2012_NEEA_Expend</vt:lpstr>
      <vt:lpstr>'Conservation Report'!CON_2012_NEEA_MWH</vt:lpstr>
      <vt:lpstr>'Conservation Report'!CON_2012_OtherSector1_Expend</vt:lpstr>
      <vt:lpstr>'Conservation Report'!CON_2012_OtherSector1_MWH</vt:lpstr>
      <vt:lpstr>'Conservation Report'!CON_2012_OtherSector2_Expend</vt:lpstr>
      <vt:lpstr>'Conservation Report'!CON_2012_OtherSector2_MWH</vt:lpstr>
      <vt:lpstr>'Conservation Report'!CON_2012_Production_Expend</vt:lpstr>
      <vt:lpstr>'Conservation Report'!CON_2012_Production_MWH</vt:lpstr>
      <vt:lpstr>'Conservation Report'!CON_2012_Program1_Expend</vt:lpstr>
      <vt:lpstr>'Conservation Report'!CON_2012_Program2_Expend</vt:lpstr>
      <vt:lpstr>'Conservation Report'!CON_2012_Residential_Expend</vt:lpstr>
      <vt:lpstr>'Conservation Report'!CON_2012_Residential_MWH</vt:lpstr>
      <vt:lpstr>'Conservation Report'!CON_2013_Agriculture_Expend</vt:lpstr>
      <vt:lpstr>'Conservation Report'!CON_2013_Agriculture_MWH</vt:lpstr>
      <vt:lpstr>'Conservation Report'!CON_2013_Commercial_Expend</vt:lpstr>
      <vt:lpstr>'Conservation Report'!CON_2013_Commercial_MWH</vt:lpstr>
      <vt:lpstr>'Conservation Report'!CON_2013_Distribution_Expend</vt:lpstr>
      <vt:lpstr>'Conservation Report'!CON_2013_Distribution_MWH</vt:lpstr>
      <vt:lpstr>'Conservation Report'!CON_2013_Expenditures</vt:lpstr>
      <vt:lpstr>'Conservation Report'!CON_2013_Industrial_Expend</vt:lpstr>
      <vt:lpstr>'Conservation Report'!CON_2013_Industrial_MWH</vt:lpstr>
      <vt:lpstr>'Conservation Report'!CON_2013_MWH</vt:lpstr>
      <vt:lpstr>'Conservation Report'!CON_2013_NEEA_Expend</vt:lpstr>
      <vt:lpstr>'Conservation Report'!CON_2013_NEEA_MWH</vt:lpstr>
      <vt:lpstr>'Conservation Report'!CON_2013_OtherSector1_Expend</vt:lpstr>
      <vt:lpstr>'Conservation Report'!CON_2013_OtherSector1_MWH</vt:lpstr>
      <vt:lpstr>'Conservation Report'!CON_2013_OtherSector2_Expend</vt:lpstr>
      <vt:lpstr>'Conservation Report'!CON_2013_OtherSector2_MWH</vt:lpstr>
      <vt:lpstr>'Conservation Report'!CON_2013_Production_Expend</vt:lpstr>
      <vt:lpstr>'Conservation Report'!CON_2013_Production_MWH</vt:lpstr>
      <vt:lpstr>'Conservation Report'!CON_2013_Program1_Expend</vt:lpstr>
      <vt:lpstr>'Conservation Report'!CON_2013_Program2_Expend</vt:lpstr>
      <vt:lpstr>'Conservation Report'!CON_2013_Residential_Expend</vt:lpstr>
      <vt:lpstr>'Conservation Report'!CON_2013_Residential_MWH</vt:lpstr>
      <vt:lpstr>'Conservation Report'!CON_Contact_Name</vt:lpstr>
      <vt:lpstr>'Conservation Report'!CON_Email</vt:lpstr>
      <vt:lpstr>'Conservation Report'!CON_Phone</vt:lpstr>
      <vt:lpstr>'Conservation Report'!CON_Potential_2012_2021</vt:lpstr>
      <vt:lpstr>'Conservation Report'!CON_Potential_2014_2023</vt:lpstr>
      <vt:lpstr>'Conservation Report'!CON_Report_Date</vt:lpstr>
      <vt:lpstr>'Conservation Report'!CON_Target_2012_2013</vt:lpstr>
      <vt:lpstr>'Conservation Report'!CON_Target_2014_2015</vt:lpstr>
      <vt:lpstr>'Conservation Report'!CON_Utility_Name</vt:lpstr>
      <vt:lpstr>'Conservation Report'!Print_Area</vt:lpstr>
      <vt:lpstr>'Renewables Report'!REN_Expenditure_Amount_2014</vt:lpstr>
      <vt:lpstr>'Renewables Report'!REN_Load_2012</vt:lpstr>
      <vt:lpstr>'Renewables Report'!REN_Load_2013</vt:lpstr>
      <vt:lpstr>'Renewables Report'!REN_RetailRevenueRequirement_2014</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2014 Report Workbook for Utilities</dc:title>
  <dc:creator>Glenn Blackmon</dc:creator>
  <cp:keywords>EIA 2014 Report Workbook for Utilities</cp:keywords>
  <cp:lastModifiedBy>Lorri Targus</cp:lastModifiedBy>
  <cp:lastPrinted>2014-08-08T15:44:37Z</cp:lastPrinted>
  <dcterms:created xsi:type="dcterms:W3CDTF">2012-03-20T21:01:26Z</dcterms:created>
  <dcterms:modified xsi:type="dcterms:W3CDTF">2014-08-08T15:45:04Z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0x0101006E56B4D1795A2E4DB2F0B01679ED314A00145ABF30ED998744AAEDA5BCC9FB6841</vt:lpwstr>
  </property>
  <property fmtid="{D5CDD505-2E9C-101B-9397-08002B2CF9AE}" pid="3" name="Tags">
    <vt:lpwstr>22;#Energy and Technology|43b76879-3ce9-450b-82c1-09e0fad106ad;#2;#State Energy Office|a139cb90-38ff-40be-94b0-10864d67941e;#13;#Electric Utilities|06344503-e39b-47b5-a8fa-c7183fd9f2d6;#52;#Energy Independence|52a36080-840b-42db-9c95-a574519b8fa9</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