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Nooksack Valley Disposal\WUTC\"/>
    </mc:Choice>
  </mc:AlternateContent>
  <bookViews>
    <workbookView xWindow="0" yWindow="0" windowWidth="23040" windowHeight="9384" activeTab="1"/>
  </bookViews>
  <sheets>
    <sheet name="References" sheetId="7" r:id="rId1"/>
    <sheet name="Staff Price Out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D" localSheetId="0">#REF!</definedName>
    <definedName name="\D">#REF!</definedName>
    <definedName name="\S" localSheetId="0">#REF!</definedName>
    <definedName name="\S">#REF!</definedName>
    <definedName name="\Y" localSheetId="0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ACT1">[2]Hidden!#REF!</definedName>
    <definedName name="______ACT2">[2]Hidden!#REF!</definedName>
    <definedName name="______ACT3">[2]Hidden!#REF!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ACT1">[2]Hidden!#REF!</definedName>
    <definedName name="_____ACT2">[2]Hidden!#REF!</definedName>
    <definedName name="_____ACT3">[2]Hidden!#REF!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ACT1">[2]Hidden!#REF!</definedName>
    <definedName name="____ACT2">[2]Hidden!#REF!</definedName>
    <definedName name="____ACT3">[2]Hidden!#REF!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ACT1">[2]Hidden!#REF!</definedName>
    <definedName name="___ACT2">[2]Hidden!#REF!</definedName>
    <definedName name="___ACT3">[2]Hidden!#REF!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[3]Hidden!#REF!</definedName>
    <definedName name="__ACT2">[3]Hidden!#REF!</definedName>
    <definedName name="__ACT3">[3]Hidden!#REF!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[4]Hidden!$P$11</definedName>
    <definedName name="__LYA10">[4]Hidden!$G$11</definedName>
    <definedName name="__LYA11">[4]Hidden!$F$11</definedName>
    <definedName name="__LYA12">[1]Hidden!$O$11</definedName>
    <definedName name="__LYA2">[4]Hidden!$O$11</definedName>
    <definedName name="__LYA3">[4]Hidden!$N$11</definedName>
    <definedName name="__LYA4">[4]Hidden!$M$11</definedName>
    <definedName name="__LYA5">[4]Hidden!$L$11</definedName>
    <definedName name="__LYA6">[4]Hidden!$K$11</definedName>
    <definedName name="__LYA7">[4]Hidden!$J$11</definedName>
    <definedName name="__LYA8">[4]Hidden!$I$11</definedName>
    <definedName name="__LYA9">[4]Hidden!$H$11</definedName>
    <definedName name="_123Graph_g" hidden="1">'[5]#REF'!$F$9:$F$83</definedName>
    <definedName name="_132" hidden="1">[6]XXXXXX!$B$10:$B$10</definedName>
    <definedName name="_132Graph_h" localSheetId="0" hidden="1">#REF!</definedName>
    <definedName name="_132Graph_h" hidden="1">#REF!</definedName>
    <definedName name="_ACT1" localSheetId="0">[7]Hidden!#REF!</definedName>
    <definedName name="_ACT1">[7]Hidden!#REF!</definedName>
    <definedName name="_ACT2">[7]Hidden!#REF!</definedName>
    <definedName name="_ACT3">[7]Hidden!#REF!</definedName>
    <definedName name="_ACT4">[2]Hidden!#REF!</definedName>
    <definedName name="_COS1" localSheetId="0">#REF!</definedName>
    <definedName name="_COS1">#REF!</definedName>
    <definedName name="_COS2" localSheetId="0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Key1" localSheetId="0" hidden="1">#REF!</definedName>
    <definedName name="_Key1" hidden="1">#REF!</definedName>
    <definedName name="_Key2" hidden="1">'[5]#REF'!$D$12</definedName>
    <definedName name="_key5" hidden="1">[6]XXXXXX!$H$10</definedName>
    <definedName name="_LYA1">[4]Hidden!$P$11</definedName>
    <definedName name="_LYA10">[4]Hidden!$G$11</definedName>
    <definedName name="_LYA11">[4]Hidden!$F$11</definedName>
    <definedName name="_LYA12">[1]Hidden!$O$11</definedName>
    <definedName name="_LYA2">[4]Hidden!$O$11</definedName>
    <definedName name="_LYA3">[4]Hidden!$N$11</definedName>
    <definedName name="_LYA4">[4]Hidden!$M$11</definedName>
    <definedName name="_LYA5">[4]Hidden!$L$11</definedName>
    <definedName name="_LYA6">[4]Hidden!$K$11</definedName>
    <definedName name="_LYA7">[4]Hidden!$J$11</definedName>
    <definedName name="_LYA8">[4]Hidden!$I$11</definedName>
    <definedName name="_LYA9">[4]Hidden!$H$11</definedName>
    <definedName name="_max" localSheetId="0" hidden="1">#REF!</definedName>
    <definedName name="_max" hidden="1">#REF!</definedName>
    <definedName name="_Mon" localSheetId="0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0" hidden="1">#REF!</definedName>
    <definedName name="_Sort" hidden="1">#REF!</definedName>
    <definedName name="_Sort1" hidden="1">'[5]#REF'!$A$10:$Z$281</definedName>
    <definedName name="_sort3" hidden="1">[6]XXXXXX!$G$10:$J$11</definedName>
    <definedName name="a" localSheetId="0">#REF!</definedName>
    <definedName name="a">#REF!</definedName>
    <definedName name="Accounts" localSheetId="0">#REF!</definedName>
    <definedName name="Accounts">#REF!</definedName>
    <definedName name="ACCT" localSheetId="0">[7]Hidden!#REF!</definedName>
    <definedName name="ACCT">[7]Hidden!#REF!</definedName>
    <definedName name="ACCT.ConsolSum">[1]Hidden!$Q$11</definedName>
    <definedName name="AcctName">'[8]2012 Act-Fcast P&amp;L'!#REF!</definedName>
    <definedName name="ACT_CUR" localSheetId="0">[7]Hidden!#REF!</definedName>
    <definedName name="ACT_CUR">[7]Hidden!#REF!</definedName>
    <definedName name="ACT_YTD" localSheetId="0">[7]Hidden!#REF!</definedName>
    <definedName name="ACT_YTD">[7]Hidden!#REF!</definedName>
    <definedName name="afsdfsdfsd" localSheetId="0">#REF!</definedName>
    <definedName name="afsdfsdfsd">#REF!</definedName>
    <definedName name="AmountCount" localSheetId="0">#REF!</definedName>
    <definedName name="AmountCount">#REF!</definedName>
    <definedName name="AmountCount1" localSheetId="0">#REF!</definedName>
    <definedName name="AmountCount1">#REF!</definedName>
    <definedName name="AmountFrom">#REF!</definedName>
    <definedName name="AmountTo">#REF!</definedName>
    <definedName name="AmountTotal">#REF!</definedName>
    <definedName name="AmountTotal1">#REF!</definedName>
    <definedName name="BaseMonthDate">[9]Settings!$I$15</definedName>
    <definedName name="BaseMonthDate2">[9]Settings!$I$16</definedName>
    <definedName name="BaseMonthDate3">[9]Settings!$I$17</definedName>
    <definedName name="BaseYear">#REF!</definedName>
    <definedName name="BookRev">'[10]Pacific Regulated - Price Out'!$F$50</definedName>
    <definedName name="BookRev_com">'[10]Pacific Regulated - Price Out'!$F$214</definedName>
    <definedName name="BookRev_mfr">'[10]Pacific Regulated - Price Out'!$F$222</definedName>
    <definedName name="BookRev_ro">'[10]Pacific Regulated - Price Out'!$F$282</definedName>
    <definedName name="BookRev_rr">'[10]Pacific Regulated - Price Out'!$F$59</definedName>
    <definedName name="BookRev_yw">'[10]Pacific Regulated - Price Out'!$F$70</definedName>
    <definedName name="BREMAIR_COST_of_SERVICE_STUDY" localSheetId="0">#REF!</definedName>
    <definedName name="BREMAIR_COST_of_SERVICE_STUDY">#REF!</definedName>
    <definedName name="BUD_CUR" localSheetId="0">[7]Hidden!#REF!</definedName>
    <definedName name="BUD_CUR">[7]Hidden!#REF!</definedName>
    <definedName name="BUD_YTD">[7]Hidden!#REF!</definedName>
    <definedName name="BusUnitCode">[9]Settings!$I$3</definedName>
    <definedName name="BusUnitName">[9]Settings!$I$4</definedName>
    <definedName name="CalRecyTons">'[11]Recycl Tons, Commodity Value'!$L$23</definedName>
    <definedName name="CanCartTons">[12]CanCartTonsAllocate!$E$3</definedName>
    <definedName name="CheckTotals" localSheetId="0">#REF!</definedName>
    <definedName name="CheckTotals">#REF!</definedName>
    <definedName name="CoCanTons">[13]Cust_Count1!$M$28</definedName>
    <definedName name="CoComYd">'[13]Gross Yardage Worksheet'!$L$16</definedName>
    <definedName name="CoCustCnt">#REF!</definedName>
    <definedName name="colgroup">[1]Orientation!$G$6</definedName>
    <definedName name="colsegment">[1]Orientation!$F$6</definedName>
    <definedName name="Comments">[14]Main!$K$57:INDEX([14]Main!$K$57:$K$59,SUMPRODUCT(--([14]Main!$K$57:$K$59&lt;&gt;"")))</definedName>
    <definedName name="CommlStaffPriceOut" localSheetId="0">'[15]Price Out-Reg EASTSIDE-Resi'!#REF!</definedName>
    <definedName name="CommlStaffPriceOut">'[15]Price Out-Reg EASTSIDE-Resi'!#REF!</definedName>
    <definedName name="CoMultiYd">'[13]Gross Yardage Worksheet'!$L$31</definedName>
    <definedName name="ContainerTons">[12]ContainerTonsAllocation!$E$2</definedName>
    <definedName name="COST_OF_SERVICE_STUDY">#REF!</definedName>
    <definedName name="CoXtraYds">#REF!</definedName>
    <definedName name="CR">#REF!</definedName>
    <definedName name="CRCTable" localSheetId="0">#REF!</definedName>
    <definedName name="CRCTable">#REF!</definedName>
    <definedName name="CRCTableOLD" localSheetId="0">#REF!</definedName>
    <definedName name="CRCTableOLD">#REF!</definedName>
    <definedName name="CriteriaType">[16]ControlPanel!$Z$2:$Z$5</definedName>
    <definedName name="CtyCanTons">[13]Cust_Count1!$N$28</definedName>
    <definedName name="CtyComYd">'[13]Gross Yardage Worksheet'!$L$49</definedName>
    <definedName name="CtyCustCnt">#REF!</definedName>
    <definedName name="CtyMultiYd">'[13]Gross Yardage Worksheet'!$L$64</definedName>
    <definedName name="CtyXtraYds">#REF!</definedName>
    <definedName name="Currency">[14]Main!$I$82</definedName>
    <definedName name="CurrentMonth" localSheetId="0">#REF!</definedName>
    <definedName name="CurrentMonth">#REF!</definedName>
    <definedName name="Cutomers" localSheetId="0">#REF!</definedName>
    <definedName name="Cutomers">#REF!</definedName>
    <definedName name="Data_End_Test">#REF!</definedName>
    <definedName name="Data_Start_Test">#REF!</definedName>
    <definedName name="_xlnm.Database">#REF!</definedName>
    <definedName name="Database1">#REF!</definedName>
    <definedName name="DateFrom" localSheetId="0">#REF!</definedName>
    <definedName name="DateFrom">#REF!</definedName>
    <definedName name="DateRange">#REF!</definedName>
    <definedName name="DateTo" localSheetId="0">#REF!</definedName>
    <definedName name="DateTo">#REF!</definedName>
    <definedName name="DBxStaffPriceOut" localSheetId="0">'[15]Price Out-Reg EASTSIDE-Resi'!#REF!</definedName>
    <definedName name="DBxStaffPriceOut">'[15]Price Out-Reg EASTSIDE-Resi'!#REF!</definedName>
    <definedName name="debtP">#REF!</definedName>
    <definedName name="DEPT" localSheetId="0">[7]Hidden!#REF!</definedName>
    <definedName name="DEPT">[7]Hidden!#REF!</definedName>
    <definedName name="DetailBudYear">#REF!</definedName>
    <definedName name="DetailDistrict">#REF!</definedName>
    <definedName name="Dist">[17]Data!$E$3</definedName>
    <definedName name="District" localSheetId="0">'[18]Vashon BS'!#REF!</definedName>
    <definedName name="District">'[18]Vashon BS'!#REF!</definedName>
    <definedName name="DistrictNum" localSheetId="0">#REF!</definedName>
    <definedName name="DistrictNum">#REF!</definedName>
    <definedName name="Districts" localSheetId="0">#REF!</definedName>
    <definedName name="Districts">#REF!</definedName>
    <definedName name="DistrictSelection">[19]Summary!$C$6</definedName>
    <definedName name="dOG" localSheetId="0">#REF!</definedName>
    <definedName name="dOG">#REF!</definedName>
    <definedName name="drlFilter">[1]Settings!$D$27</definedName>
    <definedName name="End" localSheetId="0">#REF!</definedName>
    <definedName name="End">#REF!</definedName>
    <definedName name="EntrieShownLimit" localSheetId="0">#REF!</definedName>
    <definedName name="EntrieShownLimit">#REF!</definedName>
    <definedName name="ExcludeIC" localSheetId="0">'[18]Vashon BS'!#REF!</definedName>
    <definedName name="ExcludeIC">'[18]Vashon BS'!#REF!</definedName>
    <definedName name="ExpensesPF1" localSheetId="0">#REF!</definedName>
    <definedName name="ExpensesPF1">#REF!</definedName>
    <definedName name="EXT" localSheetId="0">#REF!</definedName>
    <definedName name="EXT">#REF!</definedName>
    <definedName name="FBTable" localSheetId="0">#REF!</definedName>
    <definedName name="FBTable">#REF!</definedName>
    <definedName name="FBTableOld">#REF!</definedName>
    <definedName name="filter">[1]Settings!$B$14:$H$25</definedName>
    <definedName name="FromMonth" localSheetId="0">#REF!</definedName>
    <definedName name="FromMonth">#REF!</definedName>
    <definedName name="FundsApprPend" localSheetId="0">[17]Data!#REF!</definedName>
    <definedName name="FundsApprPend">[17]Data!#REF!</definedName>
    <definedName name="FundsBudUnbud">[17]Data!#REF!</definedName>
    <definedName name="GLMappingStart" localSheetId="0">#REF!</definedName>
    <definedName name="GLMappingStart">#REF!</definedName>
    <definedName name="GLMappingStart1" localSheetId="0">#REF!</definedName>
    <definedName name="GLMappingStart1">#REF!</definedName>
    <definedName name="GRETABLE">[20]Gresham!$E$12:$AI$261</definedName>
    <definedName name="Import_Range" localSheetId="0">[17]Data!#REF!</definedName>
    <definedName name="Import_Range">[17]Data!#REF!</definedName>
    <definedName name="IncomeStmnt" localSheetId="0">#REF!</definedName>
    <definedName name="IncomeStmnt">#REF!</definedName>
    <definedName name="INPUT" localSheetId="0">#REF!</definedName>
    <definedName name="INPUT">#REF!</definedName>
    <definedName name="INPUTc" localSheetId="0">#REF!</definedName>
    <definedName name="INPUTc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>[17]Invoice_Drill!#REF!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0">#REF!</definedName>
    <definedName name="JEDetail">#REF!</definedName>
    <definedName name="JEDetail1" localSheetId="0">#REF!</definedName>
    <definedName name="JEDetail1">#REF!</definedName>
    <definedName name="JEType" localSheetId="0">#REF!</definedName>
    <definedName name="JEType">#REF!</definedName>
    <definedName name="JEType1">#REF!</definedName>
    <definedName name="Juris1CanCount">[12]Cust_Count1!$C$60</definedName>
    <definedName name="Juris1CanTons">[12]Cust_Count1!$C$30</definedName>
    <definedName name="Juris1ComYd">'[12]Gross Yardage Worksheet'!$L$16</definedName>
    <definedName name="Juris1CustCnt">[12]Cust_Count2!$E$39</definedName>
    <definedName name="Juris1MultiYd">'[12]Gross Yardage Worksheet'!$X$16</definedName>
    <definedName name="Juris1SeasonalYds">'[12]Gross Yardage Worksheet'!$R$18</definedName>
    <definedName name="Juris1XtraYds">[12]Cust_Count2!$E$28</definedName>
    <definedName name="Juris2CanCount">[12]Cust_Count1!$D$60</definedName>
    <definedName name="Juris2CanTons">[12]Cust_Count1!$D$30</definedName>
    <definedName name="Juris2ComYd">'[12]Gross Yardage Worksheet'!$L$33</definedName>
    <definedName name="Juris2CustCnt">[12]Cust_Count2!$F$39</definedName>
    <definedName name="Juris2MultiYd">'[12]Gross Yardage Worksheet'!$X$33</definedName>
    <definedName name="Juris2SeasonalYds">'[12]Gross Yardage Worksheet'!$R$35</definedName>
    <definedName name="Juris2XtraYds">[12]Cust_Count2!$F$28</definedName>
    <definedName name="Juris3CanCount">[12]Cust_Count1!$E$60</definedName>
    <definedName name="Juris3CanTons">[12]Cust_Count1!$E$30</definedName>
    <definedName name="Juris3ComYd">'[12]Gross Yardage Worksheet'!$L$51</definedName>
    <definedName name="Juris3CustCnt">[12]Cust_Count2!$G$39</definedName>
    <definedName name="Juris3MultiYd">'[12]Gross Yardage Worksheet'!$X$51</definedName>
    <definedName name="Juris3SeasonalYds">'[12]Gross Yardage Worksheet'!$R$53</definedName>
    <definedName name="Juris3XtraYds">[12]Cust_Count2!$G$28</definedName>
    <definedName name="Juris4CanCount">[12]Cust_Count1!$F$60</definedName>
    <definedName name="Juris4CanTons">[12]Cust_Count1!$F$30</definedName>
    <definedName name="Juris4ComYd">'[12]Gross Yardage Worksheet'!$L$68</definedName>
    <definedName name="Juris4CustCnt">[12]Cust_Count2!$H$39</definedName>
    <definedName name="Juris4MultiYd">'[12]Gross Yardage Worksheet'!$X$68</definedName>
    <definedName name="Juris4SeasonalYds">'[12]Gross Yardage Worksheet'!$R$70</definedName>
    <definedName name="Juris4XtraYds">[12]Cust_Count2!$H$28</definedName>
    <definedName name="Juris5CanCount">[12]Cust_Count1!$G$60</definedName>
    <definedName name="Juris5CanTons">[12]Cust_Count1!$G$30</definedName>
    <definedName name="Juris5ComYD">'[12]Gross Yardage Worksheet'!$L$85</definedName>
    <definedName name="Juris5CustCnt">[12]Cust_Count2!$I$39</definedName>
    <definedName name="Juris5MultiYd">'[12]Gross Yardage Worksheet'!$X$85</definedName>
    <definedName name="Juris5SeasonalYds">'[12]Gross Yardage Worksheet'!$R$87</definedName>
    <definedName name="Juris5XtraYds">[12]Cust_Count2!$I$28</definedName>
    <definedName name="Jurisdiction_1">'[12]Title Inputs'!$C$5</definedName>
    <definedName name="Jurisdiction_2">'[12]Title Inputs'!$C$6</definedName>
    <definedName name="Jurisdiction_3">'[12]Title Inputs'!$C$7</definedName>
    <definedName name="Jurisdiction_4">'[12]Title Inputs'!$C$8</definedName>
    <definedName name="Jurisdiction_5">'[12]Title Inputs'!$C$9</definedName>
    <definedName name="lblBillAreaStatus" localSheetId="0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LOB">[21]DropDownRanges!$B$4:$B$37</definedName>
    <definedName name="LU_Line">#REF!</definedName>
    <definedName name="MainDataEnd" localSheetId="0">#REF!</definedName>
    <definedName name="MainDataEnd">#REF!</definedName>
    <definedName name="MainDataStart" localSheetId="0">#REF!</definedName>
    <definedName name="MainDataStart">#REF!</definedName>
    <definedName name="MapKeyStart" localSheetId="0">#REF!</definedName>
    <definedName name="MapKeyStart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'[15]Price Out-Reg EASTSIDE-Resi'!#REF!</definedName>
    <definedName name="MILTON" localSheetId="0">#REF!</definedName>
    <definedName name="MILTON">#REF!</definedName>
    <definedName name="Month">#REF!</definedName>
    <definedName name="MonthList">'[17]Lookup Tables'!$A$1:$A$13</definedName>
    <definedName name="NarrThreshold_Doll">[9]Settings!$I$27</definedName>
    <definedName name="NarrThreshold_Perc">[9]Settings!$I$26</definedName>
    <definedName name="NewLob">[21]DropDownRanges!$B$4:$B$37</definedName>
    <definedName name="NewOnlyOrg">#N/A</definedName>
    <definedName name="NewSource">[21]DropDownRanges!$D$4:$D$7</definedName>
    <definedName name="nn" localSheetId="0">#REF!</definedName>
    <definedName name="nn">#REF!</definedName>
    <definedName name="NOTES" localSheetId="0">#REF!</definedName>
    <definedName name="NOTES">#REF!</definedName>
    <definedName name="NR" localSheetId="0">#REF!</definedName>
    <definedName name="NR">#REF!</definedName>
    <definedName name="OfficerSalary">#N/A</definedName>
    <definedName name="OffsetAcctBil">[22]JEexport!$L$10</definedName>
    <definedName name="OffsetAcctPmt">[22]JEexport!$L$9</definedName>
    <definedName name="Org11_13">#N/A</definedName>
    <definedName name="Org7_10">#N/A</definedName>
    <definedName name="OthCanTons">[13]Cust_Count1!$O$28</definedName>
    <definedName name="OthComYd">'[13]Gross Yardage Worksheet'!$L$82</definedName>
    <definedName name="OthCustCnt">#REF!</definedName>
    <definedName name="OthMultiYd">'[13]Gross Yardage Worksheet'!$L$98</definedName>
    <definedName name="OthXtraYds">#REF!</definedName>
    <definedName name="p" localSheetId="0">#REF!</definedName>
    <definedName name="p">#REF!</definedName>
    <definedName name="PAGE_1" localSheetId="0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0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osting">#REF!</definedName>
    <definedName name="primtbl">[1]Orientation!$C$23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Print_Area_MIc" localSheetId="0">#REF!</definedName>
    <definedName name="Print_Area_MIc">#REF!</definedName>
    <definedName name="Print_Area1">#REF!</definedName>
    <definedName name="Print_Area2">#REF!</definedName>
    <definedName name="Print_Area3">#REF!</definedName>
    <definedName name="Print_Area5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Print5" localSheetId="0">#REF!</definedName>
    <definedName name="Print5">#REF!</definedName>
    <definedName name="ProRev">'[10]Pacific Regulated - Price Out'!$M$49</definedName>
    <definedName name="ProRev_com">'[10]Pacific Regulated - Price Out'!$M$213</definedName>
    <definedName name="ProRev_mfr">'[10]Pacific Regulated - Price Out'!$M$221</definedName>
    <definedName name="ProRev_ro">'[10]Pacific Regulated - Price Out'!$M$281</definedName>
    <definedName name="ProRev_rr">'[10]Pacific Regulated - Price Out'!$M$58</definedName>
    <definedName name="ProRev_yw">'[10]Pacific Regulated - Price Out'!$M$69</definedName>
    <definedName name="pServer" localSheetId="0">#REF!</definedName>
    <definedName name="pServer">#REF!</definedName>
    <definedName name="pServiceCode" localSheetId="0">#REF!</definedName>
    <definedName name="pServiceCode">#REF!</definedName>
    <definedName name="pShowAllUnposted" localSheetId="0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'[23]Consolidated IS 2009 2010'!$AK$20</definedName>
    <definedName name="Reg_Cust_Percent">'[23]Consolidated IS 2009 2010'!$AC$20</definedName>
    <definedName name="Reg_Drive_Percent">'[23]Consolidated IS 2009 2010'!$AC$40</definedName>
    <definedName name="Reg_Haul_Rev_Percent">'[23]Consolidated IS 2009 2010'!$Z$18</definedName>
    <definedName name="Reg_Lab_Percent">'[23]Consolidated IS 2009 2010'!$AC$39</definedName>
    <definedName name="Reg_Steel_Cont_Percent">'[23]Consolidated IS 2009 2010'!$AE$120</definedName>
    <definedName name="RegulatedIS">'[23]2009 IS'!$A$12:$Q$655</definedName>
    <definedName name="RelatedSalary">#N/A</definedName>
    <definedName name="report_type">[1]Orientation!$C$24</definedName>
    <definedName name="Reporting_Jurisdiction">'[12]Title Inputs'!$C$4</definedName>
    <definedName name="ReportNames">[24]ControlPanel!$S$2:$S$16</definedName>
    <definedName name="ReportVersion">[1]Settings!$D$5</definedName>
    <definedName name="ReslStaffPriceOut">'[15]Price Out-Reg EASTSIDE-Resi'!#REF!</definedName>
    <definedName name="RetainedEarnings" localSheetId="0">#REF!</definedName>
    <definedName name="RetainedEarnings">#REF!</definedName>
    <definedName name="RevCust" localSheetId="0">[25]RevenuesCust!#REF!</definedName>
    <definedName name="RevCust">[25]RevenuesCust!#REF!</definedName>
    <definedName name="RevCustomer" localSheetId="0">#REF!</definedName>
    <definedName name="RevCustomer">#REF!</definedName>
    <definedName name="RevenuePF1" localSheetId="0">#REF!</definedName>
    <definedName name="RevenuePF1">#REF!</definedName>
    <definedName name="rngBodyText">[4]Delivery!$B$15</definedName>
    <definedName name="RngBottomRight">[4]Delivery!$B$23</definedName>
    <definedName name="rngColDelChars">[4]Delivery!$B$26</definedName>
    <definedName name="rngColumnDelete">[4]Delivery!$B$26</definedName>
    <definedName name="rngCreateLog">[1]Delivery!$B$12</definedName>
    <definedName name="rngDeleteColumns">[4]Delivery!$A$29:$A$38</definedName>
    <definedName name="rngDeleteRows">[4]Delivery!$B$29:$B$38</definedName>
    <definedName name="rngEmail">[4]Delivery!$B$9</definedName>
    <definedName name="rngFileDir">[4]Delivery!$B$6</definedName>
    <definedName name="rngFileFormat">[4]Delivery!$B$4</definedName>
    <definedName name="rngFileName">[4]Delivery!$B$5</definedName>
    <definedName name="rngFilePassword">[1]Delivery!$B$6</definedName>
    <definedName name="rngPassword">[4]Delivery!$B$21</definedName>
    <definedName name="rngPasswordProtect">[4]Delivery!$B$20</definedName>
    <definedName name="rngPrint">[4]Delivery!$B$11</definedName>
    <definedName name="rngRetainFormulas">[4]Delivery!$B$19</definedName>
    <definedName name="rngSaveFile">[4]Delivery!$B$10</definedName>
    <definedName name="rngSourceTab">[1]Delivery!$E$8</definedName>
    <definedName name="rngSubjectLine">[4]Delivery!$B$14</definedName>
    <definedName name="rngTabName">[4]Delivery!$B$18</definedName>
    <definedName name="rngTopLeft">[4]Delivery!$B$22</definedName>
    <definedName name="rowgroup">[1]Orientation!$C$17</definedName>
    <definedName name="rowsegment">[1]Orientation!$B$17</definedName>
    <definedName name="RptEmailAddress">[4]Delivery!$D$4:$D$1005</definedName>
    <definedName name="rtr">'[26]Variance Report'!#REF!</definedName>
    <definedName name="Sbst">#REF!</definedName>
    <definedName name="seffasfasdfsd" localSheetId="0">[7]Hidden!#REF!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etting_DeprFactor">[9]Settings!$F$5</definedName>
    <definedName name="Setting_LFDeplUnitAcct">[9]Settings!$F$4</definedName>
    <definedName name="Setting_LFUnitCost">[9]Settings!$F$3</definedName>
    <definedName name="Setting_LFUnitCostNY">[9]Settings!$F$7</definedName>
    <definedName name="Setting_LFUnitRow">[9]Settings!$C$3</definedName>
    <definedName name="SIC_Table">#REF!</definedName>
    <definedName name="slope">'[27]LG Nonpublic 2018 V5.0'!$X$58</definedName>
    <definedName name="sortcol" localSheetId="0">#REF!</definedName>
    <definedName name="sortcol">#REF!</definedName>
    <definedName name="Source">[21]DropDownRanges!$D$4:$D$7</definedName>
    <definedName name="SPWS_WBID">"115966228744984"</definedName>
    <definedName name="sSRCDate" localSheetId="0">'[28]Feb''12 FAR Data'!#REF!</definedName>
    <definedName name="sSRCDate">'[28]Feb''12 FAR Data'!#REF!</definedName>
    <definedName name="SubSystem">#REF!</definedName>
    <definedName name="SubSystems" localSheetId="0">#REF!</definedName>
    <definedName name="SubSystems">#REF!</definedName>
    <definedName name="Supplemental_filter">[1]Settings!$C$31</definedName>
    <definedName name="SWDisposal">#N/A</definedName>
    <definedName name="Syst">#REF!</definedName>
    <definedName name="System">[29]BS_Close!$V$8</definedName>
    <definedName name="Systems" localSheetId="0">#REF!</definedName>
    <definedName name="Systems">#REF!</definedName>
    <definedName name="Table_SIC">#REF!</definedName>
    <definedName name="TargetMonths">[9]Settings!$I$18</definedName>
    <definedName name="TemplateEnd" localSheetId="0">#REF!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Month" localSheetId="0">#REF!</definedName>
    <definedName name="ToMonth">#REF!</definedName>
    <definedName name="Tons" localSheetId="0">#REF!</definedName>
    <definedName name="Tons">#REF!</definedName>
    <definedName name="Total_Comm">'[11]Tariff Rate Sheet'!$L$214</definedName>
    <definedName name="Total_DB">'[11]Tariff Rate Sheet'!$L$278</definedName>
    <definedName name="Total_Resi">'[11]Tariff Rate Sheet'!$L$107</definedName>
    <definedName name="TotalYards">'[13]Gross Yardage Worksheet'!$N$101</definedName>
    <definedName name="TOTCONT">'[20]Sorted Master'!$K$9</definedName>
    <definedName name="TOTCRECCONT">'[20]Sorted Master'!$Z$9</definedName>
    <definedName name="TOTCRECCUST">'[30]Master IS (C)'!#REF!</definedName>
    <definedName name="TOTCRECDH">'[30]Master IS (C)'!#REF!</definedName>
    <definedName name="TOTCRECREV">'[30]Master IS (C)'!#REF!</definedName>
    <definedName name="TOTCRECTDEP">'[30]Master IS (C)'!#REF!</definedName>
    <definedName name="TOTCRECTH">'[20]Sorted Master'!$Z$8</definedName>
    <definedName name="TOTCRECTV">'[30]Master IS (C)'!#REF!</definedName>
    <definedName name="TOTCUST">'[30]Master IS (C)'!#REF!</definedName>
    <definedName name="TOTDBCONT">'[30]Master IS (C)'!#REF!</definedName>
    <definedName name="TOTDBCUST">'[30]Master IS (C)'!#REF!</definedName>
    <definedName name="TOTDBDH">'[30]Master IS (C)'!#REF!</definedName>
    <definedName name="TOTDBREV">'[30]Master IS (C)'!#REF!</definedName>
    <definedName name="TOTDBTDEP">'[30]Master IS (C)'!#REF!</definedName>
    <definedName name="TOTDBTH">'[30]Master IS (C)'!#REF!</definedName>
    <definedName name="TOTDBTV">'[30]Master IS (C)'!#REF!</definedName>
    <definedName name="TOTDEBCONT">'[30]Master IS (C)'!#REF!</definedName>
    <definedName name="TOTDEBCUST">'[30]Master IS (C)'!#REF!</definedName>
    <definedName name="TOTDEBDH">'[30]Master IS (C)'!#REF!</definedName>
    <definedName name="TOTDEBREV">'[30]Master IS (C)'!#REF!</definedName>
    <definedName name="TOTDEBTH">'[20]Sorted Master'!$AD$8</definedName>
    <definedName name="TOTDH">'[30]Master IS (C)'!#REF!</definedName>
    <definedName name="TOTFELCONT">'[30]Master IS (C)'!#REF!</definedName>
    <definedName name="TOTFELCUST">'[30]Master IS (C)'!#REF!</definedName>
    <definedName name="TOTFELDH">'[30]Master IS (C)'!#REF!</definedName>
    <definedName name="TOTFELREV">'[30]Master IS (C)'!#REF!</definedName>
    <definedName name="TOTFELTDEP">'[30]Master IS (C)'!#REF!</definedName>
    <definedName name="TOTFELTH">'[30]Master IS (C)'!#REF!</definedName>
    <definedName name="TOTFELTV">'[30]Master IS (C)'!#REF!</definedName>
    <definedName name="TOTRESCONT">'[30]Master IS (C)'!#REF!</definedName>
    <definedName name="TOTRESCUST">'[30]Master IS (C)'!#REF!</definedName>
    <definedName name="TOTRESDH">'[30]Master IS (C)'!#REF!</definedName>
    <definedName name="TOTRESRCONT">'[30]Master IS (C)'!#REF!</definedName>
    <definedName name="TOTRESRCUST">'[30]Master IS (C)'!#REF!</definedName>
    <definedName name="TOTRESRDH">'[30]Master IS (C)'!#REF!</definedName>
    <definedName name="TOTRESREV">'[30]Master IS (C)'!#REF!</definedName>
    <definedName name="TOTRESRREV">'[30]Master IS (C)'!#REF!</definedName>
    <definedName name="TOTRESRTDEP">'[30]Master IS (C)'!#REF!</definedName>
    <definedName name="TOTRESRTH">'[30]Master IS (C)'!#REF!</definedName>
    <definedName name="TOTRESRTV">'[30]Master IS (C)'!#REF!</definedName>
    <definedName name="TOTRESTDEP">'[30]Master IS (C)'!#REF!</definedName>
    <definedName name="TOTRESTH">'[30]Master IS (C)'!#REF!</definedName>
    <definedName name="TOTRESTV">'[30]Master IS (C)'!#REF!</definedName>
    <definedName name="TOTREV">'[30]Master IS (C)'!#REF!</definedName>
    <definedName name="TOTTDEP">'[30]Master IS (C)'!#REF!</definedName>
    <definedName name="TOTTH">'[30]Master IS (C)'!#REF!</definedName>
    <definedName name="TOTTV">'[30]Master IS (C)'!#REF!</definedName>
    <definedName name="Transactions" localSheetId="0">#REF!</definedName>
    <definedName name="Transactions">#REF!</definedName>
    <definedName name="UnformattedIS">#REF!</definedName>
    <definedName name="UnregulatedIS">'[23]2010 IS'!$A$12:$Q$654</definedName>
    <definedName name="ValidFormats">[4]Delivery!$AA$4:$AA$10</definedName>
    <definedName name="VendorCode" localSheetId="0">#REF!</definedName>
    <definedName name="VendorCode">#REF!</definedName>
    <definedName name="Version" localSheetId="0">[17]Data!#REF!</definedName>
    <definedName name="Version">[17]Data!#REF!</definedName>
    <definedName name="WksInYr">#REF!</definedName>
    <definedName name="wrn.PrintReview.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0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0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0">#REF!</definedName>
    <definedName name="WTable">#REF!</definedName>
    <definedName name="WTableOld" localSheetId="0">#REF!</definedName>
    <definedName name="WTableOld">#REF!</definedName>
    <definedName name="ww" localSheetId="0">#REF!</definedName>
    <definedName name="ww">#REF!</definedName>
    <definedName name="xperiod">[1]Orientation!$G$15</definedName>
    <definedName name="xtabin" localSheetId="0">[7]Hidden!#REF!</definedName>
    <definedName name="xtabin">[7]Hidden!#REF!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  <definedName name="y_inter1">'[27]LG Nonpublic 2018 V5.0'!$W$55</definedName>
    <definedName name="y_inter2">'[27]LG Nonpublic 2018 V5.0'!$W$56</definedName>
    <definedName name="y_inter3">'[27]LG Nonpublic 2018 V5.0'!$Y$55</definedName>
    <definedName name="y_inter4">'[27]LG Nonpublic 2018 V5.0'!$Y$56</definedName>
    <definedName name="Year">'[31]Aug Av. Fuel Price'!$E$15</definedName>
    <definedName name="Year_of_Review">'[12]Title Inputs'!$C$3</definedName>
    <definedName name="YearMonth" localSheetId="0">'[18]Vashon BS'!#REF!</definedName>
    <definedName name="YearMonth">'[18]Vashon BS'!#REF!</definedName>
    <definedName name="YearMonthDate">[9]Settings!$I$10</definedName>
    <definedName name="YearMonthDate2">[9]Settings!$I$11</definedName>
    <definedName name="YearMonthDate3">[9]Settings!$I$12</definedName>
    <definedName name="YearMonthDate4">[9]Settings!$I$13</definedName>
    <definedName name="YearMonthDate5">[9]Settings!$I$14</definedName>
    <definedName name="YWMedWasteDisp">#N/A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45" i="1"/>
  <c r="H46" i="1"/>
  <c r="H43" i="1"/>
  <c r="F44" i="1"/>
  <c r="F45" i="1"/>
  <c r="F46" i="1"/>
  <c r="F43" i="1"/>
  <c r="E46" i="1"/>
  <c r="E45" i="1"/>
  <c r="E44" i="1"/>
  <c r="E43" i="1"/>
  <c r="F17" i="1"/>
  <c r="F18" i="1"/>
  <c r="F21" i="1"/>
  <c r="F22" i="1"/>
  <c r="H22" i="1" s="1"/>
  <c r="F25" i="1"/>
  <c r="F26" i="1"/>
  <c r="F29" i="1"/>
  <c r="H29" i="1" s="1"/>
  <c r="F30" i="1"/>
  <c r="F31" i="1"/>
  <c r="F32" i="1"/>
  <c r="F33" i="1"/>
  <c r="F16" i="1"/>
  <c r="F5" i="1"/>
  <c r="F9" i="1"/>
  <c r="F13" i="1"/>
  <c r="F2" i="1"/>
  <c r="G21" i="1"/>
  <c r="G22" i="1"/>
  <c r="G23" i="1"/>
  <c r="G24" i="1"/>
  <c r="G25" i="1"/>
  <c r="H25" i="1" s="1"/>
  <c r="G29" i="1"/>
  <c r="D34" i="1"/>
  <c r="E3" i="1"/>
  <c r="F3" i="1" s="1"/>
  <c r="E2" i="1"/>
  <c r="O33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6" i="1"/>
  <c r="G17" i="1"/>
  <c r="G18" i="1"/>
  <c r="G19" i="1"/>
  <c r="G20" i="1"/>
  <c r="G26" i="1"/>
  <c r="G27" i="1"/>
  <c r="G28" i="1"/>
  <c r="G16" i="1"/>
  <c r="O3" i="1"/>
  <c r="O4" i="1"/>
  <c r="O5" i="1"/>
  <c r="O6" i="1"/>
  <c r="O7" i="1"/>
  <c r="O8" i="1"/>
  <c r="O9" i="1"/>
  <c r="O10" i="1"/>
  <c r="O11" i="1"/>
  <c r="O12" i="1"/>
  <c r="O13" i="1"/>
  <c r="O2" i="1"/>
  <c r="E28" i="1"/>
  <c r="F28" i="1" s="1"/>
  <c r="E27" i="1"/>
  <c r="F27" i="1" s="1"/>
  <c r="E26" i="1"/>
  <c r="E24" i="1"/>
  <c r="F24" i="1" s="1"/>
  <c r="E23" i="1"/>
  <c r="F23" i="1" s="1"/>
  <c r="H23" i="1" s="1"/>
  <c r="E22" i="1"/>
  <c r="E20" i="1"/>
  <c r="F20" i="1" s="1"/>
  <c r="E19" i="1"/>
  <c r="F19" i="1" s="1"/>
  <c r="E18" i="1"/>
  <c r="E17" i="1"/>
  <c r="E16" i="1"/>
  <c r="G13" i="1"/>
  <c r="G12" i="1"/>
  <c r="G11" i="1"/>
  <c r="G10" i="1"/>
  <c r="G9" i="1"/>
  <c r="G8" i="1"/>
  <c r="G7" i="1"/>
  <c r="G6" i="1"/>
  <c r="G5" i="1"/>
  <c r="H5" i="1" s="1"/>
  <c r="G4" i="1"/>
  <c r="G3" i="1"/>
  <c r="G2" i="1"/>
  <c r="E7" i="1"/>
  <c r="F7" i="1" s="1"/>
  <c r="E13" i="1"/>
  <c r="E12" i="1"/>
  <c r="F12" i="1" s="1"/>
  <c r="E10" i="1"/>
  <c r="F10" i="1" s="1"/>
  <c r="E11" i="1"/>
  <c r="F11" i="1" s="1"/>
  <c r="E9" i="1"/>
  <c r="E8" i="1"/>
  <c r="F8" i="1" s="1"/>
  <c r="E6" i="1"/>
  <c r="F6" i="1" s="1"/>
  <c r="E5" i="1"/>
  <c r="E4" i="1"/>
  <c r="F4" i="1" s="1"/>
  <c r="D14" i="1"/>
  <c r="H21" i="1" l="1"/>
  <c r="F34" i="1"/>
  <c r="H24" i="1"/>
  <c r="H18" i="1"/>
  <c r="H27" i="1"/>
  <c r="H16" i="1"/>
  <c r="O34" i="1"/>
  <c r="H19" i="1"/>
  <c r="H20" i="1"/>
  <c r="H26" i="1"/>
  <c r="H28" i="1"/>
  <c r="H17" i="1"/>
  <c r="H7" i="1"/>
  <c r="H11" i="1"/>
  <c r="H8" i="1"/>
  <c r="H12" i="1"/>
  <c r="H6" i="1"/>
  <c r="H10" i="1"/>
  <c r="H4" i="1"/>
  <c r="H9" i="1"/>
  <c r="H13" i="1"/>
  <c r="H3" i="1"/>
  <c r="H34" i="1" l="1"/>
  <c r="O14" i="1"/>
  <c r="H62" i="7" l="1"/>
  <c r="H64" i="7" s="1"/>
  <c r="C61" i="7"/>
  <c r="E61" i="7" s="1"/>
  <c r="H60" i="7"/>
  <c r="D60" i="7"/>
  <c r="D59" i="7"/>
  <c r="C54" i="7"/>
  <c r="C53" i="7"/>
  <c r="C51" i="7"/>
  <c r="C50" i="7"/>
  <c r="C49" i="7"/>
  <c r="C47" i="7"/>
  <c r="C46" i="7"/>
  <c r="C45" i="7"/>
  <c r="C44" i="7"/>
  <c r="C42" i="7"/>
  <c r="C41" i="7"/>
  <c r="C40" i="7"/>
  <c r="H13" i="7"/>
  <c r="F13" i="7"/>
  <c r="D13" i="7"/>
  <c r="C13" i="7"/>
  <c r="G13" i="7" s="1"/>
  <c r="C12" i="7"/>
  <c r="F12" i="7" s="1"/>
  <c r="H11" i="7"/>
  <c r="F11" i="7"/>
  <c r="D11" i="7"/>
  <c r="C11" i="7"/>
  <c r="I11" i="7" s="1"/>
  <c r="I10" i="7"/>
  <c r="E10" i="7"/>
  <c r="C10" i="7"/>
  <c r="H10" i="7" s="1"/>
  <c r="H9" i="7"/>
  <c r="F9" i="7"/>
  <c r="D9" i="7"/>
  <c r="C9" i="7"/>
  <c r="G9" i="7" s="1"/>
  <c r="C8" i="7"/>
  <c r="F8" i="7" s="1"/>
  <c r="H7" i="7"/>
  <c r="F7" i="7"/>
  <c r="D7" i="7"/>
  <c r="C7" i="7"/>
  <c r="I7" i="7" s="1"/>
  <c r="D61" i="7" l="1"/>
  <c r="G7" i="7"/>
  <c r="D8" i="7"/>
  <c r="H8" i="7"/>
  <c r="E9" i="7"/>
  <c r="I9" i="7"/>
  <c r="F10" i="7"/>
  <c r="G11" i="7"/>
  <c r="D12" i="7"/>
  <c r="H12" i="7"/>
  <c r="E13" i="7"/>
  <c r="I13" i="7"/>
  <c r="C64" i="7"/>
  <c r="C65" i="7" s="1"/>
  <c r="C67" i="7" s="1"/>
  <c r="I8" i="7"/>
  <c r="G10" i="7"/>
  <c r="E12" i="7"/>
  <c r="I12" i="7"/>
  <c r="G8" i="7"/>
  <c r="G12" i="7"/>
  <c r="E8" i="7"/>
  <c r="E7" i="7"/>
  <c r="D10" i="7"/>
  <c r="E11" i="7"/>
  <c r="D38" i="1"/>
  <c r="F14" i="1" l="1"/>
  <c r="H2" i="1" l="1"/>
  <c r="H14" i="1" l="1"/>
  <c r="H35" i="1" s="1"/>
  <c r="D39" i="1" s="1"/>
  <c r="D40" i="1" l="1"/>
  <c r="I44" i="1" l="1"/>
  <c r="J44" i="1" s="1"/>
  <c r="K44" i="1" s="1"/>
  <c r="L44" i="1" s="1"/>
  <c r="N44" i="1" s="1"/>
  <c r="I45" i="1"/>
  <c r="J45" i="1" s="1"/>
  <c r="K45" i="1" s="1"/>
  <c r="L45" i="1" s="1"/>
  <c r="N45" i="1" s="1"/>
  <c r="I46" i="1"/>
  <c r="J46" i="1" s="1"/>
  <c r="K46" i="1" s="1"/>
  <c r="L46" i="1" s="1"/>
  <c r="N46" i="1" s="1"/>
  <c r="I43" i="1"/>
  <c r="J43" i="1" s="1"/>
  <c r="K43" i="1" s="1"/>
  <c r="L43" i="1" s="1"/>
  <c r="N43" i="1" s="1"/>
  <c r="I29" i="1"/>
  <c r="J29" i="1" s="1"/>
  <c r="K29" i="1" s="1"/>
  <c r="L29" i="1" s="1"/>
  <c r="I23" i="1"/>
  <c r="J23" i="1" s="1"/>
  <c r="K23" i="1" s="1"/>
  <c r="L23" i="1" s="1"/>
  <c r="N23" i="1" s="1"/>
  <c r="P23" i="1" s="1"/>
  <c r="Q23" i="1" s="1"/>
  <c r="I24" i="1"/>
  <c r="J24" i="1" s="1"/>
  <c r="K24" i="1" s="1"/>
  <c r="I22" i="1"/>
  <c r="J22" i="1" s="1"/>
  <c r="K22" i="1" s="1"/>
  <c r="I21" i="1"/>
  <c r="J21" i="1" s="1"/>
  <c r="K21" i="1" s="1"/>
  <c r="L21" i="1" s="1"/>
  <c r="N21" i="1" s="1"/>
  <c r="P21" i="1" s="1"/>
  <c r="Q21" i="1" s="1"/>
  <c r="I25" i="1"/>
  <c r="J25" i="1" s="1"/>
  <c r="K25" i="1" s="1"/>
  <c r="I5" i="1"/>
  <c r="J5" i="1" s="1"/>
  <c r="K5" i="1" s="1"/>
  <c r="L5" i="1" s="1"/>
  <c r="N5" i="1" s="1"/>
  <c r="P5" i="1" s="1"/>
  <c r="Q5" i="1" s="1"/>
  <c r="I2" i="1"/>
  <c r="I20" i="1"/>
  <c r="J20" i="1" s="1"/>
  <c r="K20" i="1" s="1"/>
  <c r="I26" i="1"/>
  <c r="J26" i="1" s="1"/>
  <c r="K26" i="1" s="1"/>
  <c r="N30" i="1"/>
  <c r="P30" i="1" s="1"/>
  <c r="Q30" i="1" s="1"/>
  <c r="I16" i="1"/>
  <c r="J16" i="1" s="1"/>
  <c r="K16" i="1" s="1"/>
  <c r="N29" i="1"/>
  <c r="P29" i="1" s="1"/>
  <c r="Q29" i="1" s="1"/>
  <c r="I17" i="1"/>
  <c r="J17" i="1" s="1"/>
  <c r="K17" i="1" s="1"/>
  <c r="I27" i="1"/>
  <c r="J27" i="1" s="1"/>
  <c r="K27" i="1" s="1"/>
  <c r="N31" i="1"/>
  <c r="P31" i="1" s="1"/>
  <c r="Q31" i="1" s="1"/>
  <c r="I19" i="1"/>
  <c r="J19" i="1" s="1"/>
  <c r="K19" i="1" s="1"/>
  <c r="N33" i="1"/>
  <c r="P33" i="1" s="1"/>
  <c r="Q33" i="1" s="1"/>
  <c r="I18" i="1"/>
  <c r="J18" i="1" s="1"/>
  <c r="K18" i="1" s="1"/>
  <c r="I28" i="1"/>
  <c r="J28" i="1" s="1"/>
  <c r="K28" i="1" s="1"/>
  <c r="N32" i="1"/>
  <c r="P32" i="1" s="1"/>
  <c r="Q32" i="1" s="1"/>
  <c r="I3" i="1"/>
  <c r="J3" i="1" s="1"/>
  <c r="K3" i="1" s="1"/>
  <c r="I7" i="1"/>
  <c r="J7" i="1" s="1"/>
  <c r="K7" i="1" s="1"/>
  <c r="I11" i="1"/>
  <c r="J11" i="1" s="1"/>
  <c r="K11" i="1" s="1"/>
  <c r="I6" i="1"/>
  <c r="J6" i="1" s="1"/>
  <c r="K6" i="1" s="1"/>
  <c r="I4" i="1"/>
  <c r="J4" i="1" s="1"/>
  <c r="K4" i="1" s="1"/>
  <c r="I8" i="1"/>
  <c r="J8" i="1" s="1"/>
  <c r="K8" i="1" s="1"/>
  <c r="I12" i="1"/>
  <c r="J12" i="1" s="1"/>
  <c r="K12" i="1" s="1"/>
  <c r="I9" i="1"/>
  <c r="J9" i="1" s="1"/>
  <c r="K9" i="1" s="1"/>
  <c r="I13" i="1"/>
  <c r="J13" i="1" s="1"/>
  <c r="K13" i="1" s="1"/>
  <c r="L13" i="1" s="1"/>
  <c r="I10" i="1"/>
  <c r="J10" i="1" s="1"/>
  <c r="K10" i="1" s="1"/>
  <c r="L12" i="1" l="1"/>
  <c r="N12" i="1" s="1"/>
  <c r="P12" i="1" s="1"/>
  <c r="Q12" i="1" s="1"/>
  <c r="L17" i="1"/>
  <c r="N17" i="1" s="1"/>
  <c r="P17" i="1" s="1"/>
  <c r="Q17" i="1" s="1"/>
  <c r="L25" i="1"/>
  <c r="N25" i="1" s="1"/>
  <c r="P25" i="1" s="1"/>
  <c r="Q25" i="1" s="1"/>
  <c r="L9" i="1"/>
  <c r="N9" i="1" s="1"/>
  <c r="P9" i="1" s="1"/>
  <c r="Q9" i="1" s="1"/>
  <c r="L4" i="1"/>
  <c r="N4" i="1" s="1"/>
  <c r="P4" i="1" s="1"/>
  <c r="Q4" i="1" s="1"/>
  <c r="L3" i="1"/>
  <c r="N3" i="1" s="1"/>
  <c r="P3" i="1" s="1"/>
  <c r="Q3" i="1" s="1"/>
  <c r="L18" i="1"/>
  <c r="N18" i="1" s="1"/>
  <c r="P18" i="1" s="1"/>
  <c r="Q18" i="1" s="1"/>
  <c r="L27" i="1"/>
  <c r="N27" i="1" s="1"/>
  <c r="P27" i="1" s="1"/>
  <c r="Q27" i="1" s="1"/>
  <c r="L16" i="1"/>
  <c r="N16" i="1" s="1"/>
  <c r="P16" i="1" s="1"/>
  <c r="L22" i="1"/>
  <c r="N22" i="1" s="1"/>
  <c r="P22" i="1" s="1"/>
  <c r="Q22" i="1" s="1"/>
  <c r="L6" i="1"/>
  <c r="N6" i="1" s="1"/>
  <c r="P6" i="1" s="1"/>
  <c r="Q6" i="1" s="1"/>
  <c r="L24" i="1"/>
  <c r="N24" i="1" s="1"/>
  <c r="P24" i="1" s="1"/>
  <c r="Q24" i="1" s="1"/>
  <c r="L10" i="1"/>
  <c r="N10" i="1" s="1"/>
  <c r="P10" i="1" s="1"/>
  <c r="Q10" i="1" s="1"/>
  <c r="L11" i="1"/>
  <c r="N11" i="1" s="1"/>
  <c r="P11" i="1" s="1"/>
  <c r="Q11" i="1" s="1"/>
  <c r="L19" i="1"/>
  <c r="N19" i="1" s="1"/>
  <c r="P19" i="1" s="1"/>
  <c r="Q19" i="1" s="1"/>
  <c r="L26" i="1"/>
  <c r="N26" i="1" s="1"/>
  <c r="P26" i="1" s="1"/>
  <c r="Q26" i="1" s="1"/>
  <c r="L8" i="1"/>
  <c r="N8" i="1" s="1"/>
  <c r="P8" i="1" s="1"/>
  <c r="Q8" i="1" s="1"/>
  <c r="L7" i="1"/>
  <c r="N7" i="1" s="1"/>
  <c r="P7" i="1" s="1"/>
  <c r="Q7" i="1" s="1"/>
  <c r="L28" i="1"/>
  <c r="N28" i="1" s="1"/>
  <c r="P28" i="1" s="1"/>
  <c r="Q28" i="1" s="1"/>
  <c r="L20" i="1"/>
  <c r="N20" i="1" s="1"/>
  <c r="P20" i="1" s="1"/>
  <c r="Q20" i="1" s="1"/>
  <c r="N13" i="1"/>
  <c r="P13" i="1" s="1"/>
  <c r="Q13" i="1" s="1"/>
  <c r="I14" i="1"/>
  <c r="J2" i="1"/>
  <c r="Q16" i="1" l="1"/>
  <c r="Q34" i="1" s="1"/>
  <c r="P34" i="1"/>
  <c r="J14" i="1"/>
  <c r="K2" i="1"/>
  <c r="K14" i="1" l="1"/>
  <c r="L2" i="1"/>
  <c r="N2" i="1" s="1"/>
  <c r="P2" i="1" l="1"/>
  <c r="P14" i="1" s="1"/>
  <c r="Q2" i="1" l="1"/>
  <c r="Q14" i="1" s="1"/>
  <c r="Q35" i="1" s="1"/>
  <c r="C72" i="7" s="1"/>
  <c r="C73" i="7" s="1"/>
</calcChain>
</file>

<file path=xl/sharedStrings.xml><?xml version="1.0" encoding="utf-8"?>
<sst xmlns="http://schemas.openxmlformats.org/spreadsheetml/2006/main" count="161" uniqueCount="136">
  <si>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</si>
  <si>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</si>
  <si>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</si>
  <si>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</si>
  <si>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</si>
  <si>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</si>
  <si>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Increase</t>
  </si>
  <si>
    <t>Gross Up</t>
  </si>
  <si>
    <t>Tariff Rate Increase</t>
  </si>
  <si>
    <t>Company Current Revenue</t>
  </si>
  <si>
    <t>Company Proposed Revenue</t>
  </si>
  <si>
    <t xml:space="preserve"> Company Over/(Under) collecting</t>
  </si>
  <si>
    <t>Residential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</si>
  <si>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</si>
  <si>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</si>
  <si>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</si>
  <si>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</si>
  <si>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</si>
  <si>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</si>
  <si>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</si>
  <si>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</si>
  <si>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</si>
  <si>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</si>
  <si>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</si>
  <si>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</si>
  <si>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</si>
  <si>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</si>
  <si>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</si>
  <si>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</si>
  <si>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</si>
  <si>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</si>
  <si>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</si>
  <si>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</si>
  <si>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</si>
  <si>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</si>
  <si>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</si>
  <si>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</si>
  <si>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</si>
  <si>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</si>
  <si>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</si>
  <si>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</si>
  <si>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*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</si>
  <si>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</si>
  <si>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</si>
  <si>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</si>
  <si>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</si>
  <si>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</si>
  <si>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</si>
  <si>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</si>
  <si>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</si>
  <si>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</si>
  <si>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</si>
  <si>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</si>
  <si>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2 yd packer/compactor</t>
  </si>
  <si>
    <t>3 yd packer/compactor</t>
  </si>
  <si>
    <t>4 yd packer/compactor</t>
  </si>
  <si>
    <t>6 yd packer/compactor</t>
  </si>
  <si>
    <t>Yards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</si>
  <si>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</si>
  <si>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</si>
  <si>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</si>
  <si>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</si>
  <si>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</si>
  <si>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</si>
  <si>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</si>
  <si>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</si>
  <si>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Total</t>
  </si>
  <si>
    <t>Increase per ton</t>
  </si>
  <si>
    <t>Factor</t>
  </si>
  <si>
    <t>Grossed Up Increase per ton</t>
  </si>
  <si>
    <t>Tons Collected</t>
  </si>
  <si>
    <t>Company Proposed Rates</t>
  </si>
  <si>
    <t>Res'l &amp; Com'l</t>
  </si>
  <si>
    <t>Collected Revenue Excess/(Deficiency)</t>
  </si>
  <si>
    <t>Ratio</t>
  </si>
  <si>
    <t>Revenue Inc from Co Proposed Rates</t>
  </si>
  <si>
    <t>Total Tonnage</t>
  </si>
  <si>
    <t>Total Annual Pounds</t>
  </si>
  <si>
    <t>Total Calculated Pounds</t>
  </si>
  <si>
    <t>Adjustment Factor</t>
  </si>
  <si>
    <t>TOTAL</t>
  </si>
  <si>
    <t>Annual</t>
  </si>
  <si>
    <t>Scheduled Service- Residential</t>
  </si>
  <si>
    <t>Immaterial</t>
  </si>
  <si>
    <t>INPUT CELLS</t>
  </si>
  <si>
    <t>Extra Units</t>
  </si>
  <si>
    <t>40 gallon Can</t>
  </si>
  <si>
    <t>Supercan 60</t>
  </si>
  <si>
    <t>Supercan 90</t>
  </si>
  <si>
    <t>Compaction Ratio:   2:25</t>
  </si>
  <si>
    <t>Compaction Ratio:   3:1</t>
  </si>
  <si>
    <t>Compaction Ratio:   4:1</t>
  </si>
  <si>
    <t>Compaction Ratio:   5:1</t>
  </si>
  <si>
    <t xml:space="preserve">* not on meeks - for compactors </t>
  </si>
  <si>
    <t xml:space="preserve">   calculated weight times compaction ratio</t>
  </si>
  <si>
    <t>Pierce County</t>
  </si>
  <si>
    <t>Transfer Station</t>
  </si>
  <si>
    <t>Disposal Fee Revenue Increase</t>
  </si>
  <si>
    <t xml:space="preserve"> Current Tariff</t>
  </si>
  <si>
    <t>Staff Proposed Tariff Rate</t>
  </si>
  <si>
    <t>tariff pg #</t>
  </si>
  <si>
    <t>wk 1can</t>
  </si>
  <si>
    <t>wk 2 cans</t>
  </si>
  <si>
    <t>EOW 1 can</t>
  </si>
  <si>
    <t>EOW 2 can</t>
  </si>
  <si>
    <t>Monthly</t>
  </si>
  <si>
    <t>Mini OM</t>
  </si>
  <si>
    <t>Cart Weekly</t>
  </si>
  <si>
    <t>2 Cart Weekly</t>
  </si>
  <si>
    <t>Cart EOW</t>
  </si>
  <si>
    <t>Cart Monthly</t>
  </si>
  <si>
    <t>Extra Carts</t>
  </si>
  <si>
    <t>Extra Cans</t>
  </si>
  <si>
    <t>Carts</t>
  </si>
  <si>
    <t>Overfilled Charge</t>
  </si>
  <si>
    <t>1-yd</t>
  </si>
  <si>
    <t>1-yd compacted</t>
  </si>
  <si>
    <t>1.5-yd</t>
  </si>
  <si>
    <t>1.5-yd cust. owned</t>
  </si>
  <si>
    <t>1.5-yd compacted</t>
  </si>
  <si>
    <t>2-yd</t>
  </si>
  <si>
    <t>2-yd cust owned</t>
  </si>
  <si>
    <t>2-yd compacted</t>
  </si>
  <si>
    <t>Drop Box Delivery</t>
  </si>
  <si>
    <t>Drop Box Haul</t>
  </si>
  <si>
    <t>Rent</t>
  </si>
  <si>
    <t>Drop Box Rent</t>
  </si>
  <si>
    <t>Mini can extra</t>
  </si>
  <si>
    <t>On call 32 gal</t>
  </si>
  <si>
    <t>on call 20 gal</t>
  </si>
  <si>
    <t>on call 68 gal</t>
  </si>
  <si>
    <t>1-yd temp. and special</t>
  </si>
  <si>
    <t>1.5-yd temp. &amp; Special</t>
  </si>
  <si>
    <t>2-yd temp. and special</t>
  </si>
  <si>
    <t>34&amp;35</t>
  </si>
  <si>
    <t>No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</si>
</sst>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444444"/>
      <name val="Calibri"/>
      <family val="2"/>
      <scheme val="minor"/>
    </font>
    <font>
      <sz val="11"/>
      <color indexed="8"/>
      <name val="Calibri"/>
      <family val="2"/>
    </font>
    <font>
      <i/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6" fillId="4" borderId="8" applyNumberFormat="0" applyFont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4" fillId="0" borderId="0"/>
    <xf numFmtId="43" fontId="16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</cellStyleXfs>
  <cellXfs count="127">
    <xf numFmtId="0" fontId="0" fillId="0" borderId="0" xfId="0"/>
    <xf numFmtId="0" fontId="3" fillId="2" borderId="1" xfId="0" applyFont="1" applyFill="1" applyBorder="1"/>
    <xf numFmtId="43" fontId="0" fillId="0" borderId="0" xfId="0" applyNumberFormat="1"/>
    <xf numFmtId="44" fontId="0" fillId="0" borderId="0" xfId="0" applyNumberFormat="1"/>
    <xf numFmtId="1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Fill="1"/>
    <xf numFmtId="2" fontId="8" fillId="0" borderId="0" xfId="1" applyNumberFormat="1" applyFont="1" applyFill="1" applyBorder="1" applyAlignment="1">
      <alignment horizontal="right"/>
    </xf>
    <xf numFmtId="164" fontId="8" fillId="0" borderId="0" xfId="0" applyNumberFormat="1" applyFont="1"/>
    <xf numFmtId="0" fontId="7" fillId="3" borderId="1" xfId="0" applyFont="1" applyFill="1" applyBorder="1" applyAlignment="1">
      <alignment horizontal="center" wrapText="1"/>
    </xf>
    <xf numFmtId="3" fontId="9" fillId="0" borderId="0" xfId="3" applyNumberFormat="1" applyFont="1" applyAlignment="1">
      <alignment horizontal="right"/>
    </xf>
    <xf numFmtId="44" fontId="8" fillId="0" borderId="0" xfId="0" applyNumberFormat="1" applyFont="1" applyFill="1"/>
    <xf numFmtId="44" fontId="8" fillId="0" borderId="0" xfId="0" applyNumberFormat="1" applyFont="1"/>
    <xf numFmtId="0" fontId="0" fillId="7" borderId="9" xfId="0" applyFill="1" applyBorder="1"/>
    <xf numFmtId="0" fontId="0" fillId="6" borderId="9" xfId="0" applyFill="1" applyBorder="1"/>
    <xf numFmtId="1" fontId="9" fillId="0" borderId="0" xfId="3" applyNumberFormat="1" applyFont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2" fontId="7" fillId="3" borderId="10" xfId="0" applyNumberFormat="1" applyFont="1" applyFill="1" applyBorder="1"/>
    <xf numFmtId="3" fontId="10" fillId="3" borderId="10" xfId="3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/>
    </xf>
    <xf numFmtId="44" fontId="7" fillId="3" borderId="10" xfId="0" applyNumberFormat="1" applyFont="1" applyFill="1" applyBorder="1" applyAlignment="1">
      <alignment horizontal="center" wrapText="1"/>
    </xf>
    <xf numFmtId="164" fontId="1" fillId="0" borderId="0" xfId="8" applyNumberFormat="1" applyFont="1"/>
    <xf numFmtId="164" fontId="1" fillId="0" borderId="0" xfId="1" applyNumberFormat="1" applyFont="1" applyFill="1" applyBorder="1"/>
    <xf numFmtId="2" fontId="8" fillId="0" borderId="0" xfId="1" applyNumberFormat="1" applyFont="1" applyFill="1" applyBorder="1"/>
    <xf numFmtId="3" fontId="8" fillId="0" borderId="0" xfId="0" applyNumberFormat="1" applyFo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/>
    <xf numFmtId="0" fontId="0" fillId="0" borderId="4" xfId="0" applyBorder="1"/>
    <xf numFmtId="0" fontId="3" fillId="0" borderId="3" xfId="0" applyFont="1" applyBorder="1"/>
    <xf numFmtId="0" fontId="3" fillId="0" borderId="0" xfId="0" applyFont="1"/>
    <xf numFmtId="168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4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3" fontId="15" fillId="0" borderId="0" xfId="0" applyNumberFormat="1" applyFont="1"/>
    <xf numFmtId="10" fontId="2" fillId="0" borderId="0" xfId="4" applyNumberFormat="1" applyFont="1"/>
    <xf numFmtId="0" fontId="13" fillId="9" borderId="0" xfId="13" applyFont="1" applyFill="1"/>
    <xf numFmtId="3" fontId="11" fillId="9" borderId="0" xfId="0" applyNumberFormat="1" applyFont="1" applyFill="1" applyAlignment="1">
      <alignment horizontal="right"/>
    </xf>
    <xf numFmtId="2" fontId="11" fillId="9" borderId="0" xfId="0" applyNumberFormat="1" applyFont="1" applyFill="1"/>
    <xf numFmtId="3" fontId="11" fillId="9" borderId="0" xfId="3" applyNumberFormat="1" applyFont="1" applyFill="1" applyAlignment="1">
      <alignment horizontal="right"/>
    </xf>
    <xf numFmtId="1" fontId="11" fillId="9" borderId="0" xfId="0" applyNumberFormat="1" applyFont="1" applyFill="1" applyAlignment="1">
      <alignment horizontal="right"/>
    </xf>
    <xf numFmtId="164" fontId="11" fillId="9" borderId="0" xfId="0" applyNumberFormat="1" applyFont="1" applyFill="1"/>
    <xf numFmtId="0" fontId="11" fillId="9" borderId="0" xfId="0" applyFont="1" applyFill="1"/>
    <xf numFmtId="44" fontId="11" fillId="9" borderId="0" xfId="0" applyNumberFormat="1" applyFont="1" applyFill="1"/>
    <xf numFmtId="3" fontId="11" fillId="9" borderId="0" xfId="0" applyNumberFormat="1" applyFont="1" applyFill="1"/>
    <xf numFmtId="44" fontId="12" fillId="9" borderId="0" xfId="0" applyNumberFormat="1" applyFont="1" applyFill="1"/>
    <xf numFmtId="0" fontId="0" fillId="9" borderId="0" xfId="0" applyFill="1"/>
    <xf numFmtId="0" fontId="3" fillId="10" borderId="0" xfId="0" applyFont="1" applyFill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164" fontId="0" fillId="0" borderId="0" xfId="1" applyNumberFormat="1" applyFont="1"/>
    <xf numFmtId="0" fontId="0" fillId="11" borderId="0" xfId="0" applyFill="1" applyAlignment="1">
      <alignment horizontal="center"/>
    </xf>
    <xf numFmtId="0" fontId="5" fillId="12" borderId="0" xfId="0" applyFont="1" applyFill="1" applyAlignment="1">
      <alignment horizontal="right"/>
    </xf>
    <xf numFmtId="164" fontId="0" fillId="0" borderId="0" xfId="1" applyNumberFormat="1" applyFont="1" applyFill="1"/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41" fontId="0" fillId="0" borderId="0" xfId="1" applyNumberFormat="1" applyFont="1"/>
    <xf numFmtId="0" fontId="0" fillId="2" borderId="1" xfId="0" applyFill="1" applyBorder="1" applyAlignment="1">
      <alignment horizontal="center"/>
    </xf>
    <xf numFmtId="44" fontId="0" fillId="13" borderId="0" xfId="2" applyFont="1" applyFill="1" applyBorder="1"/>
    <xf numFmtId="165" fontId="0" fillId="0" borderId="0" xfId="2" applyNumberFormat="1" applyFont="1" applyFill="1"/>
    <xf numFmtId="166" fontId="0" fillId="0" borderId="0" xfId="1" applyNumberFormat="1" applyFont="1"/>
    <xf numFmtId="44" fontId="0" fillId="13" borderId="1" xfId="2" applyFont="1" applyFill="1" applyBorder="1"/>
    <xf numFmtId="165" fontId="0" fillId="0" borderId="1" xfId="2" applyNumberFormat="1" applyFont="1" applyFill="1" applyBorder="1"/>
    <xf numFmtId="166" fontId="0" fillId="0" borderId="0" xfId="1" applyNumberFormat="1" applyFont="1" applyBorder="1"/>
    <xf numFmtId="44" fontId="0" fillId="0" borderId="0" xfId="2" applyFont="1" applyFill="1"/>
    <xf numFmtId="167" fontId="0" fillId="0" borderId="0" xfId="2" applyNumberFormat="1" applyFont="1" applyFill="1"/>
    <xf numFmtId="166" fontId="0" fillId="0" borderId="1" xfId="1" applyNumberFormat="1" applyFont="1" applyBorder="1"/>
    <xf numFmtId="167" fontId="0" fillId="0" borderId="0" xfId="0" applyNumberFormat="1"/>
    <xf numFmtId="166" fontId="0" fillId="0" borderId="0" xfId="0" applyNumberFormat="1"/>
    <xf numFmtId="0" fontId="0" fillId="2" borderId="1" xfId="0" applyFill="1" applyBorder="1"/>
    <xf numFmtId="169" fontId="0" fillId="0" borderId="0" xfId="0" applyNumberFormat="1"/>
    <xf numFmtId="164" fontId="0" fillId="0" borderId="1" xfId="1" applyNumberFormat="1" applyFont="1" applyFill="1" applyBorder="1"/>
    <xf numFmtId="44" fontId="0" fillId="0" borderId="0" xfId="2" applyFont="1" applyFill="1" applyBorder="1"/>
    <xf numFmtId="42" fontId="3" fillId="0" borderId="0" xfId="0" applyNumberFormat="1" applyFont="1"/>
    <xf numFmtId="0" fontId="3" fillId="0" borderId="11" xfId="0" applyFont="1" applyBorder="1"/>
    <xf numFmtId="0" fontId="0" fillId="2" borderId="12" xfId="0" applyFill="1" applyBorder="1" applyAlignment="1">
      <alignment horizontal="center"/>
    </xf>
    <xf numFmtId="42" fontId="0" fillId="0" borderId="5" xfId="2" applyNumberFormat="1" applyFont="1" applyFill="1" applyBorder="1"/>
    <xf numFmtId="0" fontId="17" fillId="0" borderId="0" xfId="0" applyFont="1"/>
    <xf numFmtId="0" fontId="0" fillId="0" borderId="13" xfId="0" applyBorder="1"/>
    <xf numFmtId="0" fontId="0" fillId="0" borderId="7" xfId="0" applyBorder="1"/>
    <xf numFmtId="42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/>
    <xf numFmtId="44" fontId="0" fillId="8" borderId="0" xfId="2" applyFont="1" applyFill="1" applyBorder="1"/>
    <xf numFmtId="44" fontId="5" fillId="5" borderId="0" xfId="2" applyFont="1" applyFill="1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left" wrapText="1" indent="2"/>
    </xf>
    <xf numFmtId="164" fontId="7" fillId="3" borderId="1" xfId="1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4" fillId="0" borderId="0" xfId="3" applyFill="1" applyAlignment="1">
      <alignment horizontal="left"/>
    </xf>
    <xf numFmtId="3" fontId="9" fillId="0" borderId="0" xfId="3" applyNumberFormat="1" applyFont="1" applyFill="1" applyAlignment="1">
      <alignment horizontal="right"/>
    </xf>
    <xf numFmtId="164" fontId="8" fillId="0" borderId="0" xfId="0" applyNumberFormat="1" applyFont="1" applyFill="1"/>
    <xf numFmtId="3" fontId="8" fillId="0" borderId="0" xfId="0" applyNumberFormat="1" applyFont="1" applyFill="1"/>
    <xf numFmtId="44" fontId="5" fillId="0" borderId="0" xfId="2" applyFont="1" applyFill="1" applyBorder="1"/>
    <xf numFmtId="170" fontId="0" fillId="8" borderId="0" xfId="0" applyNumberFormat="1" applyFill="1"/>
    <xf numFmtId="0" fontId="0" fillId="6" borderId="0" xfId="0" applyFill="1" applyBorder="1"/>
    <xf numFmtId="44" fontId="0" fillId="14" borderId="0" xfId="2" applyFont="1" applyFill="1" applyBorder="1"/>
    <xf numFmtId="0" fontId="0" fillId="14" borderId="0" xfId="0" applyFill="1" applyAlignment="1">
      <alignment vertical="center"/>
    </xf>
    <xf numFmtId="0" fontId="0" fillId="14" borderId="0" xfId="0" applyFill="1"/>
    <xf numFmtId="0" fontId="0" fillId="14" borderId="0" xfId="0" applyFill="1" applyBorder="1"/>
    <xf numFmtId="0" fontId="0" fillId="0" borderId="2" xfId="0" applyBorder="1"/>
    <xf numFmtId="0" fontId="0" fillId="14" borderId="2" xfId="0" applyFill="1" applyBorder="1"/>
    <xf numFmtId="1" fontId="0" fillId="0" borderId="2" xfId="0" applyNumberFormat="1" applyBorder="1" applyAlignment="1">
      <alignment horizontal="right"/>
    </xf>
    <xf numFmtId="43" fontId="0" fillId="0" borderId="2" xfId="0" applyNumberFormat="1" applyBorder="1"/>
    <xf numFmtId="43" fontId="0" fillId="5" borderId="2" xfId="0" applyNumberFormat="1" applyFill="1" applyBorder="1"/>
    <xf numFmtId="43" fontId="0" fillId="5" borderId="0" xfId="0" applyNumberForma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18">
    <cellStyle name="Comma" xfId="1" builtinId="3"/>
    <cellStyle name="Comma 10" xfId="8"/>
    <cellStyle name="Comma 12 2 3" xfId="15"/>
    <cellStyle name="Comma 2" xfId="11"/>
    <cellStyle name="Currency" xfId="2" builtinId="4"/>
    <cellStyle name="Currency 2" xfId="9"/>
    <cellStyle name="Currency 2 2" xfId="12"/>
    <cellStyle name="Normal" xfId="0" builtinId="0"/>
    <cellStyle name="Normal 10" xfId="16"/>
    <cellStyle name="Normal 12 3" xfId="14"/>
    <cellStyle name="Normal 2" xfId="10"/>
    <cellStyle name="Normal 21" xfId="7"/>
    <cellStyle name="Normal 90" xfId="6"/>
    <cellStyle name="Normal_Murrey's Jan-Dec 2012" xfId="13"/>
    <cellStyle name="Normal_Price out" xfId="3"/>
    <cellStyle name="Note 2" xfId="5"/>
    <cellStyle name="Percent" xfId="4" builtinId="5"/>
    <cellStyle name="Percent 2" xfId="1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</sheetData>
      <sheetData sheetId="17">
        <row r="20">
          <cell r="J20">
            <v>-31578.017917077872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75"/>
  <sheetViews>
    <sheetView showGridLines="0" view="pageBreakPreview" topLeftCell="A61" zoomScale="90" zoomScaleNormal="85" zoomScaleSheetLayoutView="90" workbookViewId="0">
      <selection activeCell="A93" sqref="A93"/>
    </sheetView>
  </sheetViews>
  <sheetFormatPr defaultRowHeight="14.4" x14ac:dyDescent="0.3"/>
  <cols>
    <col min="1" max="1" width="31.33203125" customWidth="1"/>
    <col min="2" max="2" width="7" customWidth="1"/>
    <col min="3" max="3" width="19" bestFit="1" customWidth="1"/>
    <col min="4" max="4" width="16" bestFit="1" customWidth="1"/>
    <col min="5" max="5" width="10.5546875" bestFit="1" customWidth="1"/>
    <col min="6" max="6" width="9.88671875" customWidth="1"/>
    <col min="7" max="7" width="11.44140625" bestFit="1" customWidth="1"/>
    <col min="8" max="8" width="13.33203125" customWidth="1"/>
    <col min="9" max="9" width="10.44140625" customWidth="1"/>
    <col min="10" max="10" width="15.88671875" bestFit="1" customWidth="1"/>
    <col min="11" max="11" width="14.5546875" customWidth="1"/>
  </cols>
  <sheetData>
    <row r="1" spans="1:10" x14ac:dyDescent="0.3">
      <c r="A1" s="34"/>
    </row>
    <row r="2" spans="1:10" x14ac:dyDescent="0.3">
      <c r="A2" s="34"/>
      <c r="J2" s="56" t="s">
        <v>84</v>
      </c>
    </row>
    <row r="5" spans="1:10" x14ac:dyDescent="0.3">
      <c r="A5" s="122" t="s">
        <v>13</v>
      </c>
      <c r="B5" s="122"/>
      <c r="C5" s="122"/>
      <c r="D5" s="122"/>
      <c r="E5" s="122"/>
      <c r="F5" s="122"/>
      <c r="G5" s="122"/>
      <c r="H5" s="122"/>
      <c r="I5" s="122"/>
    </row>
    <row r="6" spans="1:10" x14ac:dyDescent="0.3">
      <c r="A6" t="s">
        <v>14</v>
      </c>
      <c r="C6" s="42" t="s">
        <v>15</v>
      </c>
      <c r="D6" s="42" t="s">
        <v>16</v>
      </c>
      <c r="E6" s="42" t="s">
        <v>17</v>
      </c>
      <c r="F6" s="42" t="s">
        <v>18</v>
      </c>
      <c r="G6" s="42" t="s">
        <v>19</v>
      </c>
      <c r="H6" s="42" t="s">
        <v>20</v>
      </c>
      <c r="I6" s="42" t="s">
        <v>21</v>
      </c>
    </row>
    <row r="7" spans="1:10" x14ac:dyDescent="0.3">
      <c r="A7" t="s">
        <v>22</v>
      </c>
      <c r="C7" s="57">
        <f>52*5/12</f>
        <v>21.666666666666668</v>
      </c>
      <c r="D7" s="41">
        <f>$C$7*2</f>
        <v>43.333333333333336</v>
      </c>
      <c r="E7" s="41">
        <f>$C$7*3</f>
        <v>65</v>
      </c>
      <c r="F7" s="41">
        <f>$C$7*4</f>
        <v>86.666666666666671</v>
      </c>
      <c r="G7" s="41">
        <f>$C$7*5</f>
        <v>108.33333333333334</v>
      </c>
      <c r="H7" s="41">
        <f>$C$7*6</f>
        <v>130</v>
      </c>
      <c r="I7" s="41">
        <f>$C$7*7</f>
        <v>151.66666666666669</v>
      </c>
    </row>
    <row r="8" spans="1:10" x14ac:dyDescent="0.3">
      <c r="A8" t="s">
        <v>23</v>
      </c>
      <c r="C8" s="57">
        <f>52*4/12</f>
        <v>17.333333333333332</v>
      </c>
      <c r="D8" s="41">
        <f>$C$8*2</f>
        <v>34.666666666666664</v>
      </c>
      <c r="E8" s="41">
        <f>$C$8*3</f>
        <v>52</v>
      </c>
      <c r="F8" s="41">
        <f>$C$8*4</f>
        <v>69.333333333333329</v>
      </c>
      <c r="G8" s="41">
        <f>$C$8*5</f>
        <v>86.666666666666657</v>
      </c>
      <c r="H8" s="41">
        <f>$C$8*6</f>
        <v>104</v>
      </c>
      <c r="I8" s="41">
        <f>$C$8*7</f>
        <v>121.33333333333333</v>
      </c>
    </row>
    <row r="9" spans="1:10" x14ac:dyDescent="0.3">
      <c r="A9" t="s">
        <v>24</v>
      </c>
      <c r="C9" s="57">
        <f>52*3/12</f>
        <v>13</v>
      </c>
      <c r="D9" s="41">
        <f>$C$9*2</f>
        <v>26</v>
      </c>
      <c r="E9" s="41">
        <f>$C$9*3</f>
        <v>39</v>
      </c>
      <c r="F9" s="41">
        <f>$C$9*4</f>
        <v>52</v>
      </c>
      <c r="G9" s="41">
        <f>$C$9*5</f>
        <v>65</v>
      </c>
      <c r="H9" s="41">
        <f>$C$9*6</f>
        <v>78</v>
      </c>
      <c r="I9" s="41">
        <f>$C$9*7</f>
        <v>91</v>
      </c>
    </row>
    <row r="10" spans="1:10" x14ac:dyDescent="0.3">
      <c r="A10" t="s">
        <v>25</v>
      </c>
      <c r="C10" s="57">
        <f>52*2/12</f>
        <v>8.6666666666666661</v>
      </c>
      <c r="D10" s="2">
        <f>$C$10*2</f>
        <v>17.333333333333332</v>
      </c>
      <c r="E10" s="2">
        <f>$C$10*3</f>
        <v>26</v>
      </c>
      <c r="F10" s="2">
        <f>$C$10*4</f>
        <v>34.666666666666664</v>
      </c>
      <c r="G10" s="2">
        <f>$C$10*5</f>
        <v>43.333333333333329</v>
      </c>
      <c r="H10" s="2">
        <f>$C$10*6</f>
        <v>52</v>
      </c>
      <c r="I10" s="2">
        <f>$C$10*7</f>
        <v>60.666666666666664</v>
      </c>
    </row>
    <row r="11" spans="1:10" x14ac:dyDescent="0.3">
      <c r="A11" t="s">
        <v>26</v>
      </c>
      <c r="C11" s="57">
        <f>52/12</f>
        <v>4.333333333333333</v>
      </c>
      <c r="D11" s="2">
        <f>$C$11*2</f>
        <v>8.6666666666666661</v>
      </c>
      <c r="E11" s="2">
        <f>$C$11*3</f>
        <v>13</v>
      </c>
      <c r="F11" s="2">
        <f>$C$11*4</f>
        <v>17.333333333333332</v>
      </c>
      <c r="G11" s="2">
        <f>$C$11*5</f>
        <v>21.666666666666664</v>
      </c>
      <c r="H11" s="2">
        <f>$C$11*6</f>
        <v>26</v>
      </c>
      <c r="I11" s="2">
        <f>$C$11*7</f>
        <v>30.333333333333332</v>
      </c>
    </row>
    <row r="12" spans="1:10" x14ac:dyDescent="0.3">
      <c r="A12" t="s">
        <v>27</v>
      </c>
      <c r="C12" s="57">
        <f>26/12</f>
        <v>2.1666666666666665</v>
      </c>
      <c r="D12" s="2">
        <f>$C$12*2</f>
        <v>4.333333333333333</v>
      </c>
      <c r="E12" s="2">
        <f>$C$12*3</f>
        <v>6.5</v>
      </c>
      <c r="F12" s="2">
        <f>$C$12*4</f>
        <v>8.6666666666666661</v>
      </c>
      <c r="G12" s="2">
        <f>$C$12*5</f>
        <v>10.833333333333332</v>
      </c>
      <c r="H12" s="2">
        <f>$C$12*6</f>
        <v>13</v>
      </c>
      <c r="I12" s="2">
        <f>$C$12*7</f>
        <v>15.166666666666666</v>
      </c>
    </row>
    <row r="13" spans="1:10" x14ac:dyDescent="0.3">
      <c r="A13" t="s">
        <v>28</v>
      </c>
      <c r="C13" s="57">
        <f>12/12</f>
        <v>1</v>
      </c>
      <c r="D13" s="2">
        <f>$C$13*2</f>
        <v>2</v>
      </c>
      <c r="E13" s="2">
        <f>$C$13*3</f>
        <v>3</v>
      </c>
      <c r="F13" s="2">
        <f>$C$13*4</f>
        <v>4</v>
      </c>
      <c r="G13" s="2">
        <f>$C$13*5</f>
        <v>5</v>
      </c>
      <c r="H13" s="2">
        <f>$C$13*6</f>
        <v>6</v>
      </c>
      <c r="I13" s="2">
        <f>$C$13*7</f>
        <v>7</v>
      </c>
    </row>
    <row r="14" spans="1:10" x14ac:dyDescent="0.3">
      <c r="A14" t="s">
        <v>85</v>
      </c>
      <c r="C14" s="57">
        <v>1</v>
      </c>
      <c r="D14" s="2"/>
      <c r="E14" s="2"/>
      <c r="F14" s="2"/>
      <c r="G14" s="2"/>
      <c r="H14" s="2"/>
      <c r="I14" s="2"/>
    </row>
    <row r="15" spans="1:10" x14ac:dyDescent="0.3">
      <c r="A15" s="122" t="s">
        <v>3</v>
      </c>
      <c r="B15" s="122"/>
      <c r="C15" s="122"/>
      <c r="D15" s="2"/>
      <c r="E15" s="2"/>
      <c r="F15" s="2"/>
      <c r="G15" s="2"/>
      <c r="H15" s="2"/>
      <c r="I15" s="2"/>
    </row>
    <row r="16" spans="1:10" x14ac:dyDescent="0.3">
      <c r="A16" s="34" t="s">
        <v>29</v>
      </c>
      <c r="B16" s="34"/>
      <c r="C16" s="58" t="s">
        <v>30</v>
      </c>
      <c r="D16" s="2"/>
      <c r="E16" s="2"/>
      <c r="F16" s="2"/>
      <c r="G16" s="2"/>
      <c r="H16" s="2"/>
      <c r="I16" s="2"/>
    </row>
    <row r="17" spans="1:9" x14ac:dyDescent="0.3">
      <c r="A17" s="37" t="s">
        <v>31</v>
      </c>
      <c r="B17" s="37"/>
      <c r="C17" s="59">
        <v>20</v>
      </c>
      <c r="D17" s="2"/>
      <c r="E17" s="2"/>
      <c r="F17" s="2"/>
      <c r="G17" s="2"/>
      <c r="H17" s="2"/>
      <c r="I17" s="2"/>
    </row>
    <row r="18" spans="1:9" x14ac:dyDescent="0.3">
      <c r="A18" s="37" t="s">
        <v>32</v>
      </c>
      <c r="B18" s="37"/>
      <c r="C18" s="59">
        <v>34</v>
      </c>
      <c r="D18" s="2"/>
      <c r="E18" s="2"/>
      <c r="F18" s="2"/>
      <c r="G18" s="2"/>
      <c r="H18" s="2"/>
      <c r="I18" s="2"/>
    </row>
    <row r="19" spans="1:9" x14ac:dyDescent="0.3">
      <c r="A19" s="37" t="s">
        <v>33</v>
      </c>
      <c r="B19" s="37"/>
      <c r="C19" s="59">
        <v>51</v>
      </c>
      <c r="D19" s="2"/>
      <c r="E19" s="2"/>
      <c r="F19" s="2"/>
      <c r="G19" s="2"/>
      <c r="H19" s="2"/>
      <c r="I19" s="2"/>
    </row>
    <row r="20" spans="1:9" x14ac:dyDescent="0.3">
      <c r="A20" s="37" t="s">
        <v>34</v>
      </c>
      <c r="B20" s="37"/>
      <c r="C20" s="59">
        <v>77</v>
      </c>
      <c r="D20" s="2"/>
      <c r="E20" s="2"/>
      <c r="F20" s="2"/>
      <c r="G20" t="s">
        <v>35</v>
      </c>
      <c r="H20" s="59">
        <v>2000</v>
      </c>
      <c r="I20" s="2"/>
    </row>
    <row r="21" spans="1:9" x14ac:dyDescent="0.3">
      <c r="A21" s="37" t="s">
        <v>36</v>
      </c>
      <c r="B21" s="37"/>
      <c r="C21" s="59">
        <v>97</v>
      </c>
      <c r="D21" s="2"/>
      <c r="E21" s="2"/>
      <c r="F21" s="2"/>
      <c r="G21" t="s">
        <v>37</v>
      </c>
      <c r="H21" s="60" t="s">
        <v>38</v>
      </c>
      <c r="I21" s="2"/>
    </row>
    <row r="22" spans="1:9" x14ac:dyDescent="0.3">
      <c r="A22" s="37" t="s">
        <v>39</v>
      </c>
      <c r="B22" s="37"/>
      <c r="C22" s="59">
        <v>117</v>
      </c>
      <c r="D22" s="2"/>
      <c r="E22" s="2"/>
      <c r="F22" s="2"/>
      <c r="I22" s="2"/>
    </row>
    <row r="23" spans="1:9" x14ac:dyDescent="0.3">
      <c r="A23" s="37" t="s">
        <v>40</v>
      </c>
      <c r="B23" s="37"/>
      <c r="C23" s="59">
        <v>137</v>
      </c>
      <c r="D23" s="2"/>
      <c r="E23" s="2"/>
      <c r="F23" s="2"/>
      <c r="G23" s="40" t="s">
        <v>81</v>
      </c>
      <c r="H23" s="61">
        <v>12</v>
      </c>
      <c r="I23" s="2"/>
    </row>
    <row r="24" spans="1:9" x14ac:dyDescent="0.3">
      <c r="A24" s="37" t="s">
        <v>86</v>
      </c>
      <c r="B24" s="37"/>
      <c r="C24" s="59">
        <v>40</v>
      </c>
      <c r="D24" s="2" t="s">
        <v>41</v>
      </c>
      <c r="E24" s="2"/>
      <c r="F24" s="2"/>
      <c r="G24" s="39"/>
      <c r="H24" s="38"/>
      <c r="I24" s="2"/>
    </row>
    <row r="25" spans="1:9" x14ac:dyDescent="0.3">
      <c r="A25" s="37" t="s">
        <v>87</v>
      </c>
      <c r="B25" s="37"/>
      <c r="C25" s="59">
        <v>47</v>
      </c>
      <c r="D25" s="2"/>
      <c r="E25" s="2"/>
      <c r="F25" s="2"/>
      <c r="G25" s="2"/>
      <c r="H25" s="2"/>
      <c r="I25" s="2"/>
    </row>
    <row r="26" spans="1:9" x14ac:dyDescent="0.3">
      <c r="A26" s="37" t="s">
        <v>88</v>
      </c>
      <c r="B26" s="37"/>
      <c r="C26" s="59">
        <v>68</v>
      </c>
      <c r="D26" s="2"/>
      <c r="E26" s="2"/>
      <c r="F26" s="2"/>
      <c r="G26" s="2"/>
      <c r="H26" s="2"/>
      <c r="I26" s="2"/>
    </row>
    <row r="27" spans="1:9" x14ac:dyDescent="0.3">
      <c r="A27" s="37" t="s">
        <v>42</v>
      </c>
      <c r="B27" s="37"/>
      <c r="C27" s="59">
        <v>34</v>
      </c>
      <c r="D27" s="2"/>
      <c r="E27" s="2"/>
      <c r="F27" s="2"/>
      <c r="G27" s="2"/>
      <c r="H27" s="2"/>
      <c r="I27" s="2"/>
    </row>
    <row r="28" spans="1:9" x14ac:dyDescent="0.3">
      <c r="A28" s="37" t="s">
        <v>43</v>
      </c>
      <c r="B28" s="37"/>
      <c r="C28" s="59">
        <v>34</v>
      </c>
      <c r="D28" s="2"/>
      <c r="E28" s="2"/>
      <c r="F28" s="2"/>
      <c r="G28" s="2"/>
      <c r="H28" s="2"/>
      <c r="I28" s="2"/>
    </row>
    <row r="29" spans="1:9" x14ac:dyDescent="0.3">
      <c r="A29" s="34" t="s">
        <v>44</v>
      </c>
      <c r="B29" s="34"/>
      <c r="C29" s="59"/>
      <c r="D29" s="2"/>
      <c r="E29" s="2"/>
      <c r="F29" s="2"/>
      <c r="G29" s="2"/>
      <c r="H29" s="2"/>
      <c r="I29" s="2"/>
    </row>
    <row r="30" spans="1:9" x14ac:dyDescent="0.3">
      <c r="A30" s="37" t="s">
        <v>45</v>
      </c>
      <c r="B30" s="37"/>
      <c r="C30" s="59">
        <v>29</v>
      </c>
      <c r="D30" s="2"/>
      <c r="E30" s="2"/>
      <c r="F30" s="2"/>
      <c r="G30" s="2"/>
      <c r="H30" s="2"/>
      <c r="I30" s="2"/>
    </row>
    <row r="31" spans="1:9" x14ac:dyDescent="0.3">
      <c r="A31" s="37" t="s">
        <v>57</v>
      </c>
      <c r="B31" s="37"/>
      <c r="C31" s="59">
        <v>125</v>
      </c>
      <c r="D31" s="2"/>
      <c r="E31" s="2"/>
      <c r="F31" s="2"/>
      <c r="G31" s="2"/>
      <c r="H31" s="2"/>
      <c r="I31" s="2"/>
    </row>
    <row r="32" spans="1:9" x14ac:dyDescent="0.3">
      <c r="A32" s="37" t="s">
        <v>46</v>
      </c>
      <c r="B32" s="37"/>
      <c r="C32" s="59">
        <v>175</v>
      </c>
      <c r="D32" s="2"/>
      <c r="E32" s="2"/>
      <c r="F32" s="2"/>
      <c r="G32" s="2"/>
      <c r="H32" s="2"/>
      <c r="I32" s="2"/>
    </row>
    <row r="33" spans="1:9" x14ac:dyDescent="0.3">
      <c r="A33" s="37" t="s">
        <v>47</v>
      </c>
      <c r="B33" s="37"/>
      <c r="C33" s="62">
        <v>250</v>
      </c>
      <c r="D33" s="2"/>
      <c r="E33" s="2"/>
      <c r="F33" s="2"/>
      <c r="G33" s="2"/>
      <c r="H33" s="2"/>
      <c r="I33" s="2"/>
    </row>
    <row r="34" spans="1:9" x14ac:dyDescent="0.3">
      <c r="A34" s="37" t="s">
        <v>48</v>
      </c>
      <c r="B34" s="37"/>
      <c r="C34" s="62">
        <v>324</v>
      </c>
      <c r="D34" s="2"/>
      <c r="E34" s="2"/>
      <c r="F34" s="2"/>
      <c r="G34" s="2"/>
      <c r="H34" s="2"/>
      <c r="I34" s="2"/>
    </row>
    <row r="35" spans="1:9" x14ac:dyDescent="0.3">
      <c r="A35" s="37" t="s">
        <v>49</v>
      </c>
      <c r="B35" s="37"/>
      <c r="C35" s="62">
        <v>473</v>
      </c>
      <c r="D35" s="2"/>
      <c r="E35" s="2"/>
      <c r="F35" s="2"/>
      <c r="G35" s="2"/>
      <c r="H35" s="2"/>
      <c r="I35" s="2"/>
    </row>
    <row r="36" spans="1:9" x14ac:dyDescent="0.3">
      <c r="A36" s="37" t="s">
        <v>50</v>
      </c>
      <c r="B36" s="37"/>
      <c r="C36" s="62">
        <v>613</v>
      </c>
      <c r="D36" s="2"/>
      <c r="E36" s="2"/>
      <c r="F36" s="2"/>
      <c r="G36" s="2"/>
      <c r="H36" s="2"/>
      <c r="I36" s="2"/>
    </row>
    <row r="37" spans="1:9" x14ac:dyDescent="0.3">
      <c r="A37" s="37" t="s">
        <v>51</v>
      </c>
      <c r="B37" s="37"/>
      <c r="C37" s="62">
        <v>840</v>
      </c>
      <c r="D37" s="2"/>
      <c r="E37" s="2"/>
      <c r="F37" s="2"/>
      <c r="G37" s="2"/>
      <c r="H37" s="2"/>
      <c r="I37" s="2"/>
    </row>
    <row r="38" spans="1:9" x14ac:dyDescent="0.3">
      <c r="A38" s="37" t="s">
        <v>52</v>
      </c>
      <c r="B38" s="37"/>
      <c r="C38" s="62">
        <v>980</v>
      </c>
      <c r="D38" s="63"/>
      <c r="E38" s="2"/>
      <c r="F38" s="2"/>
      <c r="G38" s="2"/>
      <c r="H38" s="2"/>
      <c r="I38" s="2"/>
    </row>
    <row r="39" spans="1:9" x14ac:dyDescent="0.3">
      <c r="A39" s="64" t="s">
        <v>89</v>
      </c>
      <c r="B39" s="64">
        <v>2.25</v>
      </c>
      <c r="C39" s="59"/>
      <c r="D39" s="63"/>
      <c r="E39" s="2"/>
      <c r="F39" s="2"/>
      <c r="G39" s="2"/>
      <c r="H39" s="2"/>
      <c r="I39" s="2"/>
    </row>
    <row r="40" spans="1:9" x14ac:dyDescent="0.3">
      <c r="A40" s="37" t="s">
        <v>53</v>
      </c>
      <c r="B40" s="37"/>
      <c r="C40" s="59">
        <f>C34*$B$39</f>
        <v>729</v>
      </c>
      <c r="D40" s="2" t="s">
        <v>41</v>
      </c>
      <c r="E40" s="2"/>
      <c r="F40" s="2"/>
      <c r="G40" s="2"/>
      <c r="H40" s="2"/>
      <c r="I40" s="2"/>
    </row>
    <row r="41" spans="1:9" x14ac:dyDescent="0.3">
      <c r="A41" s="37" t="s">
        <v>55</v>
      </c>
      <c r="B41" s="37"/>
      <c r="C41" s="59">
        <f>C36*$B$39</f>
        <v>1379.25</v>
      </c>
      <c r="D41" s="2" t="s">
        <v>41</v>
      </c>
      <c r="E41" s="2"/>
      <c r="F41" s="2"/>
      <c r="G41" s="2"/>
      <c r="H41" s="2"/>
      <c r="I41" s="2"/>
    </row>
    <row r="42" spans="1:9" x14ac:dyDescent="0.3">
      <c r="A42" s="37" t="s">
        <v>56</v>
      </c>
      <c r="B42" s="37"/>
      <c r="C42" s="59">
        <f>C37*$B$39</f>
        <v>1890</v>
      </c>
      <c r="D42" s="2" t="s">
        <v>41</v>
      </c>
      <c r="E42" s="2"/>
      <c r="F42" s="2"/>
      <c r="G42" s="2"/>
      <c r="H42" s="2"/>
      <c r="I42" s="2"/>
    </row>
    <row r="43" spans="1:9" x14ac:dyDescent="0.3">
      <c r="A43" s="64" t="s">
        <v>90</v>
      </c>
      <c r="B43" s="64">
        <v>3</v>
      </c>
      <c r="C43" s="59"/>
      <c r="D43" s="2"/>
      <c r="E43" s="2"/>
      <c r="F43" s="2"/>
      <c r="G43" s="2"/>
      <c r="H43" s="2"/>
      <c r="I43" s="2"/>
    </row>
    <row r="44" spans="1:9" x14ac:dyDescent="0.3">
      <c r="A44" s="37" t="s">
        <v>53</v>
      </c>
      <c r="B44" s="37"/>
      <c r="C44" s="65">
        <f>C34*$B$43</f>
        <v>972</v>
      </c>
      <c r="D44" s="2" t="s">
        <v>41</v>
      </c>
      <c r="E44" s="2"/>
      <c r="F44" s="2"/>
      <c r="G44" s="2"/>
      <c r="H44" s="2"/>
      <c r="I44" s="2"/>
    </row>
    <row r="45" spans="1:9" x14ac:dyDescent="0.3">
      <c r="A45" s="37" t="s">
        <v>54</v>
      </c>
      <c r="B45" s="37"/>
      <c r="C45" s="65">
        <f t="shared" ref="C45:C47" si="0">C35*$B$43</f>
        <v>1419</v>
      </c>
      <c r="D45" s="2" t="s">
        <v>41</v>
      </c>
      <c r="E45" s="2"/>
      <c r="F45" s="2"/>
      <c r="G45" s="2"/>
      <c r="H45" s="2"/>
      <c r="I45" s="2"/>
    </row>
    <row r="46" spans="1:9" x14ac:dyDescent="0.3">
      <c r="A46" s="37" t="s">
        <v>55</v>
      </c>
      <c r="B46" s="37"/>
      <c r="C46" s="65">
        <f t="shared" si="0"/>
        <v>1839</v>
      </c>
      <c r="D46" s="2" t="s">
        <v>41</v>
      </c>
      <c r="E46" s="2"/>
      <c r="F46" s="2"/>
      <c r="G46" s="2"/>
      <c r="H46" s="2"/>
      <c r="I46" s="2"/>
    </row>
    <row r="47" spans="1:9" x14ac:dyDescent="0.3">
      <c r="A47" s="37" t="s">
        <v>56</v>
      </c>
      <c r="B47" s="37"/>
      <c r="C47" s="65">
        <f t="shared" si="0"/>
        <v>2520</v>
      </c>
      <c r="D47" s="2" t="s">
        <v>41</v>
      </c>
      <c r="E47" s="2"/>
      <c r="F47" s="2"/>
      <c r="G47" s="2"/>
      <c r="H47" s="2"/>
      <c r="I47" s="2"/>
    </row>
    <row r="48" spans="1:9" x14ac:dyDescent="0.3">
      <c r="A48" s="64" t="s">
        <v>91</v>
      </c>
      <c r="B48" s="64">
        <v>4</v>
      </c>
      <c r="C48" s="59"/>
      <c r="D48" s="2"/>
      <c r="E48" s="2"/>
      <c r="F48" s="2"/>
      <c r="G48" s="2"/>
      <c r="H48" s="2"/>
      <c r="I48" s="2"/>
    </row>
    <row r="49" spans="1:10" x14ac:dyDescent="0.3">
      <c r="A49" s="37" t="s">
        <v>54</v>
      </c>
      <c r="B49" s="37"/>
      <c r="C49" s="65">
        <f t="shared" ref="C49:C51" si="1">C35*$B$48</f>
        <v>1892</v>
      </c>
      <c r="D49" s="2" t="s">
        <v>41</v>
      </c>
      <c r="E49" s="2"/>
      <c r="F49" s="2"/>
      <c r="G49" s="2"/>
      <c r="H49" s="2"/>
      <c r="I49" s="2"/>
    </row>
    <row r="50" spans="1:10" x14ac:dyDescent="0.3">
      <c r="A50" s="37" t="s">
        <v>55</v>
      </c>
      <c r="B50" s="37"/>
      <c r="C50" s="65">
        <f t="shared" si="1"/>
        <v>2452</v>
      </c>
      <c r="D50" s="2" t="s">
        <v>41</v>
      </c>
      <c r="E50" s="2"/>
      <c r="F50" s="2"/>
      <c r="G50" s="2"/>
      <c r="H50" s="2"/>
      <c r="I50" s="2"/>
    </row>
    <row r="51" spans="1:10" x14ac:dyDescent="0.3">
      <c r="A51" s="37" t="s">
        <v>56</v>
      </c>
      <c r="B51" s="37"/>
      <c r="C51" s="65">
        <f t="shared" si="1"/>
        <v>3360</v>
      </c>
      <c r="D51" s="2" t="s">
        <v>41</v>
      </c>
      <c r="E51" s="2"/>
      <c r="F51" s="2"/>
      <c r="G51" s="2"/>
      <c r="H51" s="2"/>
      <c r="I51" s="2"/>
    </row>
    <row r="52" spans="1:10" x14ac:dyDescent="0.3">
      <c r="A52" s="64" t="s">
        <v>92</v>
      </c>
      <c r="B52" s="64">
        <v>5</v>
      </c>
      <c r="C52" s="59"/>
      <c r="D52" s="2"/>
      <c r="E52" s="2"/>
      <c r="F52" s="2"/>
      <c r="G52" s="2"/>
      <c r="H52" s="2"/>
      <c r="I52" s="2"/>
    </row>
    <row r="53" spans="1:10" x14ac:dyDescent="0.3">
      <c r="A53" s="37" t="s">
        <v>55</v>
      </c>
      <c r="B53" s="37"/>
      <c r="C53" s="65">
        <f>C36*$B$52</f>
        <v>3065</v>
      </c>
      <c r="D53" s="2" t="s">
        <v>41</v>
      </c>
      <c r="E53" s="2"/>
      <c r="F53" s="2"/>
      <c r="G53" s="2"/>
      <c r="H53" s="2"/>
      <c r="I53" s="2"/>
    </row>
    <row r="54" spans="1:10" x14ac:dyDescent="0.3">
      <c r="A54" s="37" t="s">
        <v>56</v>
      </c>
      <c r="B54" s="37"/>
      <c r="C54" s="65">
        <f>C37*$B$52</f>
        <v>4200</v>
      </c>
      <c r="D54" s="2" t="s">
        <v>41</v>
      </c>
      <c r="E54" s="2"/>
      <c r="F54" s="2"/>
      <c r="G54" s="2"/>
      <c r="H54" s="2"/>
      <c r="I54" s="2"/>
    </row>
    <row r="55" spans="1:10" x14ac:dyDescent="0.3">
      <c r="C55" s="123" t="s">
        <v>93</v>
      </c>
      <c r="D55" s="123"/>
    </row>
    <row r="56" spans="1:10" x14ac:dyDescent="0.3">
      <c r="C56" t="s">
        <v>94</v>
      </c>
    </row>
    <row r="58" spans="1:10" x14ac:dyDescent="0.3">
      <c r="A58" s="1" t="s">
        <v>95</v>
      </c>
      <c r="B58" s="1"/>
      <c r="C58" s="66" t="s">
        <v>58</v>
      </c>
      <c r="D58" s="66" t="s">
        <v>59</v>
      </c>
      <c r="G58" s="124" t="s">
        <v>60</v>
      </c>
      <c r="H58" s="124"/>
    </row>
    <row r="59" spans="1:10" x14ac:dyDescent="0.3">
      <c r="A59" s="30" t="s">
        <v>61</v>
      </c>
      <c r="B59" s="30"/>
      <c r="C59" s="67">
        <v>128.24</v>
      </c>
      <c r="D59" s="68">
        <f>C59/2000</f>
        <v>6.412000000000001E-2</v>
      </c>
      <c r="G59" t="s">
        <v>62</v>
      </c>
      <c r="H59" s="69">
        <v>1.7500000000000002E-2</v>
      </c>
    </row>
    <row r="60" spans="1:10" x14ac:dyDescent="0.3">
      <c r="A60" s="30" t="s">
        <v>63</v>
      </c>
      <c r="B60" s="30"/>
      <c r="C60" s="70">
        <v>134.57</v>
      </c>
      <c r="D60" s="71">
        <f>C60/2000</f>
        <v>6.7284999999999998E-2</v>
      </c>
      <c r="G60" t="s">
        <v>64</v>
      </c>
      <c r="H60" s="72">
        <f>0.0051</f>
        <v>5.1000000000000004E-3</v>
      </c>
    </row>
    <row r="61" spans="1:10" x14ac:dyDescent="0.3">
      <c r="A61" s="37" t="s">
        <v>6</v>
      </c>
      <c r="B61" s="37"/>
      <c r="C61" s="73">
        <f>C60-C59</f>
        <v>6.3299999999999841</v>
      </c>
      <c r="D61" s="74">
        <f>D60-D59</f>
        <v>3.1649999999999873E-3</v>
      </c>
      <c r="E61" s="36">
        <f>C61/C59</f>
        <v>4.9360573923892571E-2</v>
      </c>
      <c r="G61" t="s">
        <v>65</v>
      </c>
      <c r="H61" s="75"/>
    </row>
    <row r="62" spans="1:10" x14ac:dyDescent="0.3">
      <c r="D62" s="76"/>
      <c r="G62" t="s">
        <v>66</v>
      </c>
      <c r="H62" s="35">
        <f>SUM(H59:H61)</f>
        <v>2.2600000000000002E-2</v>
      </c>
      <c r="J62" s="77"/>
    </row>
    <row r="63" spans="1:10" x14ac:dyDescent="0.3">
      <c r="C63" s="78" t="s">
        <v>96</v>
      </c>
    </row>
    <row r="64" spans="1:10" x14ac:dyDescent="0.3">
      <c r="A64" t="s">
        <v>67</v>
      </c>
      <c r="C64" s="3">
        <f>C61</f>
        <v>6.3299999999999841</v>
      </c>
      <c r="D64" s="76"/>
      <c r="G64" t="s">
        <v>68</v>
      </c>
      <c r="H64" s="79">
        <f>1-H62</f>
        <v>0.97740000000000005</v>
      </c>
    </row>
    <row r="65" spans="1:5" x14ac:dyDescent="0.3">
      <c r="A65" t="s">
        <v>69</v>
      </c>
      <c r="C65" s="3">
        <f>C64/$H$64</f>
        <v>6.4763658686310457</v>
      </c>
      <c r="D65" s="76"/>
    </row>
    <row r="66" spans="1:5" x14ac:dyDescent="0.3">
      <c r="A66" t="s">
        <v>70</v>
      </c>
      <c r="C66" s="80">
        <v>4251.4799999999996</v>
      </c>
      <c r="D66" s="3"/>
      <c r="E66" s="81"/>
    </row>
    <row r="67" spans="1:5" x14ac:dyDescent="0.3">
      <c r="A67" s="34" t="s">
        <v>97</v>
      </c>
      <c r="B67" s="34"/>
      <c r="C67" s="82">
        <f>C65*C66</f>
        <v>27534.139963167516</v>
      </c>
      <c r="E67" s="81"/>
    </row>
    <row r="70" spans="1:5" ht="15" thickBot="1" x14ac:dyDescent="0.35"/>
    <row r="71" spans="1:5" x14ac:dyDescent="0.3">
      <c r="A71" s="33" t="s">
        <v>71</v>
      </c>
      <c r="B71" s="83"/>
      <c r="C71" s="84" t="s">
        <v>72</v>
      </c>
      <c r="E71" s="3"/>
    </row>
    <row r="72" spans="1:5" x14ac:dyDescent="0.3">
      <c r="A72" s="32" t="s">
        <v>75</v>
      </c>
      <c r="C72" s="85">
        <f>'Staff Price Out'!Q35</f>
        <v>27951.069592501273</v>
      </c>
    </row>
    <row r="73" spans="1:5" x14ac:dyDescent="0.3">
      <c r="A73" s="32" t="s">
        <v>73</v>
      </c>
      <c r="C73" s="85">
        <f>C72-C67</f>
        <v>416.92962933375748</v>
      </c>
      <c r="D73" s="86" t="s">
        <v>83</v>
      </c>
    </row>
    <row r="74" spans="1:5" ht="15" thickBot="1" x14ac:dyDescent="0.35">
      <c r="A74" s="31"/>
      <c r="B74" s="87"/>
      <c r="C74" s="88"/>
    </row>
    <row r="75" spans="1:5" x14ac:dyDescent="0.3">
      <c r="B75" s="34"/>
      <c r="C75" s="89"/>
    </row>
  </sheetData>
  <mergeCells count="4">
    <mergeCell ref="A5:I5"/>
    <mergeCell ref="A15:C15"/>
    <mergeCell ref="C55:D55"/>
    <mergeCell ref="G58:H58"/>
  </mergeCells>
  <conditionalFormatting sqref="C73">
    <cfRule type="cellIs" dxfId="1" priority="1" operator="lessThan">
      <formula>-10</formula>
    </cfRule>
    <cfRule type="cellIs" dxfId="0" priority="2" operator="greaterThan">
      <formula>10</formula>
    </cfRule>
  </conditionalFormatting>
  <pageMargins left="0.7" right="0.7" top="0.75" bottom="0.75" header="0.3" footer="0.3"/>
  <pageSetup scale="62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6"/>
  <sheetViews>
    <sheetView tabSelected="1" topLeftCell="B7" workbookViewId="0">
      <pane xSplit="2" topLeftCell="D1" activePane="topRight" state="frozen"/>
      <selection activeCell="B1" sqref="B1"/>
      <selection pane="topRight" activeCell="C1" sqref="C1:D1048576"/>
    </sheetView>
  </sheetViews>
  <sheetFormatPr defaultRowHeight="14.4" x14ac:dyDescent="0.3"/>
  <cols>
    <col min="1" max="1" width="0" hidden="1" customWidth="1"/>
    <col min="2" max="2" width="11.109375" customWidth="1"/>
    <col min="3" max="4" width="20.88671875" customWidth="1"/>
    <col min="5" max="5" width="9.5546875" customWidth="1"/>
    <col min="6" max="6" width="13.77734375" style="4" customWidth="1"/>
    <col min="7" max="7" width="12.44140625" customWidth="1"/>
    <col min="8" max="8" width="14.44140625" customWidth="1"/>
    <col min="9" max="9" width="13.5546875" customWidth="1"/>
    <col min="10" max="10" width="13.44140625" customWidth="1"/>
    <col min="11" max="11" width="12.88671875" customWidth="1"/>
    <col min="12" max="13" width="10.6640625" customWidth="1"/>
    <col min="14" max="14" width="11" bestFit="1" customWidth="1"/>
    <col min="15" max="15" width="17.88671875" customWidth="1"/>
    <col min="16" max="16" width="15.88671875" customWidth="1"/>
    <col min="17" max="17" width="16.44140625" customWidth="1"/>
    <col min="18" max="18" width="13.44140625" bestFit="1" customWidth="1"/>
  </cols>
  <sheetData>
    <row r="1" spans="1:18" ht="44.25" customHeight="1" x14ac:dyDescent="0.3">
      <c r="A1" s="1"/>
      <c r="B1" s="98" t="s">
        <v>100</v>
      </c>
      <c r="C1" s="99" t="s">
        <v>82</v>
      </c>
      <c r="D1" s="9" t="s">
        <v>0</v>
      </c>
      <c r="E1" s="9" t="s">
        <v>1</v>
      </c>
      <c r="F1" s="100" t="s">
        <v>2</v>
      </c>
      <c r="G1" s="101" t="s">
        <v>3</v>
      </c>
      <c r="H1" s="9" t="s">
        <v>4</v>
      </c>
      <c r="I1" s="102" t="s">
        <v>5</v>
      </c>
      <c r="J1" s="103" t="s">
        <v>6</v>
      </c>
      <c r="K1" s="9" t="s">
        <v>7</v>
      </c>
      <c r="L1" s="9" t="s">
        <v>8</v>
      </c>
      <c r="M1" s="9" t="s">
        <v>98</v>
      </c>
      <c r="N1" s="9" t="s">
        <v>99</v>
      </c>
      <c r="O1" s="9" t="s">
        <v>9</v>
      </c>
      <c r="P1" s="9" t="s">
        <v>10</v>
      </c>
      <c r="Q1" s="9" t="s">
        <v>11</v>
      </c>
      <c r="R1" s="29"/>
    </row>
    <row r="2" spans="1:18" x14ac:dyDescent="0.3">
      <c r="A2" s="125" t="s">
        <v>12</v>
      </c>
      <c r="B2" s="94">
        <v>22</v>
      </c>
      <c r="C2" t="s">
        <v>101</v>
      </c>
      <c r="D2" s="25">
        <v>32.490299999999998</v>
      </c>
      <c r="E2" s="7">
        <f>References!C11</f>
        <v>4.333333333333333</v>
      </c>
      <c r="F2" s="10">
        <f>D2*E2</f>
        <v>140.79129999999998</v>
      </c>
      <c r="G2" s="16">
        <f>References!C18</f>
        <v>34</v>
      </c>
      <c r="H2" s="8">
        <f>G2*F2</f>
        <v>4786.904199999999</v>
      </c>
      <c r="I2" s="28">
        <f t="shared" ref="I2:I13" si="0">H2*D$40</f>
        <v>4484.0530702286633</v>
      </c>
      <c r="J2" s="12">
        <f>I2*References!D$61</f>
        <v>14.192027967273662</v>
      </c>
      <c r="K2" s="12">
        <f>J2/References!H$64</f>
        <v>14.520184128579558</v>
      </c>
      <c r="L2" s="12">
        <f>K2/F2*E2+0.02</f>
        <v>0.46690828119714378</v>
      </c>
      <c r="M2" s="110">
        <v>20.68</v>
      </c>
      <c r="N2" s="93">
        <f>M2+L2</f>
        <v>21.146908281197142</v>
      </c>
      <c r="O2" s="12">
        <f>M2*D2</f>
        <v>671.89940399999989</v>
      </c>
      <c r="P2" s="12">
        <f>N2*D2</f>
        <v>687.06939412857946</v>
      </c>
      <c r="Q2" s="12">
        <f>P2-O2</f>
        <v>15.16999012857957</v>
      </c>
    </row>
    <row r="3" spans="1:18" x14ac:dyDescent="0.3">
      <c r="A3" s="126"/>
      <c r="B3" s="94">
        <v>22</v>
      </c>
      <c r="C3" t="s">
        <v>102</v>
      </c>
      <c r="D3" s="25">
        <v>56.137</v>
      </c>
      <c r="E3" s="7">
        <f>References!C11</f>
        <v>4.333333333333333</v>
      </c>
      <c r="F3" s="10">
        <f t="shared" ref="F3:F13" si="1">D3*E3</f>
        <v>243.26033333333331</v>
      </c>
      <c r="G3" s="16">
        <f>References!C19</f>
        <v>51</v>
      </c>
      <c r="H3" s="8">
        <f t="shared" ref="H3:H13" si="2">G3*F3</f>
        <v>12406.276999999998</v>
      </c>
      <c r="I3" s="28">
        <f t="shared" si="0"/>
        <v>11621.374096426925</v>
      </c>
      <c r="J3" s="12">
        <f>I3*References!D$61</f>
        <v>36.781649015191071</v>
      </c>
      <c r="K3" s="12">
        <f>J3/References!H$64</f>
        <v>37.63213527234609</v>
      </c>
      <c r="L3" s="12">
        <f t="shared" ref="L3:L13" si="3">K3/F3*E3+0.02</f>
        <v>0.69036242179571561</v>
      </c>
      <c r="M3" s="110">
        <v>30.36</v>
      </c>
      <c r="N3" s="93">
        <f t="shared" ref="N3:N13" si="4">M3+L3</f>
        <v>31.050362421795715</v>
      </c>
      <c r="O3" s="12">
        <f t="shared" ref="O3:O13" si="5">M3*D3</f>
        <v>1704.3193200000001</v>
      </c>
      <c r="P3" s="12">
        <f t="shared" ref="P3:P13" si="6">N3*D3</f>
        <v>1743.0741952723461</v>
      </c>
      <c r="Q3" s="12">
        <f t="shared" ref="Q3:Q13" si="7">P3-O3</f>
        <v>38.754875272345998</v>
      </c>
    </row>
    <row r="4" spans="1:18" x14ac:dyDescent="0.3">
      <c r="A4" s="126"/>
      <c r="B4" s="94">
        <v>22</v>
      </c>
      <c r="C4" t="s">
        <v>103</v>
      </c>
      <c r="D4" s="25">
        <v>93.2042</v>
      </c>
      <c r="E4" s="7">
        <f>References!C12</f>
        <v>2.1666666666666665</v>
      </c>
      <c r="F4" s="10">
        <f t="shared" si="1"/>
        <v>201.94243333333333</v>
      </c>
      <c r="G4" s="16">
        <f>References!C18</f>
        <v>34</v>
      </c>
      <c r="H4" s="8">
        <f t="shared" si="2"/>
        <v>6866.0427333333328</v>
      </c>
      <c r="I4" s="28">
        <f t="shared" si="0"/>
        <v>6431.6515878309283</v>
      </c>
      <c r="J4" s="12">
        <f>I4*References!D$61</f>
        <v>20.356177275484807</v>
      </c>
      <c r="K4" s="12">
        <f>J4/References!H$64</f>
        <v>20.826864411177414</v>
      </c>
      <c r="L4" s="12">
        <f t="shared" si="3"/>
        <v>0.2434541405985719</v>
      </c>
      <c r="M4" s="110">
        <v>11.85</v>
      </c>
      <c r="N4" s="93">
        <f t="shared" si="4"/>
        <v>12.093454140598572</v>
      </c>
      <c r="O4" s="12">
        <f t="shared" si="5"/>
        <v>1104.4697699999999</v>
      </c>
      <c r="P4" s="12">
        <f t="shared" si="6"/>
        <v>1127.1607184111774</v>
      </c>
      <c r="Q4" s="12">
        <f t="shared" si="7"/>
        <v>22.690948411177487</v>
      </c>
    </row>
    <row r="5" spans="1:18" x14ac:dyDescent="0.3">
      <c r="A5" s="126"/>
      <c r="B5" s="94">
        <v>22</v>
      </c>
      <c r="C5" t="s">
        <v>104</v>
      </c>
      <c r="D5" s="25">
        <v>1</v>
      </c>
      <c r="E5" s="7">
        <f>References!C12</f>
        <v>2.1666666666666665</v>
      </c>
      <c r="F5" s="10">
        <f t="shared" si="1"/>
        <v>2.1666666666666665</v>
      </c>
      <c r="G5" s="16">
        <f>References!C19</f>
        <v>51</v>
      </c>
      <c r="H5" s="8">
        <f t="shared" si="2"/>
        <v>110.49999999999999</v>
      </c>
      <c r="I5" s="28">
        <f t="shared" si="0"/>
        <v>103.50904124220145</v>
      </c>
      <c r="J5" s="12">
        <f>I5*References!D$61</f>
        <v>0.32760611553156627</v>
      </c>
      <c r="K5" s="12">
        <f>J5/References!H$64</f>
        <v>0.33518121089785785</v>
      </c>
      <c r="L5" s="12">
        <f t="shared" si="3"/>
        <v>0.35518121089785792</v>
      </c>
      <c r="M5" s="110">
        <v>20.14</v>
      </c>
      <c r="N5" s="93">
        <f t="shared" si="4"/>
        <v>20.495181210897858</v>
      </c>
      <c r="O5" s="12">
        <f t="shared" si="5"/>
        <v>20.14</v>
      </c>
      <c r="P5" s="12">
        <f t="shared" si="6"/>
        <v>20.495181210897858</v>
      </c>
      <c r="Q5" s="12">
        <f t="shared" si="7"/>
        <v>0.35518121089785737</v>
      </c>
    </row>
    <row r="6" spans="1:18" x14ac:dyDescent="0.3">
      <c r="A6" s="126"/>
      <c r="B6" s="94">
        <v>22</v>
      </c>
      <c r="C6" t="s">
        <v>105</v>
      </c>
      <c r="D6" s="25">
        <v>145.6781</v>
      </c>
      <c r="E6" s="7">
        <f>References!C13</f>
        <v>1</v>
      </c>
      <c r="F6" s="10">
        <f t="shared" si="1"/>
        <v>145.6781</v>
      </c>
      <c r="G6" s="16">
        <f>References!C18</f>
        <v>34</v>
      </c>
      <c r="H6" s="8">
        <f t="shared" si="2"/>
        <v>4953.0554000000002</v>
      </c>
      <c r="I6" s="28">
        <f t="shared" si="0"/>
        <v>4639.6924495340154</v>
      </c>
      <c r="J6" s="12">
        <f>I6*References!D$61</f>
        <v>14.684626602775099</v>
      </c>
      <c r="K6" s="12">
        <f>J6/References!H$64</f>
        <v>15.024172910553609</v>
      </c>
      <c r="L6" s="12">
        <f t="shared" si="3"/>
        <v>0.12313268027626396</v>
      </c>
      <c r="M6" s="110">
        <v>7.27</v>
      </c>
      <c r="N6" s="93">
        <f t="shared" si="4"/>
        <v>7.3931326802762634</v>
      </c>
      <c r="O6" s="12">
        <f t="shared" si="5"/>
        <v>1059.0797869999999</v>
      </c>
      <c r="P6" s="12">
        <f t="shared" si="6"/>
        <v>1077.0175219105536</v>
      </c>
      <c r="Q6" s="12">
        <f t="shared" si="7"/>
        <v>17.937734910553672</v>
      </c>
    </row>
    <row r="7" spans="1:18" x14ac:dyDescent="0.3">
      <c r="A7" s="126"/>
      <c r="B7" s="94">
        <v>22</v>
      </c>
      <c r="C7" t="s">
        <v>106</v>
      </c>
      <c r="D7" s="25">
        <v>1</v>
      </c>
      <c r="E7" s="7">
        <f>References!C11</f>
        <v>4.333333333333333</v>
      </c>
      <c r="F7" s="10">
        <f t="shared" si="1"/>
        <v>4.333333333333333</v>
      </c>
      <c r="G7" s="16">
        <f>References!C17</f>
        <v>20</v>
      </c>
      <c r="H7" s="8">
        <f t="shared" si="2"/>
        <v>86.666666666666657</v>
      </c>
      <c r="I7" s="28">
        <f t="shared" si="0"/>
        <v>81.183561758589377</v>
      </c>
      <c r="J7" s="12">
        <f>I7*References!D$61</f>
        <v>0.25694597296593435</v>
      </c>
      <c r="K7" s="12">
        <f>J7/References!H$64</f>
        <v>0.26288722423361399</v>
      </c>
      <c r="L7" s="12">
        <f t="shared" si="3"/>
        <v>0.28288722423361401</v>
      </c>
      <c r="M7" s="110">
        <v>5.95</v>
      </c>
      <c r="N7" s="93">
        <f t="shared" si="4"/>
        <v>6.2328872242336146</v>
      </c>
      <c r="O7" s="12">
        <f t="shared" si="5"/>
        <v>5.95</v>
      </c>
      <c r="P7" s="12">
        <f t="shared" si="6"/>
        <v>6.2328872242336146</v>
      </c>
      <c r="Q7" s="12">
        <f t="shared" si="7"/>
        <v>0.28288722423361445</v>
      </c>
    </row>
    <row r="8" spans="1:18" x14ac:dyDescent="0.3">
      <c r="A8" s="126"/>
      <c r="B8" s="94">
        <v>22</v>
      </c>
      <c r="C8" t="s">
        <v>107</v>
      </c>
      <c r="D8" s="25">
        <v>11668.201300000001</v>
      </c>
      <c r="E8" s="7">
        <f>References!C11</f>
        <v>4.333333333333333</v>
      </c>
      <c r="F8" s="10">
        <f t="shared" si="1"/>
        <v>50562.205633333331</v>
      </c>
      <c r="G8" s="16">
        <f>References!C25</f>
        <v>47</v>
      </c>
      <c r="H8" s="8">
        <f t="shared" si="2"/>
        <v>2376423.6647666665</v>
      </c>
      <c r="I8" s="28">
        <f t="shared" si="0"/>
        <v>2226075.4309979766</v>
      </c>
      <c r="J8" s="12">
        <f>I8*References!D$61</f>
        <v>7045.5287391085676</v>
      </c>
      <c r="K8" s="12">
        <f>J8/References!H$64</f>
        <v>7208.4394711567093</v>
      </c>
      <c r="L8" s="12">
        <f t="shared" si="3"/>
        <v>0.63778497694899294</v>
      </c>
      <c r="M8" s="110">
        <v>29.7</v>
      </c>
      <c r="N8" s="93">
        <f t="shared" si="4"/>
        <v>30.337784976948992</v>
      </c>
      <c r="O8" s="12">
        <f t="shared" si="5"/>
        <v>346545.57861000003</v>
      </c>
      <c r="P8" s="12">
        <f t="shared" si="6"/>
        <v>353987.38210715674</v>
      </c>
      <c r="Q8" s="12">
        <f t="shared" si="7"/>
        <v>7441.8034971567104</v>
      </c>
    </row>
    <row r="9" spans="1:18" x14ac:dyDescent="0.3">
      <c r="A9" s="126"/>
      <c r="B9" s="94">
        <v>22</v>
      </c>
      <c r="C9" t="s">
        <v>108</v>
      </c>
      <c r="D9" s="25">
        <v>830.59820000000002</v>
      </c>
      <c r="E9" s="7">
        <f>References!C11</f>
        <v>4.333333333333333</v>
      </c>
      <c r="F9" s="10">
        <f t="shared" si="1"/>
        <v>3599.2588666666666</v>
      </c>
      <c r="G9" s="16">
        <f>References!C25</f>
        <v>47</v>
      </c>
      <c r="H9" s="8">
        <f t="shared" si="2"/>
        <v>169165.16673333332</v>
      </c>
      <c r="I9" s="28">
        <f t="shared" si="0"/>
        <v>158462.66262574194</v>
      </c>
      <c r="J9" s="12">
        <f>I9*References!D$61</f>
        <v>501.53432721047125</v>
      </c>
      <c r="K9" s="12">
        <f>J9/References!H$64</f>
        <v>513.13108984087501</v>
      </c>
      <c r="L9" s="12">
        <f t="shared" si="3"/>
        <v>0.63778497694899294</v>
      </c>
      <c r="M9" s="110">
        <v>55.33</v>
      </c>
      <c r="N9" s="93">
        <f t="shared" si="4"/>
        <v>55.967784976948991</v>
      </c>
      <c r="O9" s="12">
        <f t="shared" si="5"/>
        <v>45956.998405999999</v>
      </c>
      <c r="P9" s="12">
        <f t="shared" si="6"/>
        <v>46486.741459840872</v>
      </c>
      <c r="Q9" s="12">
        <f t="shared" si="7"/>
        <v>529.74305384087347</v>
      </c>
    </row>
    <row r="10" spans="1:18" x14ac:dyDescent="0.3">
      <c r="A10" s="126"/>
      <c r="B10" s="94">
        <v>22</v>
      </c>
      <c r="C10" t="s">
        <v>109</v>
      </c>
      <c r="D10" s="25">
        <v>13000.8477</v>
      </c>
      <c r="E10" s="7">
        <f>References!C12</f>
        <v>2.1666666666666665</v>
      </c>
      <c r="F10" s="10">
        <f t="shared" si="1"/>
        <v>28168.503349999999</v>
      </c>
      <c r="G10" s="16">
        <f>References!C25</f>
        <v>47</v>
      </c>
      <c r="H10" s="8">
        <f t="shared" si="2"/>
        <v>1323919.6574500001</v>
      </c>
      <c r="I10" s="28">
        <f t="shared" si="0"/>
        <v>1240159.7685461836</v>
      </c>
      <c r="J10" s="12">
        <f>I10*References!D$61</f>
        <v>3925.1056674486554</v>
      </c>
      <c r="K10" s="12">
        <f>J10/References!H$64</f>
        <v>4015.8641983309344</v>
      </c>
      <c r="L10" s="12">
        <f t="shared" si="3"/>
        <v>0.32889248847449654</v>
      </c>
      <c r="M10" s="110">
        <v>18.850000000000001</v>
      </c>
      <c r="N10" s="93">
        <f t="shared" si="4"/>
        <v>19.178892488474499</v>
      </c>
      <c r="O10" s="12">
        <f t="shared" si="5"/>
        <v>245065.97914500002</v>
      </c>
      <c r="P10" s="12">
        <f t="shared" si="6"/>
        <v>249341.86029733098</v>
      </c>
      <c r="Q10" s="12">
        <f t="shared" si="7"/>
        <v>4275.881152330956</v>
      </c>
    </row>
    <row r="11" spans="1:18" x14ac:dyDescent="0.3">
      <c r="A11" s="126"/>
      <c r="B11" s="94">
        <v>22</v>
      </c>
      <c r="C11" t="s">
        <v>110</v>
      </c>
      <c r="D11" s="25">
        <v>5317.6268</v>
      </c>
      <c r="E11" s="7">
        <f>References!C13</f>
        <v>1</v>
      </c>
      <c r="F11" s="10">
        <f t="shared" si="1"/>
        <v>5317.6268</v>
      </c>
      <c r="G11" s="16">
        <f>References!C25</f>
        <v>47</v>
      </c>
      <c r="H11" s="8">
        <f t="shared" si="2"/>
        <v>249928.4596</v>
      </c>
      <c r="I11" s="28">
        <f t="shared" si="0"/>
        <v>234116.33694421974</v>
      </c>
      <c r="J11" s="12">
        <f>I11*References!D$61</f>
        <v>740.97820642845249</v>
      </c>
      <c r="K11" s="12">
        <f>J11/References!H$64</f>
        <v>758.11152693723398</v>
      </c>
      <c r="L11" s="12">
        <f t="shared" si="3"/>
        <v>0.16256576391130606</v>
      </c>
      <c r="M11" s="110">
        <v>11.12</v>
      </c>
      <c r="N11" s="93">
        <f t="shared" si="4"/>
        <v>11.282565763911306</v>
      </c>
      <c r="O11" s="12">
        <f t="shared" si="5"/>
        <v>59132.010015999993</v>
      </c>
      <c r="P11" s="12">
        <f t="shared" si="6"/>
        <v>59996.47407893723</v>
      </c>
      <c r="Q11" s="12">
        <f t="shared" si="7"/>
        <v>864.46406293723703</v>
      </c>
    </row>
    <row r="12" spans="1:18" x14ac:dyDescent="0.3">
      <c r="A12" s="126"/>
      <c r="B12" s="94">
        <v>23</v>
      </c>
      <c r="C12" t="s">
        <v>111</v>
      </c>
      <c r="D12" s="25">
        <v>3204.3353999999999</v>
      </c>
      <c r="E12" s="7">
        <f>References!C13</f>
        <v>1</v>
      </c>
      <c r="F12" s="10">
        <f t="shared" si="1"/>
        <v>3204.3353999999999</v>
      </c>
      <c r="G12" s="16">
        <f>References!C25</f>
        <v>47</v>
      </c>
      <c r="H12" s="8">
        <f t="shared" si="2"/>
        <v>150603.76379999999</v>
      </c>
      <c r="I12" s="28">
        <f t="shared" si="0"/>
        <v>141075.57645615353</v>
      </c>
      <c r="J12" s="12">
        <f>I12*References!D$61</f>
        <v>446.50419948372411</v>
      </c>
      <c r="K12" s="12">
        <f>J12/References!H$64</f>
        <v>456.82852412904037</v>
      </c>
      <c r="L12" s="12">
        <f t="shared" si="3"/>
        <v>0.16256576391130603</v>
      </c>
      <c r="M12" s="110">
        <v>9.57</v>
      </c>
      <c r="N12" s="93">
        <f t="shared" si="4"/>
        <v>9.7325657639113068</v>
      </c>
      <c r="O12" s="12">
        <f t="shared" si="5"/>
        <v>30665.489777999999</v>
      </c>
      <c r="P12" s="12">
        <f t="shared" si="6"/>
        <v>31186.405010129041</v>
      </c>
      <c r="Q12" s="12">
        <f t="shared" si="7"/>
        <v>520.91523212904212</v>
      </c>
    </row>
    <row r="13" spans="1:18" x14ac:dyDescent="0.3">
      <c r="A13" s="126"/>
      <c r="B13" s="94">
        <v>23</v>
      </c>
      <c r="C13" t="s">
        <v>112</v>
      </c>
      <c r="D13" s="25">
        <v>13.7849</v>
      </c>
      <c r="E13" s="7">
        <f>References!C13</f>
        <v>1</v>
      </c>
      <c r="F13" s="10">
        <f t="shared" si="1"/>
        <v>13.7849</v>
      </c>
      <c r="G13" s="16">
        <f>References!C18</f>
        <v>34</v>
      </c>
      <c r="H13" s="8">
        <f t="shared" si="2"/>
        <v>468.6866</v>
      </c>
      <c r="I13" s="28">
        <f t="shared" si="0"/>
        <v>439.03439465219168</v>
      </c>
      <c r="J13" s="12">
        <f>I13*References!D$61</f>
        <v>1.3895438590741811</v>
      </c>
      <c r="K13" s="12">
        <f>J13/References!H$64</f>
        <v>1.4216736843402711</v>
      </c>
      <c r="L13" s="12">
        <f t="shared" si="3"/>
        <v>0.12313268027626396</v>
      </c>
      <c r="M13" s="110">
        <v>7.16</v>
      </c>
      <c r="N13" s="93">
        <f t="shared" si="4"/>
        <v>7.2831326802762639</v>
      </c>
      <c r="O13" s="12">
        <f t="shared" si="5"/>
        <v>98.699884000000011</v>
      </c>
      <c r="P13" s="12">
        <f t="shared" si="6"/>
        <v>100.39725568434028</v>
      </c>
      <c r="Q13" s="12">
        <f t="shared" si="7"/>
        <v>1.6973716843402684</v>
      </c>
    </row>
    <row r="14" spans="1:18" x14ac:dyDescent="0.3">
      <c r="B14" s="55"/>
      <c r="C14" s="51" t="s">
        <v>80</v>
      </c>
      <c r="D14" s="46">
        <f>SUM(D2:D13)</f>
        <v>34364.903900000005</v>
      </c>
      <c r="E14" s="47"/>
      <c r="F14" s="48">
        <f>SUM(F2:F13)</f>
        <v>91603.88711666665</v>
      </c>
      <c r="G14" s="49"/>
      <c r="H14" s="50">
        <f>SUM(H2:H13)</f>
        <v>4299718.8449499998</v>
      </c>
      <c r="I14" s="53">
        <f>SUM(I2:I13)</f>
        <v>4027690.2737719486</v>
      </c>
      <c r="J14" s="52">
        <f>SUM(J2:J13)</f>
        <v>12747.639716488166</v>
      </c>
      <c r="K14" s="52">
        <f>SUM(K2:K13)</f>
        <v>13042.397909236923</v>
      </c>
      <c r="L14" s="51"/>
      <c r="M14" s="51"/>
      <c r="N14" s="52"/>
      <c r="O14" s="54">
        <f>SUM(O2:O13)</f>
        <v>732030.61412000004</v>
      </c>
      <c r="P14" s="52">
        <f>SUM(P2:P13)</f>
        <v>745760.31010723696</v>
      </c>
      <c r="Q14" s="52">
        <f>SUM(Q2:Q13)</f>
        <v>13729.695987236948</v>
      </c>
    </row>
    <row r="15" spans="1:18" x14ac:dyDescent="0.3">
      <c r="B15" s="97"/>
      <c r="C15" s="96"/>
      <c r="D15" s="17"/>
      <c r="E15" s="18"/>
      <c r="F15" s="19"/>
      <c r="G15" s="20"/>
      <c r="H15" s="21"/>
      <c r="I15" s="22"/>
      <c r="J15" s="23"/>
      <c r="K15" s="23"/>
      <c r="L15" s="22"/>
      <c r="M15" s="22"/>
      <c r="N15" s="24"/>
      <c r="O15" s="22"/>
      <c r="P15" s="22"/>
      <c r="Q15" s="22"/>
    </row>
    <row r="16" spans="1:18" ht="13.5" customHeight="1" x14ac:dyDescent="0.3">
      <c r="B16" s="95">
        <v>33</v>
      </c>
      <c r="C16" t="s">
        <v>45</v>
      </c>
      <c r="D16" s="91">
        <v>1.9633</v>
      </c>
      <c r="E16" s="27">
        <f>References!C30</f>
        <v>29</v>
      </c>
      <c r="F16" s="10">
        <f>D16*E16</f>
        <v>56.935700000000004</v>
      </c>
      <c r="G16" s="15">
        <f>1</f>
        <v>1</v>
      </c>
      <c r="H16" s="8">
        <f>G16*F16</f>
        <v>56.935700000000004</v>
      </c>
      <c r="I16" s="28">
        <f>H16*D$40</f>
        <v>53.333572121752127</v>
      </c>
      <c r="J16" s="12">
        <f>I16*References!D$61</f>
        <v>0.16880075576534481</v>
      </c>
      <c r="K16" s="12">
        <f>J16*References!H$64</f>
        <v>0.16498585868504803</v>
      </c>
      <c r="L16" s="11">
        <f>K16/F16*E16+0.02</f>
        <v>0.10403497106150258</v>
      </c>
      <c r="M16" s="92">
        <v>4.91</v>
      </c>
      <c r="N16" s="93">
        <f>M16+L16</f>
        <v>5.0140349710615029</v>
      </c>
      <c r="O16" s="12">
        <f>M16*D16</f>
        <v>9.6398030000000006</v>
      </c>
      <c r="P16" s="12">
        <f>N16*D16</f>
        <v>9.8440548586850483</v>
      </c>
      <c r="Q16" s="12">
        <f>P16-O16</f>
        <v>0.20425185868504769</v>
      </c>
    </row>
    <row r="17" spans="2:17" x14ac:dyDescent="0.3">
      <c r="B17" s="94">
        <v>32</v>
      </c>
      <c r="C17" t="s">
        <v>113</v>
      </c>
      <c r="D17" s="26">
        <v>1103.7945999999999</v>
      </c>
      <c r="E17" s="27">
        <f>References!C19</f>
        <v>51</v>
      </c>
      <c r="F17" s="10">
        <f t="shared" ref="F17:F33" si="8">D17*E17</f>
        <v>56293.524599999997</v>
      </c>
      <c r="G17" s="15">
        <f>1</f>
        <v>1</v>
      </c>
      <c r="H17" s="8">
        <f t="shared" ref="H17:H29" si="9">G17*F17</f>
        <v>56293.524599999997</v>
      </c>
      <c r="I17" s="28">
        <f t="shared" ref="I17:I29" si="10">H17*D$40</f>
        <v>52732.024972762738</v>
      </c>
      <c r="J17" s="12">
        <f>I17*References!D$61</f>
        <v>166.89685903879339</v>
      </c>
      <c r="K17" s="12">
        <f>J17*References!H$64</f>
        <v>163.12499002451668</v>
      </c>
      <c r="L17" s="11">
        <f t="shared" ref="L17:L29" si="11">K17/F17*E17+0.02</f>
        <v>0.16778563876333211</v>
      </c>
      <c r="M17" s="92">
        <v>9.1999999999999993</v>
      </c>
      <c r="N17" s="93">
        <f t="shared" ref="N17:N33" si="12">M17+L17</f>
        <v>9.3677856387633316</v>
      </c>
      <c r="O17" s="12">
        <f t="shared" ref="O17:O32" si="13">M17*D17</f>
        <v>10154.910319999999</v>
      </c>
      <c r="P17" s="12">
        <f t="shared" ref="P17:P33" si="14">N17*D17</f>
        <v>10340.111202024516</v>
      </c>
      <c r="Q17" s="12">
        <f t="shared" ref="Q17:Q33" si="15">P17-O17</f>
        <v>185.20088202451734</v>
      </c>
    </row>
    <row r="18" spans="2:17" x14ac:dyDescent="0.3">
      <c r="B18" s="94"/>
      <c r="C18" t="s">
        <v>114</v>
      </c>
      <c r="D18" s="26">
        <v>643.58450000000005</v>
      </c>
      <c r="E18" s="27">
        <f>References!C30</f>
        <v>29</v>
      </c>
      <c r="F18" s="10">
        <f t="shared" si="8"/>
        <v>18663.950500000003</v>
      </c>
      <c r="G18" s="15">
        <f>1</f>
        <v>1</v>
      </c>
      <c r="H18" s="8">
        <f t="shared" si="9"/>
        <v>18663.950500000003</v>
      </c>
      <c r="I18" s="28">
        <f t="shared" si="10"/>
        <v>17483.145900876985</v>
      </c>
      <c r="J18" s="12">
        <f>I18*References!D$61</f>
        <v>55.334156776275435</v>
      </c>
      <c r="K18" s="12">
        <f>J18*References!H$64</f>
        <v>54.083604833131616</v>
      </c>
      <c r="L18" s="11">
        <f t="shared" si="11"/>
        <v>0.10403497106150258</v>
      </c>
      <c r="M18" s="92">
        <v>4.91</v>
      </c>
      <c r="N18" s="93">
        <f t="shared" si="12"/>
        <v>5.0140349710615029</v>
      </c>
      <c r="O18" s="12">
        <f t="shared" si="13"/>
        <v>3159.9998950000004</v>
      </c>
      <c r="P18" s="12">
        <f t="shared" si="14"/>
        <v>3226.955189833132</v>
      </c>
      <c r="Q18" s="12">
        <f t="shared" si="15"/>
        <v>66.955294833131575</v>
      </c>
    </row>
    <row r="19" spans="2:17" x14ac:dyDescent="0.3">
      <c r="B19" s="94">
        <v>32</v>
      </c>
      <c r="C19" t="s">
        <v>115</v>
      </c>
      <c r="D19" s="26">
        <v>4711.0140000000001</v>
      </c>
      <c r="E19" s="27">
        <f>References!C32</f>
        <v>175</v>
      </c>
      <c r="F19" s="10">
        <f t="shared" si="8"/>
        <v>824427.45000000007</v>
      </c>
      <c r="G19" s="15">
        <f>1</f>
        <v>1</v>
      </c>
      <c r="H19" s="8">
        <f t="shared" si="9"/>
        <v>824427.45000000007</v>
      </c>
      <c r="I19" s="28">
        <f t="shared" si="10"/>
        <v>772268.73233713116</v>
      </c>
      <c r="J19" s="12">
        <f>I19*References!D$61</f>
        <v>2444.2305378470105</v>
      </c>
      <c r="K19" s="12">
        <f>J19*References!H$64</f>
        <v>2388.9909276916683</v>
      </c>
      <c r="L19" s="11">
        <f t="shared" si="11"/>
        <v>0.527107583991826</v>
      </c>
      <c r="M19" s="92">
        <v>25.05</v>
      </c>
      <c r="N19" s="93">
        <f t="shared" si="12"/>
        <v>25.577107583991825</v>
      </c>
      <c r="O19" s="12">
        <f t="shared" si="13"/>
        <v>118010.90070000001</v>
      </c>
      <c r="P19" s="12">
        <f t="shared" si="14"/>
        <v>120494.11190769167</v>
      </c>
      <c r="Q19" s="12">
        <f t="shared" si="15"/>
        <v>2483.2112076916528</v>
      </c>
    </row>
    <row r="20" spans="2:17" x14ac:dyDescent="0.3">
      <c r="B20" s="94">
        <v>32</v>
      </c>
      <c r="C20" t="s">
        <v>131</v>
      </c>
      <c r="D20" s="26">
        <v>120.11109999999999</v>
      </c>
      <c r="E20" s="27">
        <f>References!C32</f>
        <v>175</v>
      </c>
      <c r="F20" s="10">
        <f t="shared" si="8"/>
        <v>21019.442499999997</v>
      </c>
      <c r="G20" s="15">
        <f>1</f>
        <v>1</v>
      </c>
      <c r="H20" s="8">
        <f t="shared" si="9"/>
        <v>21019.442499999997</v>
      </c>
      <c r="I20" s="28">
        <f t="shared" si="10"/>
        <v>19689.613942267712</v>
      </c>
      <c r="J20" s="12">
        <f>I20*References!D$61</f>
        <v>62.317628127277054</v>
      </c>
      <c r="K20" s="12">
        <f>J20*References!H$64</f>
        <v>60.909249731600596</v>
      </c>
      <c r="L20" s="11">
        <f t="shared" si="11"/>
        <v>0.52710758399182589</v>
      </c>
      <c r="M20" s="92">
        <v>27</v>
      </c>
      <c r="N20" s="93">
        <f t="shared" si="12"/>
        <v>27.527107583991825</v>
      </c>
      <c r="O20" s="12">
        <f t="shared" si="13"/>
        <v>3242.9996999999998</v>
      </c>
      <c r="P20" s="12">
        <f t="shared" si="14"/>
        <v>3306.3111717316001</v>
      </c>
      <c r="Q20" s="12">
        <f t="shared" si="15"/>
        <v>63.31147173160025</v>
      </c>
    </row>
    <row r="21" spans="2:17" x14ac:dyDescent="0.3">
      <c r="B21" s="94" t="s">
        <v>134</v>
      </c>
      <c r="C21" t="s">
        <v>116</v>
      </c>
      <c r="D21" s="26">
        <v>1</v>
      </c>
      <c r="E21" s="27">
        <v>482</v>
      </c>
      <c r="F21" s="10">
        <f t="shared" si="8"/>
        <v>482</v>
      </c>
      <c r="G21" s="15">
        <f>1</f>
        <v>1</v>
      </c>
      <c r="H21" s="8">
        <f t="shared" si="9"/>
        <v>482</v>
      </c>
      <c r="I21" s="28">
        <f t="shared" si="10"/>
        <v>451.50550116507787</v>
      </c>
      <c r="J21" s="12">
        <f>I21*References!D$61</f>
        <v>1.4290149111874657</v>
      </c>
      <c r="K21" s="12">
        <f>J21*References!H$64</f>
        <v>1.396719174194629</v>
      </c>
      <c r="L21" s="11">
        <f t="shared" si="11"/>
        <v>1.416719174194629</v>
      </c>
      <c r="M21" s="92">
        <v>39.880000000000003</v>
      </c>
      <c r="N21" s="93">
        <f t="shared" si="12"/>
        <v>41.296719174194635</v>
      </c>
      <c r="O21" s="12">
        <f t="shared" si="13"/>
        <v>39.880000000000003</v>
      </c>
      <c r="P21" s="12">
        <f t="shared" si="14"/>
        <v>41.296719174194635</v>
      </c>
      <c r="Q21" s="12">
        <f t="shared" si="15"/>
        <v>1.4167191741946326</v>
      </c>
    </row>
    <row r="22" spans="2:17" x14ac:dyDescent="0.3">
      <c r="B22" s="94">
        <v>32</v>
      </c>
      <c r="C22" t="s">
        <v>117</v>
      </c>
      <c r="D22" s="26">
        <v>1650.1569</v>
      </c>
      <c r="E22" s="27">
        <f>References!C33</f>
        <v>250</v>
      </c>
      <c r="F22" s="10">
        <f t="shared" si="8"/>
        <v>412539.22499999998</v>
      </c>
      <c r="G22" s="15">
        <f>1</f>
        <v>1</v>
      </c>
      <c r="H22" s="8">
        <f t="shared" si="9"/>
        <v>412539.22499999998</v>
      </c>
      <c r="I22" s="28">
        <f t="shared" si="10"/>
        <v>386439.27289186267</v>
      </c>
      <c r="J22" s="12">
        <f>I22*References!D$61</f>
        <v>1223.0802987027405</v>
      </c>
      <c r="K22" s="12">
        <f>J22*References!H$64</f>
        <v>1195.4386839520587</v>
      </c>
      <c r="L22" s="11">
        <f t="shared" si="11"/>
        <v>0.74443940570260847</v>
      </c>
      <c r="M22" s="92">
        <v>33.07</v>
      </c>
      <c r="N22" s="93">
        <f t="shared" si="12"/>
        <v>33.814439405702608</v>
      </c>
      <c r="O22" s="12">
        <f t="shared" si="13"/>
        <v>54570.688683</v>
      </c>
      <c r="P22" s="12">
        <f t="shared" si="14"/>
        <v>55799.130504952052</v>
      </c>
      <c r="Q22" s="12">
        <f t="shared" si="15"/>
        <v>1228.4418219520521</v>
      </c>
    </row>
    <row r="23" spans="2:17" x14ac:dyDescent="0.3">
      <c r="B23" s="113">
        <v>33</v>
      </c>
      <c r="C23" t="s">
        <v>118</v>
      </c>
      <c r="D23" s="26">
        <v>15.4693</v>
      </c>
      <c r="E23" s="27">
        <f>References!C33</f>
        <v>250</v>
      </c>
      <c r="F23" s="10">
        <f t="shared" si="8"/>
        <v>3867.3250000000003</v>
      </c>
      <c r="G23" s="15">
        <f>1</f>
        <v>1</v>
      </c>
      <c r="H23" s="8">
        <f t="shared" si="9"/>
        <v>3867.3250000000003</v>
      </c>
      <c r="I23" s="28">
        <f t="shared" si="10"/>
        <v>3622.6525151311926</v>
      </c>
      <c r="J23" s="12">
        <f>I23*References!D$61</f>
        <v>11.465695210390178</v>
      </c>
      <c r="K23" s="12">
        <f>J23*References!H$64</f>
        <v>11.206570498635362</v>
      </c>
      <c r="L23" s="11">
        <f t="shared" si="11"/>
        <v>0.74443940570260847</v>
      </c>
      <c r="M23" s="112">
        <v>33.840000000000003</v>
      </c>
      <c r="N23" s="93">
        <f t="shared" si="12"/>
        <v>34.584439405702611</v>
      </c>
      <c r="O23" s="12">
        <f t="shared" si="13"/>
        <v>523.48111200000005</v>
      </c>
      <c r="P23" s="12">
        <f t="shared" si="14"/>
        <v>534.99706849863537</v>
      </c>
      <c r="Q23" s="12">
        <f t="shared" si="15"/>
        <v>11.515956498635319</v>
      </c>
    </row>
    <row r="24" spans="2:17" x14ac:dyDescent="0.3">
      <c r="B24" s="94">
        <v>32</v>
      </c>
      <c r="C24" t="s">
        <v>132</v>
      </c>
      <c r="D24" s="26">
        <v>1</v>
      </c>
      <c r="E24" s="27">
        <f>References!C33</f>
        <v>250</v>
      </c>
      <c r="F24" s="10">
        <f t="shared" si="8"/>
        <v>250</v>
      </c>
      <c r="G24" s="15">
        <f>1</f>
        <v>1</v>
      </c>
      <c r="H24" s="8">
        <f t="shared" si="9"/>
        <v>250</v>
      </c>
      <c r="I24" s="28">
        <f t="shared" si="10"/>
        <v>234.18335122670015</v>
      </c>
      <c r="J24" s="12">
        <f>I24*References!D$61</f>
        <v>0.74119030663250296</v>
      </c>
      <c r="K24" s="12">
        <f>J24*References!H$64</f>
        <v>0.72443940570260845</v>
      </c>
      <c r="L24" s="11">
        <f t="shared" si="11"/>
        <v>0.74443940570260847</v>
      </c>
      <c r="M24" s="92">
        <v>33.840000000000003</v>
      </c>
      <c r="N24" s="93">
        <f t="shared" si="12"/>
        <v>34.584439405702611</v>
      </c>
      <c r="O24" s="12">
        <f t="shared" si="13"/>
        <v>33.840000000000003</v>
      </c>
      <c r="P24" s="12">
        <f t="shared" si="14"/>
        <v>34.584439405702611</v>
      </c>
      <c r="Q24" s="12">
        <f t="shared" si="15"/>
        <v>0.74443940570260736</v>
      </c>
    </row>
    <row r="25" spans="2:17" x14ac:dyDescent="0.3">
      <c r="B25" s="94" t="s">
        <v>134</v>
      </c>
      <c r="C25" t="s">
        <v>119</v>
      </c>
      <c r="D25" s="26">
        <v>1</v>
      </c>
      <c r="E25" s="27">
        <v>689</v>
      </c>
      <c r="F25" s="10">
        <f t="shared" si="8"/>
        <v>689</v>
      </c>
      <c r="G25" s="15">
        <f>1</f>
        <v>1</v>
      </c>
      <c r="H25" s="8">
        <f t="shared" si="9"/>
        <v>689</v>
      </c>
      <c r="I25" s="28">
        <f t="shared" si="10"/>
        <v>645.40931598078555</v>
      </c>
      <c r="J25" s="12">
        <f>I25*References!D$61</f>
        <v>2.0427204850791782</v>
      </c>
      <c r="K25" s="12">
        <f>J25*References!H$64</f>
        <v>1.9965550021163889</v>
      </c>
      <c r="L25" s="11">
        <f t="shared" si="11"/>
        <v>2.0165550021163887</v>
      </c>
      <c r="M25" s="92">
        <v>54.47</v>
      </c>
      <c r="N25" s="93">
        <f t="shared" si="12"/>
        <v>56.48655500211639</v>
      </c>
      <c r="O25" s="12">
        <f t="shared" si="13"/>
        <v>54.47</v>
      </c>
      <c r="P25" s="12">
        <f t="shared" si="14"/>
        <v>56.48655500211639</v>
      </c>
      <c r="Q25" s="12">
        <f t="shared" si="15"/>
        <v>2.0165550021163909</v>
      </c>
    </row>
    <row r="26" spans="2:17" x14ac:dyDescent="0.3">
      <c r="B26" s="94">
        <v>32</v>
      </c>
      <c r="C26" t="s">
        <v>120</v>
      </c>
      <c r="D26" s="26">
        <v>8994.15</v>
      </c>
      <c r="E26" s="27">
        <f>References!C34</f>
        <v>324</v>
      </c>
      <c r="F26" s="10">
        <f t="shared" si="8"/>
        <v>2914104.6</v>
      </c>
      <c r="G26" s="15">
        <f>1</f>
        <v>1</v>
      </c>
      <c r="H26" s="8">
        <f t="shared" si="9"/>
        <v>2914104.6</v>
      </c>
      <c r="I26" s="28">
        <f t="shared" si="10"/>
        <v>2729739.12421257</v>
      </c>
      <c r="J26" s="12">
        <f>I26*References!D$61</f>
        <v>8639.6243281327497</v>
      </c>
      <c r="K26" s="12">
        <f>J26*References!H$64</f>
        <v>8444.3688183169506</v>
      </c>
      <c r="L26" s="11">
        <f t="shared" si="11"/>
        <v>0.95887346979058052</v>
      </c>
      <c r="M26" s="92">
        <v>40.659999999999997</v>
      </c>
      <c r="N26" s="93">
        <f t="shared" si="12"/>
        <v>41.618873469790579</v>
      </c>
      <c r="O26" s="12">
        <f t="shared" si="13"/>
        <v>365702.13899999997</v>
      </c>
      <c r="P26" s="12">
        <f t="shared" si="14"/>
        <v>374326.3908183169</v>
      </c>
      <c r="Q26" s="12">
        <f t="shared" si="15"/>
        <v>8624.2518183169304</v>
      </c>
    </row>
    <row r="27" spans="2:17" x14ac:dyDescent="0.3">
      <c r="B27" s="94">
        <v>32</v>
      </c>
      <c r="C27" t="s">
        <v>133</v>
      </c>
      <c r="D27" s="26">
        <v>1595.5969</v>
      </c>
      <c r="E27" s="27">
        <f>References!C34</f>
        <v>324</v>
      </c>
      <c r="F27" s="10">
        <f t="shared" si="8"/>
        <v>516973.39559999999</v>
      </c>
      <c r="G27" s="15">
        <f>1</f>
        <v>1</v>
      </c>
      <c r="H27" s="8">
        <f t="shared" si="9"/>
        <v>516973.39559999999</v>
      </c>
      <c r="I27" s="28">
        <f t="shared" si="10"/>
        <v>484266.2491066184</v>
      </c>
      <c r="J27" s="12">
        <f>I27*References!D$61</f>
        <v>1532.7026784224411</v>
      </c>
      <c r="K27" s="12">
        <f>J27*References!H$64</f>
        <v>1498.0635978900939</v>
      </c>
      <c r="L27" s="11">
        <f t="shared" si="11"/>
        <v>0.95887346979058052</v>
      </c>
      <c r="M27" s="92">
        <v>43.51</v>
      </c>
      <c r="N27" s="93">
        <f t="shared" si="12"/>
        <v>44.46887346979058</v>
      </c>
      <c r="O27" s="12">
        <f t="shared" si="13"/>
        <v>69424.421118999991</v>
      </c>
      <c r="P27" s="12">
        <f t="shared" si="14"/>
        <v>70954.396654890093</v>
      </c>
      <c r="Q27" s="12">
        <f t="shared" si="15"/>
        <v>1529.975535890102</v>
      </c>
    </row>
    <row r="28" spans="2:17" x14ac:dyDescent="0.3">
      <c r="B28" s="113">
        <v>33</v>
      </c>
      <c r="C28" t="s">
        <v>121</v>
      </c>
      <c r="D28" s="91">
        <v>22.983899999999998</v>
      </c>
      <c r="E28" s="27">
        <f>References!C34</f>
        <v>324</v>
      </c>
      <c r="F28" s="10">
        <f t="shared" si="8"/>
        <v>7446.7835999999998</v>
      </c>
      <c r="G28" s="15">
        <f>1</f>
        <v>1</v>
      </c>
      <c r="H28" s="8">
        <f t="shared" si="9"/>
        <v>7446.7835999999998</v>
      </c>
      <c r="I28" s="28">
        <f t="shared" si="10"/>
        <v>6975.650957232122</v>
      </c>
      <c r="J28" s="12">
        <f>I28*References!D$61</f>
        <v>22.077935279639576</v>
      </c>
      <c r="K28" s="12">
        <f>J28*References!H$64</f>
        <v>21.57897394231972</v>
      </c>
      <c r="L28" s="11">
        <f t="shared" si="11"/>
        <v>0.95887346979058041</v>
      </c>
      <c r="M28" s="112">
        <v>43.51</v>
      </c>
      <c r="N28" s="93">
        <f t="shared" si="12"/>
        <v>44.46887346979058</v>
      </c>
      <c r="O28" s="12">
        <f t="shared" si="13"/>
        <v>1000.0294889999999</v>
      </c>
      <c r="P28" s="12">
        <f t="shared" si="14"/>
        <v>1022.0681409423197</v>
      </c>
      <c r="Q28" s="12">
        <f t="shared" si="15"/>
        <v>22.038651942319802</v>
      </c>
    </row>
    <row r="29" spans="2:17" x14ac:dyDescent="0.3">
      <c r="B29" s="94" t="s">
        <v>134</v>
      </c>
      <c r="C29" t="s">
        <v>122</v>
      </c>
      <c r="D29" s="26">
        <v>1</v>
      </c>
      <c r="E29" s="27">
        <v>714</v>
      </c>
      <c r="F29" s="10">
        <f t="shared" si="8"/>
        <v>714</v>
      </c>
      <c r="G29" s="15">
        <f>1</f>
        <v>1</v>
      </c>
      <c r="H29" s="8">
        <f t="shared" si="9"/>
        <v>714</v>
      </c>
      <c r="I29" s="28">
        <f t="shared" si="10"/>
        <v>668.82765110345565</v>
      </c>
      <c r="J29" s="12">
        <f>I29*References!D$61</f>
        <v>2.1168395157424285</v>
      </c>
      <c r="K29" s="12">
        <f>J29*References!H$64</f>
        <v>2.0689989426866497</v>
      </c>
      <c r="L29" s="11">
        <f t="shared" si="11"/>
        <v>2.0889989426866498</v>
      </c>
      <c r="M29" s="92">
        <v>65.790000000000006</v>
      </c>
      <c r="N29" s="93">
        <f t="shared" si="12"/>
        <v>67.87899894268665</v>
      </c>
      <c r="O29" s="12">
        <f t="shared" si="13"/>
        <v>65.790000000000006</v>
      </c>
      <c r="P29" s="12">
        <f t="shared" si="14"/>
        <v>67.87899894268665</v>
      </c>
      <c r="Q29" s="12">
        <f t="shared" si="15"/>
        <v>2.0889989426866435</v>
      </c>
    </row>
    <row r="30" spans="2:17" ht="13.5" customHeight="1" x14ac:dyDescent="0.3">
      <c r="B30" s="94"/>
      <c r="C30" t="s">
        <v>123</v>
      </c>
      <c r="D30" s="26">
        <v>128.17391304347825</v>
      </c>
      <c r="E30" s="27"/>
      <c r="F30" s="10">
        <f t="shared" si="8"/>
        <v>0</v>
      </c>
      <c r="G30" s="15"/>
      <c r="H30" s="8"/>
      <c r="I30" s="28"/>
      <c r="J30" s="12"/>
      <c r="K30" s="12"/>
      <c r="L30" s="11"/>
      <c r="M30" s="92">
        <v>46</v>
      </c>
      <c r="N30" s="93">
        <f t="shared" si="12"/>
        <v>46</v>
      </c>
      <c r="O30" s="12">
        <f t="shared" si="13"/>
        <v>5896</v>
      </c>
      <c r="P30" s="12">
        <f t="shared" si="14"/>
        <v>5896</v>
      </c>
      <c r="Q30" s="12">
        <f t="shared" si="15"/>
        <v>0</v>
      </c>
    </row>
    <row r="31" spans="2:17" ht="13.5" customHeight="1" x14ac:dyDescent="0.3">
      <c r="B31" s="94"/>
      <c r="C31" t="s">
        <v>124</v>
      </c>
      <c r="D31" s="26">
        <v>905.28045486851465</v>
      </c>
      <c r="E31" s="27"/>
      <c r="F31" s="10">
        <f t="shared" si="8"/>
        <v>0</v>
      </c>
      <c r="G31" s="15"/>
      <c r="H31" s="8"/>
      <c r="I31" s="28"/>
      <c r="J31" s="12"/>
      <c r="K31" s="12"/>
      <c r="L31" s="11"/>
      <c r="M31" s="92">
        <v>140.69999999999999</v>
      </c>
      <c r="N31" s="93">
        <f t="shared" si="12"/>
        <v>140.69999999999999</v>
      </c>
      <c r="O31" s="12">
        <f t="shared" si="13"/>
        <v>127372.96</v>
      </c>
      <c r="P31" s="12">
        <f t="shared" si="14"/>
        <v>127372.96</v>
      </c>
      <c r="Q31" s="12">
        <f t="shared" si="15"/>
        <v>0</v>
      </c>
    </row>
    <row r="32" spans="2:17" ht="13.5" customHeight="1" x14ac:dyDescent="0.3">
      <c r="B32" s="94"/>
      <c r="C32" t="s">
        <v>125</v>
      </c>
      <c r="D32" s="26">
        <v>6587.5716666666667</v>
      </c>
      <c r="E32" s="27"/>
      <c r="F32" s="10">
        <f t="shared" si="8"/>
        <v>0</v>
      </c>
      <c r="G32" s="15"/>
      <c r="H32" s="8"/>
      <c r="I32" s="28"/>
      <c r="J32" s="12"/>
      <c r="K32" s="12"/>
      <c r="L32" s="11"/>
      <c r="M32" s="92">
        <v>12</v>
      </c>
      <c r="N32" s="93">
        <f t="shared" si="12"/>
        <v>12</v>
      </c>
      <c r="O32" s="12">
        <f t="shared" si="13"/>
        <v>79050.86</v>
      </c>
      <c r="P32" s="12">
        <f t="shared" si="14"/>
        <v>79050.86</v>
      </c>
      <c r="Q32" s="12">
        <f t="shared" si="15"/>
        <v>0</v>
      </c>
    </row>
    <row r="33" spans="2:18" ht="13.5" customHeight="1" x14ac:dyDescent="0.3">
      <c r="B33" s="94"/>
      <c r="C33" t="s">
        <v>126</v>
      </c>
      <c r="D33" s="26">
        <v>464.67158536585373</v>
      </c>
      <c r="E33" s="27"/>
      <c r="F33" s="10">
        <f t="shared" si="8"/>
        <v>0</v>
      </c>
      <c r="G33" s="15"/>
      <c r="H33" s="8"/>
      <c r="I33" s="28"/>
      <c r="J33" s="12"/>
      <c r="K33" s="12"/>
      <c r="L33" s="11"/>
      <c r="M33" s="92">
        <v>82</v>
      </c>
      <c r="N33" s="93">
        <f t="shared" si="12"/>
        <v>82</v>
      </c>
      <c r="O33" s="12">
        <f>M33*D33</f>
        <v>38103.070000000007</v>
      </c>
      <c r="P33" s="12">
        <f t="shared" si="14"/>
        <v>38103.070000000007</v>
      </c>
      <c r="Q33" s="12">
        <f t="shared" si="15"/>
        <v>0</v>
      </c>
    </row>
    <row r="34" spans="2:18" x14ac:dyDescent="0.3">
      <c r="B34" s="55"/>
      <c r="C34" s="45"/>
      <c r="D34" s="46">
        <f>SUM(D16:D33)</f>
        <v>26948.522119944515</v>
      </c>
      <c r="E34" s="47"/>
      <c r="F34" s="48">
        <f>SUM(F16:F33)</f>
        <v>4777527.6325000003</v>
      </c>
      <c r="G34" s="49"/>
      <c r="H34" s="50">
        <f>SUM(H16:H33)</f>
        <v>4777527.6325000003</v>
      </c>
      <c r="I34" s="53"/>
      <c r="J34" s="52"/>
      <c r="K34" s="52"/>
      <c r="L34" s="51"/>
      <c r="M34" s="51"/>
      <c r="N34" s="52"/>
      <c r="O34" s="52">
        <f>SUM(O16:O33)</f>
        <v>876416.07982099988</v>
      </c>
      <c r="P34" s="52">
        <f>SUM(P16:P33)</f>
        <v>890637.45342626423</v>
      </c>
      <c r="Q34" s="52">
        <f>SUM(Q16:Q33)</f>
        <v>14221.373605264325</v>
      </c>
    </row>
    <row r="35" spans="2:18" x14ac:dyDescent="0.3">
      <c r="B35" s="55"/>
      <c r="C35" s="45"/>
      <c r="D35" s="46"/>
      <c r="E35" s="47"/>
      <c r="F35" s="48"/>
      <c r="G35" s="49"/>
      <c r="H35" s="50">
        <f>H14+H34</f>
        <v>9077246.4774500001</v>
      </c>
      <c r="I35" s="53"/>
      <c r="J35" s="52"/>
      <c r="K35" s="52"/>
      <c r="L35" s="51"/>
      <c r="M35" s="51"/>
      <c r="N35" s="52"/>
      <c r="O35" s="52"/>
      <c r="P35" s="52"/>
      <c r="Q35" s="52">
        <f>SUM(Q34+Q14)</f>
        <v>27951.069592501273</v>
      </c>
    </row>
    <row r="36" spans="2:18" x14ac:dyDescent="0.3">
      <c r="C36" s="13" t="s">
        <v>79</v>
      </c>
      <c r="N36" s="11"/>
    </row>
    <row r="37" spans="2:18" x14ac:dyDescent="0.3">
      <c r="C37" s="14" t="s">
        <v>76</v>
      </c>
      <c r="D37" s="43">
        <v>4251.4799999999996</v>
      </c>
      <c r="E37" s="39"/>
      <c r="N37" s="11"/>
    </row>
    <row r="38" spans="2:18" x14ac:dyDescent="0.3">
      <c r="C38" s="14" t="s">
        <v>77</v>
      </c>
      <c r="D38" s="2">
        <f>D37*2000</f>
        <v>8502960</v>
      </c>
      <c r="F38" s="104"/>
      <c r="G38" s="105"/>
      <c r="H38" s="6"/>
      <c r="I38" s="7"/>
      <c r="J38" s="106"/>
      <c r="K38" s="16"/>
      <c r="L38" s="107"/>
      <c r="M38" s="108"/>
      <c r="N38" s="11"/>
      <c r="O38" s="11"/>
      <c r="P38" s="11"/>
      <c r="Q38" s="81"/>
      <c r="R38" s="109"/>
    </row>
    <row r="39" spans="2:18" x14ac:dyDescent="0.3">
      <c r="C39" s="14" t="s">
        <v>78</v>
      </c>
      <c r="D39" s="5">
        <f>H35</f>
        <v>9077246.4774500001</v>
      </c>
      <c r="F39" s="90"/>
      <c r="G39" s="6"/>
      <c r="H39" s="6"/>
      <c r="I39" s="6"/>
      <c r="J39" s="6"/>
      <c r="K39" s="6"/>
      <c r="L39" s="6"/>
      <c r="M39" s="6"/>
      <c r="N39" s="11"/>
      <c r="O39" s="6"/>
      <c r="P39" s="6"/>
      <c r="Q39" s="6"/>
      <c r="R39" s="6"/>
    </row>
    <row r="40" spans="2:18" x14ac:dyDescent="0.3">
      <c r="C40" s="14" t="s">
        <v>74</v>
      </c>
      <c r="D40" s="44">
        <f>D38/D39</f>
        <v>0.93673340490680057</v>
      </c>
      <c r="N40" s="11"/>
    </row>
    <row r="41" spans="2:18" x14ac:dyDescent="0.3">
      <c r="N41" s="11"/>
    </row>
    <row r="42" spans="2:18" x14ac:dyDescent="0.3">
      <c r="C42" s="111" t="s">
        <v>135</v>
      </c>
      <c r="N42" s="11"/>
    </row>
    <row r="43" spans="2:18" x14ac:dyDescent="0.3">
      <c r="B43" s="116"/>
      <c r="C43" s="117" t="s">
        <v>127</v>
      </c>
      <c r="D43" s="116">
        <v>1</v>
      </c>
      <c r="E43" s="116">
        <f>References!C17</f>
        <v>20</v>
      </c>
      <c r="F43" s="118">
        <f>E43*D43*12</f>
        <v>240</v>
      </c>
      <c r="G43" s="119">
        <v>1</v>
      </c>
      <c r="H43" s="119">
        <f>F43*G43</f>
        <v>240</v>
      </c>
      <c r="I43" s="119">
        <f>H43*D$40</f>
        <v>224.81601717763215</v>
      </c>
      <c r="J43" s="119">
        <f>I43*References!D$61</f>
        <v>0.71154269436720285</v>
      </c>
      <c r="K43" s="119">
        <f>J43*References!H$64</f>
        <v>0.69546182947450408</v>
      </c>
      <c r="L43" s="119">
        <f>K43/F43*E43</f>
        <v>5.7955152456208678E-2</v>
      </c>
      <c r="M43" s="117">
        <v>4.72</v>
      </c>
      <c r="N43" s="120">
        <f>M43+L43</f>
        <v>4.7779551524562081</v>
      </c>
    </row>
    <row r="44" spans="2:18" x14ac:dyDescent="0.3">
      <c r="C44" s="115" t="s">
        <v>128</v>
      </c>
      <c r="D44">
        <v>1</v>
      </c>
      <c r="E44">
        <f>References!C18</f>
        <v>34</v>
      </c>
      <c r="F44" s="4">
        <f t="shared" ref="F44:F46" si="16">E44*D44*12</f>
        <v>408</v>
      </c>
      <c r="G44" s="2">
        <v>1</v>
      </c>
      <c r="H44" s="2">
        <f t="shared" ref="H44:H46" si="17">F44*G44</f>
        <v>408</v>
      </c>
      <c r="I44" s="2">
        <f t="shared" ref="I44:I46" si="18">H44*D$40</f>
        <v>382.18722920197462</v>
      </c>
      <c r="J44" s="2">
        <f>I44*References!D$61</f>
        <v>1.2096225804242449</v>
      </c>
      <c r="K44" s="2">
        <f>J44*References!H$64</f>
        <v>1.1822851101066569</v>
      </c>
      <c r="L44" s="2">
        <f t="shared" ref="L44:L46" si="19">K44/F44*E44</f>
        <v>9.8523759175554754E-2</v>
      </c>
      <c r="M44" s="114">
        <v>14.1</v>
      </c>
      <c r="N44" s="121">
        <f t="shared" ref="N44:N46" si="20">M44+L44</f>
        <v>14.198523759175554</v>
      </c>
    </row>
    <row r="45" spans="2:18" x14ac:dyDescent="0.3">
      <c r="C45" s="115" t="s">
        <v>129</v>
      </c>
      <c r="D45">
        <v>1</v>
      </c>
      <c r="E45">
        <f>References!C17</f>
        <v>20</v>
      </c>
      <c r="F45" s="4">
        <f t="shared" si="16"/>
        <v>240</v>
      </c>
      <c r="G45" s="2">
        <v>1</v>
      </c>
      <c r="H45" s="2">
        <f t="shared" si="17"/>
        <v>240</v>
      </c>
      <c r="I45" s="2">
        <f t="shared" si="18"/>
        <v>224.81601717763215</v>
      </c>
      <c r="J45" s="2">
        <f>I45*References!D$61</f>
        <v>0.71154269436720285</v>
      </c>
      <c r="K45" s="2">
        <f>J45*References!H$64</f>
        <v>0.69546182947450408</v>
      </c>
      <c r="L45" s="2">
        <f t="shared" si="19"/>
        <v>5.7955152456208678E-2</v>
      </c>
      <c r="M45" s="114">
        <v>12.37</v>
      </c>
      <c r="N45" s="121">
        <f t="shared" si="20"/>
        <v>12.427955152456208</v>
      </c>
    </row>
    <row r="46" spans="2:18" x14ac:dyDescent="0.3">
      <c r="C46" s="115" t="s">
        <v>130</v>
      </c>
      <c r="D46">
        <v>1</v>
      </c>
      <c r="E46">
        <f>References!C25</f>
        <v>47</v>
      </c>
      <c r="F46" s="4">
        <f t="shared" si="16"/>
        <v>564</v>
      </c>
      <c r="G46" s="2">
        <v>1</v>
      </c>
      <c r="H46" s="2">
        <f t="shared" si="17"/>
        <v>564</v>
      </c>
      <c r="I46" s="2">
        <f t="shared" si="18"/>
        <v>528.3176403674355</v>
      </c>
      <c r="J46" s="2">
        <f>I46*References!D$61</f>
        <v>1.6721253317629265</v>
      </c>
      <c r="K46" s="2">
        <f>J46*References!H$64</f>
        <v>1.6343352992650846</v>
      </c>
      <c r="L46" s="2">
        <f t="shared" si="19"/>
        <v>0.1361946082720904</v>
      </c>
      <c r="M46" s="114">
        <v>17.55</v>
      </c>
      <c r="N46" s="121">
        <f t="shared" si="20"/>
        <v>17.686194608272093</v>
      </c>
    </row>
  </sheetData>
  <mergeCells count="1">
    <mergeCell ref="A2:A13"/>
  </mergeCells>
  <pageMargins left="0.2" right="0.2" top="0.25" bottom="0.2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0A858DCC735B84B8F172636F1CB79A4" ma:contentTypeVersion="16" ma:contentTypeDescription="" ma:contentTypeScope="" ma:versionID="1e49ea6f02e6f85f48d14d263da9e5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2023-11-15T08:00:00+00:00</OpenedDate>
    <SignificantOrder xmlns="dc463f71-b30c-4ab2-9473-d307f9d35888">false</SignificantOrder>
    <Date1 xmlns="dc463f71-b30c-4ab2-9473-d307f9d35888">2023-11-15T08:00:00+00:00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Nooksack Valley Disposal, Inc.       </CaseCompanyNames>
    <Nickname xmlns="http://schemas.microsoft.com/sharepoint/v3" xsi:nil="true"/>
    <DocketNumber xmlns="dc463f71-b30c-4ab2-9473-d307f9d35888">230953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974432D-E54C-4DF9-BC43-C48117DDDFF8}"/>
</file>

<file path=customXml/itemProps2.xml><?xml version="1.0" encoding="utf-8"?>
<ds:datastoreItem xmlns:ds="http://schemas.openxmlformats.org/officeDocument/2006/customXml" ds:itemID="{6823D27A-3E59-49AC-9E26-763F9A2539E9}"/>
</file>

<file path=customXml/itemProps3.xml><?xml version="1.0" encoding="utf-8"?>
<ds:datastoreItem xmlns:ds="http://schemas.openxmlformats.org/officeDocument/2006/customXml" ds:itemID="{5F5F1A92-1F16-42DD-A7FE-421BD444BCA0}"/>
</file>

<file path=customXml/itemProps4.xml><?xml version="1.0" encoding="utf-8"?>
<ds:datastoreItem xmlns:ds="http://schemas.openxmlformats.org/officeDocument/2006/customXml" ds:itemID="{C023EDF9-ACE1-47A2-826B-89C7806E0D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References</vt:lpstr>
      <vt:lpstr>Staff Price Out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Jaclynn (UTC)</dc:creator>
  <cp:lastModifiedBy>Calvin</cp:lastModifiedBy>
  <cp:lastPrinted>2023-11-09T17:50:52Z</cp:lastPrinted>
  <dcterms:created xsi:type="dcterms:W3CDTF">2021-11-12T22:53:39Z</dcterms:created>
  <dcterms:modified xsi:type="dcterms:W3CDTF">2023-11-09T18:44:55Z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0x0101006E56B4D1795A2E4DB2F0B01679ED314A0080A858DCC735B84B8F172636F1CB79A4</vt:lpwstr>
  </property>
  <property fmtid="{D5CDD505-2E9C-101B-9397-08002B2CF9AE}" pid="3" name="_docset_NoMedatataSyncRequired">
    <vt:lpwstr>False</vt:lpwstr>
  </property>
</Properties>
</file>